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29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Div 3 (2)...b7db256a_40ITCB" sheetId="17" state="hidden" r:id="rId13"/>
    <sheet name="OSR_300 &amp; 317_1C00ID4" sheetId="19" state="hidden" r:id="rId14"/>
    <sheet name="OSR_300 (2)_c...79cd3046_1TJM0H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0...c51cc666_QIOT67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...09141158_1BG9FGV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0" sheetId="24" r:id="rId53"/>
    <sheet name="307" sheetId="69" r:id="rId54"/>
    <sheet name="314" sheetId="74" r:id="rId55"/>
    <sheet name="308" sheetId="27" r:id="rId56"/>
    <sheet name="311" sheetId="71" r:id="rId57"/>
    <sheet name="324" sheetId="83" r:id="rId58"/>
    <sheet name="331" sheetId="30" r:id="rId59"/>
    <sheet name="315" sheetId="75" r:id="rId60"/>
    <sheet name="326" sheetId="85" r:id="rId61"/>
    <sheet name="332" sheetId="33" r:id="rId62"/>
    <sheet name="316" sheetId="76" r:id="rId63"/>
    <sheet name="320" sheetId="79" r:id="rId64"/>
    <sheet name="Div 6" sheetId="51" r:id="rId65"/>
    <sheet name="317" sheetId="77" r:id="rId66"/>
    <sheet name="310" sheetId="21" r:id="rId67"/>
    <sheet name="309" sheetId="70" r:id="rId68"/>
    <sheet name="313" sheetId="73" r:id="rId69"/>
    <sheet name="321" sheetId="80" r:id="rId70"/>
    <sheet name="322" sheetId="81" r:id="rId71"/>
    <sheet name="323" sheetId="82" r:id="rId72"/>
    <sheet name="325" sheetId="84" r:id="rId73"/>
    <sheet name="327" sheetId="86" r:id="rId74"/>
    <sheet name="335" sheetId="87" r:id="rId75"/>
    <sheet name="Div 4" sheetId="36" r:id="rId76"/>
    <sheet name="310 &amp; 491" sheetId="39" r:id="rId77"/>
    <sheet name="491" sheetId="42" r:id="rId78"/>
    <sheet name="405" sheetId="88" r:id="rId79"/>
    <sheet name="406" sheetId="89" r:id="rId80"/>
    <sheet name="411" sheetId="92" r:id="rId81"/>
    <sheet name="412" sheetId="93" r:id="rId82"/>
    <sheet name="420" sheetId="99" r:id="rId83"/>
    <sheet name="413" sheetId="94" r:id="rId84"/>
    <sheet name="414" sheetId="95" r:id="rId85"/>
    <sheet name="415" sheetId="96" r:id="rId86"/>
    <sheet name="418" sheetId="98" r:id="rId87"/>
    <sheet name="423" sheetId="100" r:id="rId88"/>
    <sheet name="424" sheetId="101" r:id="rId89"/>
    <sheet name="425" sheetId="102" r:id="rId90"/>
    <sheet name="455" sheetId="109" r:id="rId91"/>
    <sheet name="492" sheetId="45" r:id="rId92"/>
    <sheet name="430" sheetId="103" r:id="rId93"/>
    <sheet name="433" sheetId="104" r:id="rId94"/>
    <sheet name="435" sheetId="105" r:id="rId95"/>
    <sheet name="444" sheetId="106" r:id="rId96"/>
    <sheet name="445" sheetId="107" r:id="rId97"/>
    <sheet name="450" sheetId="108" r:id="rId98"/>
    <sheet name="Div 5" sheetId="48" r:id="rId99"/>
    <sheet name="501" sheetId="110" r:id="rId100"/>
    <sheet name="Dept" sheetId="111" state="hidden" r:id="rId101"/>
    <sheet name="OSR_Dept_Y0WUKY" sheetId="112" state="hidden" r:id="rId102"/>
    <sheet name="OSR_Summary (...56e5d78f_5JEYZH" sheetId="113" state="hidden" r:id="rId103"/>
  </sheets>
  <definedNames>
    <definedName name="OSRRefD13x_0" localSheetId="48">'300'!$D$13:$D$104</definedName>
    <definedName name="OSRRefD13x_0" localSheetId="49">'300 &amp; 317'!$D$13:$D$122</definedName>
    <definedName name="OSRRefD13x_0" localSheetId="53">'307'!$D$13:$D$46</definedName>
    <definedName name="OSRRefD13x_0" localSheetId="55">'308'!$D$13:$D$40</definedName>
    <definedName name="OSRRefD13x_0" localSheetId="67">'309'!$D$13:$D$14</definedName>
    <definedName name="OSRRefD13x_0" localSheetId="66">'310'!$D$13:$D$22</definedName>
    <definedName name="OSRRefD13x_0" localSheetId="76">'310 &amp; 491'!$D$13:$D$30</definedName>
    <definedName name="OSRRefD13x_0" localSheetId="56">'311'!$D$13:$D$39</definedName>
    <definedName name="OSRRefD13x_0" localSheetId="68">'313'!$D$13:$D$19</definedName>
    <definedName name="OSRRefD13x_0" localSheetId="54">'314'!$D$13:$D$33</definedName>
    <definedName name="OSRRefD13x_0" localSheetId="59">'315'!$D$13:$D$32</definedName>
    <definedName name="OSRRefD13x_0" localSheetId="62">'316'!$D$13:$D$24</definedName>
    <definedName name="OSRRefD13x_0" localSheetId="65">'317'!$D$13:$D$36</definedName>
    <definedName name="OSRRefD13x_0" localSheetId="63">'320'!$D$13:$D$16</definedName>
    <definedName name="OSRRefD13x_0" localSheetId="69">'321'!$D$13:$D$14</definedName>
    <definedName name="OSRRefD13x_0" localSheetId="70">'322'!$D$13:$D$14</definedName>
    <definedName name="OSRRefD13x_0" localSheetId="57">'324'!$D$13:$D$15</definedName>
    <definedName name="OSRRefD13x_0" localSheetId="72">'325'!$D$13:$D$14</definedName>
    <definedName name="OSRRefD13x_0" localSheetId="60">'326'!$D$13:$D$34</definedName>
    <definedName name="OSRRefD13x_0" localSheetId="73">'327'!$D$13</definedName>
    <definedName name="OSRRefD13x_0" localSheetId="52">'330'!$D$13:$D$50</definedName>
    <definedName name="OSRRefD13x_0" localSheetId="58">'331'!$D$13:$D$42</definedName>
    <definedName name="OSRRefD13x_0" localSheetId="61">'332'!$D$13:$D$28</definedName>
    <definedName name="OSRRefD13x_0" localSheetId="78">'405'!$D$13:$D$14</definedName>
    <definedName name="OSRRefD13x_0" localSheetId="79">'406'!$D$13:$D$14</definedName>
    <definedName name="OSRRefD13x_0" localSheetId="81">'412'!$D$13:$D$15</definedName>
    <definedName name="OSRRefD13x_0" localSheetId="83">'413'!$D$13:$D$14</definedName>
    <definedName name="OSRRefD13x_0" localSheetId="84">'414'!$D$13:$D$14</definedName>
    <definedName name="OSRRefD13x_0" localSheetId="85">'415'!$D$13:$D$14</definedName>
    <definedName name="OSRRefD13x_0" localSheetId="86">'418'!$D$13:$D$14</definedName>
    <definedName name="OSRRefD13x_0" localSheetId="82">'420'!$D$13:$D$14</definedName>
    <definedName name="OSRRefD13x_0" localSheetId="88">'424'!$D$13:$D$14</definedName>
    <definedName name="OSRRefD13x_0" localSheetId="89">'425'!$D$13:$D$17</definedName>
    <definedName name="OSRRefD13x_0" localSheetId="93">'433'!$D$13:$D$16</definedName>
    <definedName name="OSRRefD13x_0" localSheetId="94">'435'!$D$13:$D$15</definedName>
    <definedName name="OSRRefD13x_0" localSheetId="95">'444'!$D$13:$D$15</definedName>
    <definedName name="OSRRefD13x_0" localSheetId="97">'450'!$D$13:$D$15</definedName>
    <definedName name="OSRRefD13x_0" localSheetId="77">'491'!$D$13:$D$23</definedName>
    <definedName name="OSRRefD13x_0" localSheetId="91">'492'!$D$13:$D$18</definedName>
    <definedName name="OSRRefD13x_0" localSheetId="99">'501'!$D$13</definedName>
    <definedName name="OSRRefD13x_0" localSheetId="47">'Div 3'!$D$13:$D$107</definedName>
    <definedName name="OSRRefD13x_0" localSheetId="75">'Div 4'!$D$13:$D$24</definedName>
    <definedName name="OSRRefD13x_0" localSheetId="98">'Div 5'!$D$13</definedName>
    <definedName name="OSRRefD13x_0" localSheetId="64">'Div 6'!$D$13:$D$36</definedName>
    <definedName name="OSRRefD13x_0" localSheetId="2">Summary!$D$13:$D$134</definedName>
    <definedName name="OSRRefD16x_0" localSheetId="48">'300'!$D$107:$D$156</definedName>
    <definedName name="OSRRefD16x_0" localSheetId="49">'300 &amp; 317'!$D$125:$D$181</definedName>
    <definedName name="OSRRefD16x_0" localSheetId="53">'307'!$D$49:$D$67</definedName>
    <definedName name="OSRRefD16x_0" localSheetId="55">'308'!$D$43:$D$58</definedName>
    <definedName name="OSRRefD16x_0" localSheetId="67">'309'!$D$17:$D$18</definedName>
    <definedName name="OSRRefD16x_0" localSheetId="66">'310'!$D$25:$D$26</definedName>
    <definedName name="OSRRefD16x_0" localSheetId="76">'310 &amp; 491'!$D$33:$D$34</definedName>
    <definedName name="OSRRefD16x_0" localSheetId="56">'311'!$D$42:$D$57</definedName>
    <definedName name="OSRRefD16x_0" localSheetId="68">'313'!$D$22:$D$23</definedName>
    <definedName name="OSRRefD16x_0" localSheetId="54">'314'!$D$36:$D$50</definedName>
    <definedName name="OSRRefD16x_0" localSheetId="59">'315'!$D$35:$D$49</definedName>
    <definedName name="OSRRefD16x_0" localSheetId="65">'317'!$D$39:$D$52</definedName>
    <definedName name="OSRRefD16x_0" localSheetId="63">'320'!$D$19:$D$23</definedName>
    <definedName name="OSRRefD16x_0" localSheetId="69">'321'!$D$17:$D$18</definedName>
    <definedName name="OSRRefD16x_0" localSheetId="70">'322'!$D$17:$D$18</definedName>
    <definedName name="OSRRefD16x_0" localSheetId="57">'324'!$D$18:$D$19</definedName>
    <definedName name="OSRRefD16x_0" localSheetId="72">'325'!$D$17:$D$18</definedName>
    <definedName name="OSRRefD16x_0" localSheetId="60">'326'!$D$37:$D$54</definedName>
    <definedName name="OSRRefD16x_0" localSheetId="73">'327'!$D$16</definedName>
    <definedName name="OSRRefD16x_0" localSheetId="52">'330'!$D$53:$D$75</definedName>
    <definedName name="OSRRefD16x_0" localSheetId="58">'331'!$D$45:$D$67</definedName>
    <definedName name="OSRRefD16x_0" localSheetId="61">'332'!$D$31:$D$35</definedName>
    <definedName name="OSRRefD16x_0" localSheetId="78">'405'!$D$17:$D$18</definedName>
    <definedName name="OSRRefD16x_0" localSheetId="79">'406'!$D$17:$D$18</definedName>
    <definedName name="OSRRefD16x_0" localSheetId="81">'412'!$D$18</definedName>
    <definedName name="OSRRefD16x_0" localSheetId="83">'413'!$D$17:$D$18</definedName>
    <definedName name="OSRRefD16x_0" localSheetId="84">'414'!$D$17:$D$18</definedName>
    <definedName name="OSRRefD16x_0" localSheetId="85">'415'!$D$17:$D$18</definedName>
    <definedName name="OSRRefD16x_0" localSheetId="86">'418'!$D$17:$D$18</definedName>
    <definedName name="OSRRefD16x_0" localSheetId="87">'423'!$D$15</definedName>
    <definedName name="OSRRefD16x_0" localSheetId="88">'424'!$D$17:$D$18</definedName>
    <definedName name="OSRRefD16x_0" localSheetId="89">'425'!$D$20:$D$21</definedName>
    <definedName name="OSRRefD16x_0" localSheetId="93">'433'!$D$19:$D$20</definedName>
    <definedName name="OSRRefD16x_0" localSheetId="94">'435'!$D$18:$D$19</definedName>
    <definedName name="OSRRefD16x_0" localSheetId="95">'444'!$D$18:$D$19</definedName>
    <definedName name="OSRRefD16x_0" localSheetId="97">'450'!$D$18:$D$19</definedName>
    <definedName name="OSRRefD16x_0" localSheetId="77">'491'!$D$26:$D$27</definedName>
    <definedName name="OSRRefD16x_0" localSheetId="91">'492'!$D$21:$D$22</definedName>
    <definedName name="OSRRefD16x_0" localSheetId="47">'Div 3'!$D$110:$D$161</definedName>
    <definedName name="OSRRefD16x_0" localSheetId="75">'Div 4'!$D$27:$D$28</definedName>
    <definedName name="OSRRefD16x_0" localSheetId="64">'Div 6'!$D$39:$D$52</definedName>
    <definedName name="OSRRefD16x_0" localSheetId="2">Summary!$D$137:$D$195</definedName>
    <definedName name="OSRRefD22_0x_0" localSheetId="40">'200'!$D$20</definedName>
    <definedName name="OSRRefD22_0x_0" localSheetId="41">'201'!$D$20:$D$28</definedName>
    <definedName name="OSRRefD22_0x_0" localSheetId="42">'202'!$D$20:$D$27</definedName>
    <definedName name="OSRRefD22_0x_0" localSheetId="43">'203'!$D$20:$D$29</definedName>
    <definedName name="OSRRefD22_0x_0" localSheetId="44">'204'!$D$20:$D$28</definedName>
    <definedName name="OSRRefD22_0x_0" localSheetId="45">'205'!$D$20:$D$27</definedName>
    <definedName name="OSRRefD22_0x_0" localSheetId="46">'206'!$D$20:$D$27</definedName>
    <definedName name="OSRRefD22_0x_0" localSheetId="48">'300'!$D$162:$D$170</definedName>
    <definedName name="OSRRefD22_0x_0" localSheetId="49">'300 &amp; 317'!$D$187:$D$195</definedName>
    <definedName name="OSRRefD22_0x_0" localSheetId="50">'301'!$D$20:$D$27</definedName>
    <definedName name="OSRRefD22_0x_0" localSheetId="51">'306'!$D$20:$D$28</definedName>
    <definedName name="OSRRefD22_0x_0" localSheetId="53">'307'!$D$73:$D$80</definedName>
    <definedName name="OSRRefD22_0x_0" localSheetId="55">'308'!$D$64:$D$72</definedName>
    <definedName name="OSRRefD22_0x_0" localSheetId="67">'309'!$D$24:$D$31</definedName>
    <definedName name="OSRRefD22_0x_0" localSheetId="66">'310'!$D$32:$D$39</definedName>
    <definedName name="OSRRefD22_0x_0" localSheetId="76">'310 &amp; 491'!$D$40:$D$48</definedName>
    <definedName name="OSRRefD22_0x_0" localSheetId="56">'311'!$D$63:$D$71</definedName>
    <definedName name="OSRRefD22_0x_0" localSheetId="68">'313'!$D$29:$D$36</definedName>
    <definedName name="OSRRefD22_0x_0" localSheetId="54">'314'!$D$56:$D$62</definedName>
    <definedName name="OSRRefD22_0x_0" localSheetId="59">'315'!$D$55:$D$62</definedName>
    <definedName name="OSRRefD22_0x_0" localSheetId="62">'316'!$D$32:$D$39</definedName>
    <definedName name="OSRRefD22_0x_0" localSheetId="65">'317'!$D$58:$D$66</definedName>
    <definedName name="OSRRefD22_0x_0" localSheetId="63">'320'!$D$29:$D$35</definedName>
    <definedName name="OSRRefD22_0x_0" localSheetId="69">'321'!$D$24:$D$30</definedName>
    <definedName name="OSRRefD22_0x_0" localSheetId="70">'322'!$D$24:$D$31</definedName>
    <definedName name="OSRRefD22_0x_0" localSheetId="57">'324'!$D$25</definedName>
    <definedName name="OSRRefD22_0x_0" localSheetId="72">'325'!$D$24:$D$31</definedName>
    <definedName name="OSRRefD22_0x_0" localSheetId="60">'326'!$D$60:$D$67</definedName>
    <definedName name="OSRRefD22_0x_0" localSheetId="73">'327'!$D$22</definedName>
    <definedName name="OSRRefD22_0x_0" localSheetId="52">'330'!$D$81:$D$88</definedName>
    <definedName name="OSRRefD22_0x_0" localSheetId="58">'331'!$D$73:$D$80</definedName>
    <definedName name="OSRRefD22_0x_0" localSheetId="61">'332'!$D$41:$D$48</definedName>
    <definedName name="OSRRefD22_0x_0" localSheetId="74">'335'!$D$20</definedName>
    <definedName name="OSRRefD22_0x_0" localSheetId="78">'405'!$D$24:$D$31</definedName>
    <definedName name="OSRRefD22_0x_0" localSheetId="79">'406'!$D$24:$D$31</definedName>
    <definedName name="OSRRefD22_0x_0" localSheetId="80">'411'!$D$20:$D$28</definedName>
    <definedName name="OSRRefD22_0x_0" localSheetId="81">'412'!$D$24:$D$31</definedName>
    <definedName name="OSRRefD22_0x_0" localSheetId="83">'413'!$D$24:$D$31</definedName>
    <definedName name="OSRRefD22_0x_0" localSheetId="84">'414'!$D$24:$D$31</definedName>
    <definedName name="OSRRefD22_0x_0" localSheetId="85">'415'!$D$24:$D$31</definedName>
    <definedName name="OSRRefD22_0x_0" localSheetId="86">'418'!$D$24:$D$31</definedName>
    <definedName name="OSRRefD22_0x_0" localSheetId="82">'420'!$D$22:$D$28</definedName>
    <definedName name="OSRRefD22_0x_0" localSheetId="87">'423'!$D$21:$D$28</definedName>
    <definedName name="OSRRefD22_0x_0" localSheetId="88">'424'!$D$24:$D$26</definedName>
    <definedName name="OSRRefD22_0x_0" localSheetId="89">'425'!$D$27:$D$34</definedName>
    <definedName name="OSRRefD22_0x_0" localSheetId="92">'430'!$D$20:$D$27</definedName>
    <definedName name="OSRRefD22_0x_0" localSheetId="93">'433'!$D$26:$D$34</definedName>
    <definedName name="OSRRefD22_0x_0" localSheetId="94">'435'!$D$25:$D$27</definedName>
    <definedName name="OSRRefD22_0x_0" localSheetId="95">'444'!$D$25:$D$33</definedName>
    <definedName name="OSRRefD22_0x_0" localSheetId="96">'445'!$D$20</definedName>
    <definedName name="OSRRefD22_0x_0" localSheetId="97">'450'!$D$25:$D$33</definedName>
    <definedName name="OSRRefD22_0x_0" localSheetId="90">'455'!$D$20:$D$26</definedName>
    <definedName name="OSRRefD22_0x_0" localSheetId="77">'491'!$D$33:$D$41</definedName>
    <definedName name="OSRRefD22_0x_0" localSheetId="91">'492'!$D$28:$D$36</definedName>
    <definedName name="OSRRefD22_0x_0" localSheetId="99">'501'!$D$21:$D$28</definedName>
    <definedName name="OSRRefD22_0x_0" localSheetId="39">'Div 2'!$D$20:$D$30</definedName>
    <definedName name="OSRRefD22_0x_0" localSheetId="47">'Div 3'!$D$167:$D$175</definedName>
    <definedName name="OSRRefD22_0x_0" localSheetId="75">'Div 4'!$D$34:$D$42</definedName>
    <definedName name="OSRRefD22_0x_0" localSheetId="98">'Div 5'!$D$21:$D$28</definedName>
    <definedName name="OSRRefD22_0x_0" localSheetId="64">'Div 6'!$D$58:$D$66</definedName>
    <definedName name="OSRRefD22_0x_0" localSheetId="2">Summary!$D$201:$D$209</definedName>
    <definedName name="OSRRefD22_10x_0" localSheetId="41">'201'!$D$50:$D$52</definedName>
    <definedName name="OSRRefD22_10x_0" localSheetId="42">'202'!$D$52</definedName>
    <definedName name="OSRRefD22_10x_0" localSheetId="43">'203'!$D$54:$D$55</definedName>
    <definedName name="OSRRefD22_10x_0" localSheetId="44">'204'!$D$57:$D$58</definedName>
    <definedName name="OSRRefD22_10x_0" localSheetId="48">'300'!$D$199:$D$200</definedName>
    <definedName name="OSRRefD22_10x_0" localSheetId="49">'300 &amp; 317'!$D$224:$D$225</definedName>
    <definedName name="OSRRefD22_10x_0" localSheetId="50">'301'!$D$56</definedName>
    <definedName name="OSRRefD22_10x_0" localSheetId="51">'306'!$D$57</definedName>
    <definedName name="OSRRefD22_10x_0" localSheetId="53">'307'!$D$105:$D$106</definedName>
    <definedName name="OSRRefD22_10x_0" localSheetId="55">'308'!$D$99</definedName>
    <definedName name="OSRRefD22_10x_0" localSheetId="67">'309'!$D$58:$D$63</definedName>
    <definedName name="OSRRefD22_10x_0" localSheetId="66">'310'!$D$65</definedName>
    <definedName name="OSRRefD22_10x_0" localSheetId="76">'310 &amp; 491'!$D$76:$D$77</definedName>
    <definedName name="OSRRefD22_10x_0" localSheetId="56">'311'!$D$98</definedName>
    <definedName name="OSRRefD22_10x_0" localSheetId="68">'313'!$D$62</definedName>
    <definedName name="OSRRefD22_10x_0" localSheetId="59">'315'!$D$91:$D$92</definedName>
    <definedName name="OSRRefD22_10x_0" localSheetId="62">'316'!$D$66</definedName>
    <definedName name="OSRRefD22_10x_0" localSheetId="65">'317'!$D$90</definedName>
    <definedName name="OSRRefD22_10x_0" localSheetId="69">'321'!$D$62</definedName>
    <definedName name="OSRRefD22_10x_0" localSheetId="70">'322'!$D$56:$D$58</definedName>
    <definedName name="OSRRefD22_10x_0" localSheetId="72">'325'!$D$57</definedName>
    <definedName name="OSRRefD22_10x_0" localSheetId="60">'326'!$D$90</definedName>
    <definedName name="OSRRefD22_10x_0" localSheetId="52">'330'!$D$113</definedName>
    <definedName name="OSRRefD22_10x_0" localSheetId="58">'331'!$D$107</definedName>
    <definedName name="OSRRefD22_10x_0" localSheetId="61">'332'!$D$73:$D$77</definedName>
    <definedName name="OSRRefD22_10x_0" localSheetId="78">'405'!$D$55:$D$56</definedName>
    <definedName name="OSRRefD22_10x_0" localSheetId="79">'406'!$D$57:$D$58</definedName>
    <definedName name="OSRRefD22_10x_0" localSheetId="80">'411'!$D$55</definedName>
    <definedName name="OSRRefD22_10x_0" localSheetId="81">'412'!$D$57:$D$59</definedName>
    <definedName name="OSRRefD22_10x_0" localSheetId="83">'413'!$D$62</definedName>
    <definedName name="OSRRefD22_10x_0" localSheetId="84">'414'!$D$57</definedName>
    <definedName name="OSRRefD22_10x_0" localSheetId="85">'415'!$D$57</definedName>
    <definedName name="OSRRefD22_10x_0" localSheetId="86">'418'!$D$58:$D$60</definedName>
    <definedName name="OSRRefD22_10x_0" localSheetId="88">'424'!$D$50:$D$54</definedName>
    <definedName name="OSRRefD22_10x_0" localSheetId="89">'425'!$D$60</definedName>
    <definedName name="OSRRefD22_10x_0" localSheetId="93">'433'!$D$59:$D$61</definedName>
    <definedName name="OSRRefD22_10x_0" localSheetId="95">'444'!$D$58</definedName>
    <definedName name="OSRRefD22_10x_0" localSheetId="97">'450'!$D$58</definedName>
    <definedName name="OSRRefD22_10x_0" localSheetId="77">'491'!$D$69:$D$70</definedName>
    <definedName name="OSRRefD22_10x_0" localSheetId="91">'492'!$D$62</definedName>
    <definedName name="OSRRefD22_10x_0" localSheetId="99">'501'!$D$53:$D$54</definedName>
    <definedName name="OSRRefD22_10x_0" localSheetId="39">'Div 2'!$D$57</definedName>
    <definedName name="OSRRefD22_10x_0" localSheetId="47">'Div 3'!$D$204:$D$205</definedName>
    <definedName name="OSRRefD22_10x_0" localSheetId="75">'Div 4'!$D$70:$D$71</definedName>
    <definedName name="OSRRefD22_10x_0" localSheetId="98">'Div 5'!$D$53:$D$54</definedName>
    <definedName name="OSRRefD22_10x_0" localSheetId="64">'Div 6'!$D$90</definedName>
    <definedName name="OSRRefD22_10x_0" localSheetId="2">Summary!$D$239:$D$240</definedName>
    <definedName name="OSRRefD22_11x_0" localSheetId="41">'201'!$D$54:$D$56</definedName>
    <definedName name="OSRRefD22_11x_0" localSheetId="42">'202'!$D$54</definedName>
    <definedName name="OSRRefD22_11x_0" localSheetId="43">'203'!$D$57</definedName>
    <definedName name="OSRRefD22_11x_0" localSheetId="48">'300'!$D$202</definedName>
    <definedName name="OSRRefD22_11x_0" localSheetId="49">'300 &amp; 317'!$D$227</definedName>
    <definedName name="OSRRefD22_11x_0" localSheetId="50">'301'!$D$58</definedName>
    <definedName name="OSRRefD22_11x_0" localSheetId="53">'307'!$D$108:$D$109</definedName>
    <definedName name="OSRRefD22_11x_0" localSheetId="55">'308'!$D$101:$D$104</definedName>
    <definedName name="OSRRefD22_11x_0" localSheetId="67">'309'!$D$65</definedName>
    <definedName name="OSRRefD22_11x_0" localSheetId="66">'310'!$D$67</definedName>
    <definedName name="OSRRefD22_11x_0" localSheetId="76">'310 &amp; 491'!$D$79:$D$80</definedName>
    <definedName name="OSRRefD22_11x_0" localSheetId="56">'311'!$D$100:$D$103</definedName>
    <definedName name="OSRRefD22_11x_0" localSheetId="68">'313'!$D$64</definedName>
    <definedName name="OSRRefD22_11x_0" localSheetId="59">'315'!$D$94:$D$98</definedName>
    <definedName name="OSRRefD22_11x_0" localSheetId="62">'316'!$D$68</definedName>
    <definedName name="OSRRefD22_11x_0" localSheetId="65">'317'!$D$92</definedName>
    <definedName name="OSRRefD22_11x_0" localSheetId="69">'321'!$D$64</definedName>
    <definedName name="OSRRefD22_11x_0" localSheetId="70">'322'!$D$60</definedName>
    <definedName name="OSRRefD22_11x_0" localSheetId="72">'325'!$D$59:$D$61</definedName>
    <definedName name="OSRRefD22_11x_0" localSheetId="60">'326'!$D$92</definedName>
    <definedName name="OSRRefD22_11x_0" localSheetId="52">'330'!$D$115:$D$116</definedName>
    <definedName name="OSRRefD22_11x_0" localSheetId="58">'331'!$D$109</definedName>
    <definedName name="OSRRefD22_11x_0" localSheetId="61">'332'!$D$79</definedName>
    <definedName name="OSRRefD22_11x_0" localSheetId="78">'405'!$D$58</definedName>
    <definedName name="OSRRefD22_11x_0" localSheetId="79">'406'!$D$60:$D$65</definedName>
    <definedName name="OSRRefD22_11x_0" localSheetId="80">'411'!$D$57:$D$59</definedName>
    <definedName name="OSRRefD22_11x_0" localSheetId="81">'412'!$D$61:$D$67</definedName>
    <definedName name="OSRRefD22_11x_0" localSheetId="84">'414'!$D$59</definedName>
    <definedName name="OSRRefD22_11x_0" localSheetId="85">'415'!$D$59:$D$61</definedName>
    <definedName name="OSRRefD22_11x_0" localSheetId="86">'418'!$D$62:$D$64</definedName>
    <definedName name="OSRRefD22_11x_0" localSheetId="88">'424'!$D$56</definedName>
    <definedName name="OSRRefD22_11x_0" localSheetId="89">'425'!$D$62:$D$63</definedName>
    <definedName name="OSRRefD22_11x_0" localSheetId="93">'433'!$D$63:$D$65</definedName>
    <definedName name="OSRRefD22_11x_0" localSheetId="95">'444'!$D$60:$D$62</definedName>
    <definedName name="OSRRefD22_11x_0" localSheetId="97">'450'!$D$60:$D$61</definedName>
    <definedName name="OSRRefD22_11x_0" localSheetId="77">'491'!$D$72</definedName>
    <definedName name="OSRRefD22_11x_0" localSheetId="91">'492'!$D$64</definedName>
    <definedName name="OSRRefD22_11x_0" localSheetId="99">'501'!$D$56:$D$59</definedName>
    <definedName name="OSRRefD22_11x_0" localSheetId="39">'Div 2'!$D$59</definedName>
    <definedName name="OSRRefD22_11x_0" localSheetId="47">'Div 3'!$D$207</definedName>
    <definedName name="OSRRefD22_11x_0" localSheetId="75">'Div 4'!$D$73</definedName>
    <definedName name="OSRRefD22_11x_0" localSheetId="98">'Div 5'!$D$56:$D$59</definedName>
    <definedName name="OSRRefD22_11x_0" localSheetId="64">'Div 6'!$D$92</definedName>
    <definedName name="OSRRefD22_11x_0" localSheetId="2">Summary!$D$242:$D$243</definedName>
    <definedName name="OSRRefD22_12x_0" localSheetId="41">'201'!$D$58</definedName>
    <definedName name="OSRRefD22_12x_0" localSheetId="42">'202'!$D$56:$D$58</definedName>
    <definedName name="OSRRefD22_12x_0" localSheetId="43">'203'!$D$59:$D$61</definedName>
    <definedName name="OSRRefD22_12x_0" localSheetId="48">'300'!$D$204</definedName>
    <definedName name="OSRRefD22_12x_0" localSheetId="49">'300 &amp; 317'!$D$229</definedName>
    <definedName name="OSRRefD22_12x_0" localSheetId="50">'301'!$D$60</definedName>
    <definedName name="OSRRefD22_12x_0" localSheetId="53">'307'!$D$111</definedName>
    <definedName name="OSRRefD22_12x_0" localSheetId="55">'308'!$D$106:$D$107</definedName>
    <definedName name="OSRRefD22_12x_0" localSheetId="66">'310'!$D$69</definedName>
    <definedName name="OSRRefD22_12x_0" localSheetId="76">'310 &amp; 491'!$D$82</definedName>
    <definedName name="OSRRefD22_12x_0" localSheetId="56">'311'!$D$105:$D$106</definedName>
    <definedName name="OSRRefD22_12x_0" localSheetId="68">'313'!$D$66:$D$71</definedName>
    <definedName name="OSRRefD22_12x_0" localSheetId="59">'315'!$D$100</definedName>
    <definedName name="OSRRefD22_12x_0" localSheetId="65">'317'!$D$94</definedName>
    <definedName name="OSRRefD22_12x_0" localSheetId="69">'321'!$D$66</definedName>
    <definedName name="OSRRefD22_12x_0" localSheetId="70">'322'!$D$62:$D$67</definedName>
    <definedName name="OSRRefD22_12x_0" localSheetId="72">'325'!$D$63:$D$65</definedName>
    <definedName name="OSRRefD22_12x_0" localSheetId="60">'326'!$D$94</definedName>
    <definedName name="OSRRefD22_12x_0" localSheetId="52">'330'!$D$118:$D$119</definedName>
    <definedName name="OSRRefD22_12x_0" localSheetId="58">'331'!$D$111</definedName>
    <definedName name="OSRRefD22_12x_0" localSheetId="61">'332'!$D$81</definedName>
    <definedName name="OSRRefD22_12x_0" localSheetId="78">'405'!$D$60:$D$62</definedName>
    <definedName name="OSRRefD22_12x_0" localSheetId="79">'406'!$D$67</definedName>
    <definedName name="OSRRefD22_12x_0" localSheetId="80">'411'!$D$61:$D$65</definedName>
    <definedName name="OSRRefD22_12x_0" localSheetId="81">'412'!$D$69</definedName>
    <definedName name="OSRRefD22_12x_0" localSheetId="84">'414'!$D$61</definedName>
    <definedName name="OSRRefD22_12x_0" localSheetId="85">'415'!$D$63:$D$67</definedName>
    <definedName name="OSRRefD22_12x_0" localSheetId="86">'418'!$D$66</definedName>
    <definedName name="OSRRefD22_12x_0" localSheetId="89">'425'!$D$65:$D$71</definedName>
    <definedName name="OSRRefD22_12x_0" localSheetId="93">'433'!$D$67:$D$73</definedName>
    <definedName name="OSRRefD22_12x_0" localSheetId="95">'444'!$D$64:$D$66</definedName>
    <definedName name="OSRRefD22_12x_0" localSheetId="97">'450'!$D$63:$D$65</definedName>
    <definedName name="OSRRefD22_12x_0" localSheetId="77">'491'!$D$74</definedName>
    <definedName name="OSRRefD22_12x_0" localSheetId="91">'492'!$D$66:$D$68</definedName>
    <definedName name="OSRRefD22_12x_0" localSheetId="99">'501'!$D$61</definedName>
    <definedName name="OSRRefD22_12x_0" localSheetId="39">'Div 2'!$D$61:$D$64</definedName>
    <definedName name="OSRRefD22_12x_0" localSheetId="47">'Div 3'!$D$209</definedName>
    <definedName name="OSRRefD22_12x_0" localSheetId="75">'Div 4'!$D$75</definedName>
    <definedName name="OSRRefD22_12x_0" localSheetId="98">'Div 5'!$D$61</definedName>
    <definedName name="OSRRefD22_12x_0" localSheetId="64">'Div 6'!$D$94</definedName>
    <definedName name="OSRRefD22_12x_0" localSheetId="2">Summary!$D$245</definedName>
    <definedName name="OSRRefD22_13x_0" localSheetId="41">'201'!$D$60:$D$62</definedName>
    <definedName name="OSRRefD22_13x_0" localSheetId="42">'202'!$D$60</definedName>
    <definedName name="OSRRefD22_13x_0" localSheetId="43">'203'!$D$63</definedName>
    <definedName name="OSRRefD22_13x_0" localSheetId="48">'300'!$D$206</definedName>
    <definedName name="OSRRefD22_13x_0" localSheetId="49">'300 &amp; 317'!$D$231</definedName>
    <definedName name="OSRRefD22_13x_0" localSheetId="50">'301'!$D$62</definedName>
    <definedName name="OSRRefD22_13x_0" localSheetId="53">'307'!$D$113</definedName>
    <definedName name="OSRRefD22_13x_0" localSheetId="55">'308'!$D$109</definedName>
    <definedName name="OSRRefD22_13x_0" localSheetId="66">'310'!$D$71</definedName>
    <definedName name="OSRRefD22_13x_0" localSheetId="76">'310 &amp; 491'!$D$84</definedName>
    <definedName name="OSRRefD22_13x_0" localSheetId="56">'311'!$D$108</definedName>
    <definedName name="OSRRefD22_13x_0" localSheetId="68">'313'!$D$73</definedName>
    <definedName name="OSRRefD22_13x_0" localSheetId="59">'315'!$D$102</definedName>
    <definedName name="OSRRefD22_13x_0" localSheetId="70">'322'!$D$69</definedName>
    <definedName name="OSRRefD22_13x_0" localSheetId="72">'325'!$D$67</definedName>
    <definedName name="OSRRefD22_13x_0" localSheetId="60">'326'!$D$96:$D$97</definedName>
    <definedName name="OSRRefD22_13x_0" localSheetId="52">'330'!$D$121</definedName>
    <definedName name="OSRRefD22_13x_0" localSheetId="58">'331'!$D$113</definedName>
    <definedName name="OSRRefD22_13x_0" localSheetId="78">'405'!$D$64</definedName>
    <definedName name="OSRRefD22_13x_0" localSheetId="79">'406'!$D$69</definedName>
    <definedName name="OSRRefD22_13x_0" localSheetId="80">'411'!$D$67:$D$73</definedName>
    <definedName name="OSRRefD22_13x_0" localSheetId="81">'412'!$D$71</definedName>
    <definedName name="OSRRefD22_13x_0" localSheetId="84">'414'!$D$63:$D$69</definedName>
    <definedName name="OSRRefD22_13x_0" localSheetId="85">'415'!$D$69</definedName>
    <definedName name="OSRRefD22_13x_0" localSheetId="86">'418'!$D$68:$D$74</definedName>
    <definedName name="OSRRefD22_13x_0" localSheetId="89">'425'!$D$73</definedName>
    <definedName name="OSRRefD22_13x_0" localSheetId="93">'433'!$D$75</definedName>
    <definedName name="OSRRefD22_13x_0" localSheetId="95">'444'!$D$68:$D$75</definedName>
    <definedName name="OSRRefD22_13x_0" localSheetId="97">'450'!$D$67:$D$73</definedName>
    <definedName name="OSRRefD22_13x_0" localSheetId="77">'491'!$D$76</definedName>
    <definedName name="OSRRefD22_13x_0" localSheetId="91">'492'!$D$70:$D$72</definedName>
    <definedName name="OSRRefD22_13x_0" localSheetId="99">'501'!$D$63</definedName>
    <definedName name="OSRRefD22_13x_0" localSheetId="39">'Div 2'!$D$66:$D$68</definedName>
    <definedName name="OSRRefD22_13x_0" localSheetId="47">'Div 3'!$D$211</definedName>
    <definedName name="OSRRefD22_13x_0" localSheetId="75">'Div 4'!$D$77</definedName>
    <definedName name="OSRRefD22_13x_0" localSheetId="98">'Div 5'!$D$63</definedName>
    <definedName name="OSRRefD22_13x_0" localSheetId="2">Summary!$D$247</definedName>
    <definedName name="OSRRefD22_14x_0" localSheetId="41">'201'!$D$64</definedName>
    <definedName name="OSRRefD22_14x_0" localSheetId="42">'202'!$D$62</definedName>
    <definedName name="OSRRefD22_14x_0" localSheetId="43">'203'!$D$65</definedName>
    <definedName name="OSRRefD22_14x_0" localSheetId="48">'300'!$D$208</definedName>
    <definedName name="OSRRefD22_14x_0" localSheetId="49">'300 &amp; 317'!$D$233</definedName>
    <definedName name="OSRRefD22_14x_0" localSheetId="50">'301'!$D$64:$D$66</definedName>
    <definedName name="OSRRefD22_14x_0" localSheetId="55">'308'!$D$111</definedName>
    <definedName name="OSRRefD22_14x_0" localSheetId="66">'310'!$D$73:$D$75</definedName>
    <definedName name="OSRRefD22_14x_0" localSheetId="76">'310 &amp; 491'!$D$86</definedName>
    <definedName name="OSRRefD22_14x_0" localSheetId="56">'311'!$D$110</definedName>
    <definedName name="OSRRefD22_14x_0" localSheetId="68">'313'!$D$75</definedName>
    <definedName name="OSRRefD22_14x_0" localSheetId="59">'315'!$D$104:$D$105</definedName>
    <definedName name="OSRRefD22_14x_0" localSheetId="70">'322'!$D$71</definedName>
    <definedName name="OSRRefD22_14x_0" localSheetId="72">'325'!$D$69:$D$74</definedName>
    <definedName name="OSRRefD22_14x_0" localSheetId="60">'326'!$D$99:$D$101</definedName>
    <definedName name="OSRRefD22_14x_0" localSheetId="52">'330'!$D$123:$D$125</definedName>
    <definedName name="OSRRefD22_14x_0" localSheetId="58">'331'!$D$115:$D$117</definedName>
    <definedName name="OSRRefD22_14x_0" localSheetId="78">'405'!$D$66:$D$72</definedName>
    <definedName name="OSRRefD22_14x_0" localSheetId="80">'411'!$D$75</definedName>
    <definedName name="OSRRefD22_14x_0" localSheetId="84">'414'!$D$71</definedName>
    <definedName name="OSRRefD22_14x_0" localSheetId="85">'415'!$D$71:$D$77</definedName>
    <definedName name="OSRRefD22_14x_0" localSheetId="86">'418'!$D$76</definedName>
    <definedName name="OSRRefD22_14x_0" localSheetId="89">'425'!$D$75</definedName>
    <definedName name="OSRRefD22_14x_0" localSheetId="93">'433'!$D$77</definedName>
    <definedName name="OSRRefD22_14x_0" localSheetId="95">'444'!$D$77</definedName>
    <definedName name="OSRRefD22_14x_0" localSheetId="97">'450'!$D$75</definedName>
    <definedName name="OSRRefD22_14x_0" localSheetId="77">'491'!$D$78</definedName>
    <definedName name="OSRRefD22_14x_0" localSheetId="91">'492'!$D$74:$D$81</definedName>
    <definedName name="OSRRefD22_14x_0" localSheetId="39">'Div 2'!$D$70:$D$71</definedName>
    <definedName name="OSRRefD22_14x_0" localSheetId="47">'Div 3'!$D$213</definedName>
    <definedName name="OSRRefD22_14x_0" localSheetId="75">'Div 4'!$D$79</definedName>
    <definedName name="OSRRefD22_14x_0" localSheetId="2">Summary!$D$249</definedName>
    <definedName name="OSRRefD22_15x_0" localSheetId="41">'201'!$D$66</definedName>
    <definedName name="OSRRefD22_15x_0" localSheetId="43">'203'!$D$67</definedName>
    <definedName name="OSRRefD22_15x_0" localSheetId="48">'300'!$D$210</definedName>
    <definedName name="OSRRefD22_15x_0" localSheetId="49">'300 &amp; 317'!$D$235</definedName>
    <definedName name="OSRRefD22_15x_0" localSheetId="50">'301'!$D$68:$D$70</definedName>
    <definedName name="OSRRefD22_15x_0" localSheetId="66">'310'!$D$77</definedName>
    <definedName name="OSRRefD22_15x_0" localSheetId="76">'310 &amp; 491'!$D$88</definedName>
    <definedName name="OSRRefD22_15x_0" localSheetId="72">'325'!$D$76</definedName>
    <definedName name="OSRRefD22_15x_0" localSheetId="60">'326'!$D$103</definedName>
    <definedName name="OSRRefD22_15x_0" localSheetId="52">'330'!$D$127</definedName>
    <definedName name="OSRRefD22_15x_0" localSheetId="58">'331'!$D$119:$D$120</definedName>
    <definedName name="OSRRefD22_15x_0" localSheetId="78">'405'!$D$74</definedName>
    <definedName name="OSRRefD22_15x_0" localSheetId="80">'411'!$D$77</definedName>
    <definedName name="OSRRefD22_15x_0" localSheetId="84">'414'!$D$73</definedName>
    <definedName name="OSRRefD22_15x_0" localSheetId="85">'415'!$D$79</definedName>
    <definedName name="OSRRefD22_15x_0" localSheetId="86">'418'!$D$78</definedName>
    <definedName name="OSRRefD22_15x_0" localSheetId="89">'425'!$D$77</definedName>
    <definedName name="OSRRefD22_15x_0" localSheetId="93">'433'!$D$79:$D$80</definedName>
    <definedName name="OSRRefD22_15x_0" localSheetId="95">'444'!$D$79</definedName>
    <definedName name="OSRRefD22_15x_0" localSheetId="97">'450'!$D$77</definedName>
    <definedName name="OSRRefD22_15x_0" localSheetId="77">'491'!$D$80:$D$82</definedName>
    <definedName name="OSRRefD22_15x_0" localSheetId="91">'492'!$D$83</definedName>
    <definedName name="OSRRefD22_15x_0" localSheetId="39">'Div 2'!$D$73</definedName>
    <definedName name="OSRRefD22_15x_0" localSheetId="47">'Div 3'!$D$215</definedName>
    <definedName name="OSRRefD22_15x_0" localSheetId="75">'Div 4'!$D$81</definedName>
    <definedName name="OSRRefD22_15x_0" localSheetId="2">Summary!$D$251</definedName>
    <definedName name="OSRRefD22_16x_0" localSheetId="41">'201'!$D$68:$D$69</definedName>
    <definedName name="OSRRefD22_16x_0" localSheetId="48">'300'!$D$212:$D$214</definedName>
    <definedName name="OSRRefD22_16x_0" localSheetId="49">'300 &amp; 317'!$D$237:$D$239</definedName>
    <definedName name="OSRRefD22_16x_0" localSheetId="50">'301'!$D$72</definedName>
    <definedName name="OSRRefD22_16x_0" localSheetId="66">'310'!$D$79:$D$82</definedName>
    <definedName name="OSRRefD22_16x_0" localSheetId="76">'310 &amp; 491'!$D$90:$D$92</definedName>
    <definedName name="OSRRefD22_16x_0" localSheetId="72">'325'!$D$78</definedName>
    <definedName name="OSRRefD22_16x_0" localSheetId="60">'326'!$D$105:$D$109</definedName>
    <definedName name="OSRRefD22_16x_0" localSheetId="52">'330'!$D$129</definedName>
    <definedName name="OSRRefD22_16x_0" localSheetId="58">'331'!$D$122:$D$124</definedName>
    <definedName name="OSRRefD22_16x_0" localSheetId="78">'405'!$D$76</definedName>
    <definedName name="OSRRefD22_16x_0" localSheetId="80">'411'!$D$79:$D$81</definedName>
    <definedName name="OSRRefD22_16x_0" localSheetId="85">'415'!$D$81</definedName>
    <definedName name="OSRRefD22_16x_0" localSheetId="95">'444'!$D$81</definedName>
    <definedName name="OSRRefD22_16x_0" localSheetId="97">'450'!$D$79:$D$80</definedName>
    <definedName name="OSRRefD22_16x_0" localSheetId="77">'491'!$D$84:$D$85</definedName>
    <definedName name="OSRRefD22_16x_0" localSheetId="91">'492'!$D$85</definedName>
    <definedName name="OSRRefD22_16x_0" localSheetId="39">'Div 2'!$D$75:$D$78</definedName>
    <definedName name="OSRRefD22_16x_0" localSheetId="47">'Div 3'!$D$217</definedName>
    <definedName name="OSRRefD22_16x_0" localSheetId="75">'Div 4'!$D$83:$D$85</definedName>
    <definedName name="OSRRefD22_16x_0" localSheetId="2">Summary!$D$253</definedName>
    <definedName name="OSRRefD22_17x_0" localSheetId="48">'300'!$D$216:$D$218</definedName>
    <definedName name="OSRRefD22_17x_0" localSheetId="49">'300 &amp; 317'!$D$241:$D$243</definedName>
    <definedName name="OSRRefD22_17x_0" localSheetId="50">'301'!$D$74:$D$78</definedName>
    <definedName name="OSRRefD22_17x_0" localSheetId="66">'310'!$D$84:$D$85</definedName>
    <definedName name="OSRRefD22_17x_0" localSheetId="76">'310 &amp; 491'!$D$94:$D$95</definedName>
    <definedName name="OSRRefD22_17x_0" localSheetId="60">'326'!$D$111</definedName>
    <definedName name="OSRRefD22_17x_0" localSheetId="58">'331'!$D$126:$D$127</definedName>
    <definedName name="OSRRefD22_17x_0" localSheetId="78">'405'!$D$78</definedName>
    <definedName name="OSRRefD22_17x_0" localSheetId="80">'411'!$D$83</definedName>
    <definedName name="OSRRefD22_17x_0" localSheetId="85">'415'!$D$83</definedName>
    <definedName name="OSRRefD22_17x_0" localSheetId="77">'491'!$D$87:$D$91</definedName>
    <definedName name="OSRRefD22_17x_0" localSheetId="91">'492'!$D$87:$D$88</definedName>
    <definedName name="OSRRefD22_17x_0" localSheetId="39">'Div 2'!$D$80:$D$81</definedName>
    <definedName name="OSRRefD22_17x_0" localSheetId="47">'Div 3'!$D$219:$D$221</definedName>
    <definedName name="OSRRefD22_17x_0" localSheetId="75">'Div 4'!$D$87:$D$88</definedName>
    <definedName name="OSRRefD22_17x_0" localSheetId="2">Summary!$D$255</definedName>
    <definedName name="OSRRefD22_18x_0" localSheetId="48">'300'!$D$220:$D$223</definedName>
    <definedName name="OSRRefD22_18x_0" localSheetId="49">'300 &amp; 317'!$D$245:$D$248</definedName>
    <definedName name="OSRRefD22_18x_0" localSheetId="50">'301'!$D$80</definedName>
    <definedName name="OSRRefD22_18x_0" localSheetId="66">'310'!$D$87:$D$93</definedName>
    <definedName name="OSRRefD22_18x_0" localSheetId="76">'310 &amp; 491'!$D$97:$D$101</definedName>
    <definedName name="OSRRefD22_18x_0" localSheetId="60">'326'!$D$113</definedName>
    <definedName name="OSRRefD22_18x_0" localSheetId="58">'331'!$D$129:$D$134</definedName>
    <definedName name="OSRRefD22_18x_0" localSheetId="77">'491'!$D$93</definedName>
    <definedName name="OSRRefD22_18x_0" localSheetId="39">'Div 2'!$D$83</definedName>
    <definedName name="OSRRefD22_18x_0" localSheetId="47">'Div 3'!$D$223:$D$225</definedName>
    <definedName name="OSRRefD22_18x_0" localSheetId="75">'Div 4'!$D$90:$D$94</definedName>
    <definedName name="OSRRefD22_18x_0" localSheetId="2">Summary!$D$257:$D$259</definedName>
    <definedName name="OSRRefD22_19x_0" localSheetId="48">'300'!$D$225:$D$226</definedName>
    <definedName name="OSRRefD22_19x_0" localSheetId="49">'300 &amp; 317'!$D$250:$D$251</definedName>
    <definedName name="OSRRefD22_19x_0" localSheetId="50">'301'!$D$82</definedName>
    <definedName name="OSRRefD22_19x_0" localSheetId="66">'310'!$D$95</definedName>
    <definedName name="OSRRefD22_19x_0" localSheetId="76">'310 &amp; 491'!$D$103:$D$104</definedName>
    <definedName name="OSRRefD22_19x_0" localSheetId="60">'326'!$D$115</definedName>
    <definedName name="OSRRefD22_19x_0" localSheetId="58">'331'!$D$136</definedName>
    <definedName name="OSRRefD22_19x_0" localSheetId="77">'491'!$D$95:$D$102</definedName>
    <definedName name="OSRRefD22_19x_0" localSheetId="39">'Div 2'!$D$85:$D$86</definedName>
    <definedName name="OSRRefD22_19x_0" localSheetId="47">'Div 3'!$D$227:$D$231</definedName>
    <definedName name="OSRRefD22_19x_0" localSheetId="75">'Div 4'!$D$96</definedName>
    <definedName name="OSRRefD22_19x_0" localSheetId="2">Summary!$D$261:$D$263</definedName>
    <definedName name="OSRRefD22_1x_0" localSheetId="40">'200'!$D$22</definedName>
    <definedName name="OSRRefD22_1x_0" localSheetId="41">'201'!$D$30:$D$32</definedName>
    <definedName name="OSRRefD22_1x_0" localSheetId="42">'202'!$D$29:$D$32</definedName>
    <definedName name="OSRRefD22_1x_0" localSheetId="43">'203'!$D$31:$D$34</definedName>
    <definedName name="OSRRefD22_1x_0" localSheetId="44">'204'!$D$30:$D$34</definedName>
    <definedName name="OSRRefD22_1x_0" localSheetId="45">'205'!$D$29</definedName>
    <definedName name="OSRRefD22_1x_0" localSheetId="46">'206'!$D$29:$D$34</definedName>
    <definedName name="OSRRefD22_1x_0" localSheetId="48">'300'!$D$172:$D$178</definedName>
    <definedName name="OSRRefD22_1x_0" localSheetId="49">'300 &amp; 317'!$D$197:$D$203</definedName>
    <definedName name="OSRRefD22_1x_0" localSheetId="50">'301'!$D$29:$D$35</definedName>
    <definedName name="OSRRefD22_1x_0" localSheetId="51">'306'!$D$30:$D$34</definedName>
    <definedName name="OSRRefD22_1x_0" localSheetId="53">'307'!$D$82:$D$85</definedName>
    <definedName name="OSRRefD22_1x_0" localSheetId="55">'308'!$D$74:$D$78</definedName>
    <definedName name="OSRRefD22_1x_0" localSheetId="67">'309'!$D$33:$D$37</definedName>
    <definedName name="OSRRefD22_1x_0" localSheetId="66">'310'!$D$41:$D$46</definedName>
    <definedName name="OSRRefD22_1x_0" localSheetId="76">'310 &amp; 491'!$D$50:$D$56</definedName>
    <definedName name="OSRRefD22_1x_0" localSheetId="56">'311'!$D$73:$D$77</definedName>
    <definedName name="OSRRefD22_1x_0" localSheetId="68">'313'!$D$38:$D$42</definedName>
    <definedName name="OSRRefD22_1x_0" localSheetId="54">'314'!$D$64:$D$67</definedName>
    <definedName name="OSRRefD22_1x_0" localSheetId="59">'315'!$D$64:$D$69</definedName>
    <definedName name="OSRRefD22_1x_0" localSheetId="62">'316'!$D$41:$D$44</definedName>
    <definedName name="OSRRefD22_1x_0" localSheetId="65">'317'!$D$68:$D$71</definedName>
    <definedName name="OSRRefD22_1x_0" localSheetId="63">'320'!$D$37:$D$39</definedName>
    <definedName name="OSRRefD22_1x_0" localSheetId="69">'321'!$D$32:$D$36</definedName>
    <definedName name="OSRRefD22_1x_0" localSheetId="70">'322'!$D$33:$D$37</definedName>
    <definedName name="OSRRefD22_1x_0" localSheetId="72">'325'!$D$33:$D$38</definedName>
    <definedName name="OSRRefD22_1x_0" localSheetId="60">'326'!$D$69:$D$72</definedName>
    <definedName name="OSRRefD22_1x_0" localSheetId="73">'327'!$D$24</definedName>
    <definedName name="OSRRefD22_1x_0" localSheetId="52">'330'!$D$90:$D$94</definedName>
    <definedName name="OSRRefD22_1x_0" localSheetId="58">'331'!$D$82:$D$87</definedName>
    <definedName name="OSRRefD22_1x_0" localSheetId="61">'332'!$D$50:$D$53</definedName>
    <definedName name="OSRRefD22_1x_0" localSheetId="78">'405'!$D$33:$D$36</definedName>
    <definedName name="OSRRefD22_1x_0" localSheetId="79">'406'!$D$33:$D$37</definedName>
    <definedName name="OSRRefD22_1x_0" localSheetId="80">'411'!$D$30:$D$35</definedName>
    <definedName name="OSRRefD22_1x_0" localSheetId="81">'412'!$D$33:$D$38</definedName>
    <definedName name="OSRRefD22_1x_0" localSheetId="83">'413'!$D$33:$D$37</definedName>
    <definedName name="OSRRefD22_1x_0" localSheetId="84">'414'!$D$33:$D$38</definedName>
    <definedName name="OSRRefD22_1x_0" localSheetId="85">'415'!$D$33:$D$38</definedName>
    <definedName name="OSRRefD22_1x_0" localSheetId="86">'418'!$D$33:$D$38</definedName>
    <definedName name="OSRRefD22_1x_0" localSheetId="82">'420'!$D$30:$D$33</definedName>
    <definedName name="OSRRefD22_1x_0" localSheetId="87">'423'!$D$30</definedName>
    <definedName name="OSRRefD22_1x_0" localSheetId="88">'424'!$D$28:$D$31</definedName>
    <definedName name="OSRRefD22_1x_0" localSheetId="89">'425'!$D$36:$D$40</definedName>
    <definedName name="OSRRefD22_1x_0" localSheetId="92">'430'!$D$29</definedName>
    <definedName name="OSRRefD22_1x_0" localSheetId="93">'433'!$D$36:$D$41</definedName>
    <definedName name="OSRRefD22_1x_0" localSheetId="94">'435'!$D$29:$D$30</definedName>
    <definedName name="OSRRefD22_1x_0" localSheetId="95">'444'!$D$35:$D$40</definedName>
    <definedName name="OSRRefD22_1x_0" localSheetId="97">'450'!$D$35:$D$40</definedName>
    <definedName name="OSRRefD22_1x_0" localSheetId="90">'455'!$D$28:$D$29</definedName>
    <definedName name="OSRRefD22_1x_0" localSheetId="77">'491'!$D$43:$D$49</definedName>
    <definedName name="OSRRefD22_1x_0" localSheetId="91">'492'!$D$38:$D$44</definedName>
    <definedName name="OSRRefD22_1x_0" localSheetId="99">'501'!$D$30:$D$35</definedName>
    <definedName name="OSRRefD22_1x_0" localSheetId="39">'Div 2'!$D$32:$D$38</definedName>
    <definedName name="OSRRefD22_1x_0" localSheetId="47">'Div 3'!$D$177:$D$183</definedName>
    <definedName name="OSRRefD22_1x_0" localSheetId="75">'Div 4'!$D$44:$D$50</definedName>
    <definedName name="OSRRefD22_1x_0" localSheetId="98">'Div 5'!$D$30:$D$35</definedName>
    <definedName name="OSRRefD22_1x_0" localSheetId="64">'Div 6'!$D$68:$D$71</definedName>
    <definedName name="OSRRefD22_1x_0" localSheetId="2">Summary!$D$211:$D$217</definedName>
    <definedName name="OSRRefD22_20x_0" localSheetId="48">'300'!$D$228:$D$234</definedName>
    <definedName name="OSRRefD22_20x_0" localSheetId="49">'300 &amp; 317'!$D$253:$D$259</definedName>
    <definedName name="OSRRefD22_20x_0" localSheetId="50">'301'!$D$84:$D$86</definedName>
    <definedName name="OSRRefD22_20x_0" localSheetId="66">'310'!$D$97</definedName>
    <definedName name="OSRRefD22_20x_0" localSheetId="76">'310 &amp; 491'!$D$106:$D$113</definedName>
    <definedName name="OSRRefD22_20x_0" localSheetId="58">'331'!$D$138</definedName>
    <definedName name="OSRRefD22_20x_0" localSheetId="77">'491'!$D$104</definedName>
    <definedName name="OSRRefD22_20x_0" localSheetId="47">'Div 3'!$D$233:$D$234</definedName>
    <definedName name="OSRRefD22_20x_0" localSheetId="75">'Div 4'!$D$98:$D$105</definedName>
    <definedName name="OSRRefD22_20x_0" localSheetId="2">Summary!$D$265:$D$269</definedName>
    <definedName name="OSRRefD22_21x_0" localSheetId="48">'300'!$D$236:$D$237</definedName>
    <definedName name="OSRRefD22_21x_0" localSheetId="49">'300 &amp; 317'!$D$261:$D$262</definedName>
    <definedName name="OSRRefD22_21x_0" localSheetId="50">'301'!$D$88</definedName>
    <definedName name="OSRRefD22_21x_0" localSheetId="66">'310'!$D$99</definedName>
    <definedName name="OSRRefD22_21x_0" localSheetId="76">'310 &amp; 491'!$D$115</definedName>
    <definedName name="OSRRefD22_21x_0" localSheetId="58">'331'!$D$140:$D$141</definedName>
    <definedName name="OSRRefD22_21x_0" localSheetId="77">'491'!$D$106</definedName>
    <definedName name="OSRRefD22_21x_0" localSheetId="47">'Div 3'!$D$236:$D$242</definedName>
    <definedName name="OSRRefD22_21x_0" localSheetId="75">'Div 4'!$D$107</definedName>
    <definedName name="OSRRefD22_21x_0" localSheetId="2">Summary!$D$271:$D$272</definedName>
    <definedName name="OSRRefD22_22x_0" localSheetId="48">'300'!$D$239</definedName>
    <definedName name="OSRRefD22_22x_0" localSheetId="49">'300 &amp; 317'!$D$264</definedName>
    <definedName name="OSRRefD22_22x_0" localSheetId="76">'310 &amp; 491'!$D$117</definedName>
    <definedName name="OSRRefD22_22x_0" localSheetId="58">'331'!$D$143</definedName>
    <definedName name="OSRRefD22_22x_0" localSheetId="77">'491'!$D$108:$D$110</definedName>
    <definedName name="OSRRefD22_22x_0" localSheetId="47">'Div 3'!$D$244:$D$245</definedName>
    <definedName name="OSRRefD22_22x_0" localSheetId="75">'Div 4'!$D$109</definedName>
    <definedName name="OSRRefD22_22x_0" localSheetId="2">Summary!$D$274:$D$281</definedName>
    <definedName name="OSRRefD22_23x_0" localSheetId="48">'300'!$D$241:$D$243</definedName>
    <definedName name="OSRRefD22_23x_0" localSheetId="49">'300 &amp; 317'!$D$266:$D$268</definedName>
    <definedName name="OSRRefD22_23x_0" localSheetId="76">'310 &amp; 491'!$D$119:$D$121</definedName>
    <definedName name="OSRRefD22_23x_0" localSheetId="77">'491'!$D$112</definedName>
    <definedName name="OSRRefD22_23x_0" localSheetId="47">'Div 3'!$D$247</definedName>
    <definedName name="OSRRefD22_23x_0" localSheetId="75">'Div 4'!$D$111:$D$113</definedName>
    <definedName name="OSRRefD22_23x_0" localSheetId="2">Summary!$D$283:$D$284</definedName>
    <definedName name="OSRRefD22_24x_0" localSheetId="48">'300'!$D$245</definedName>
    <definedName name="OSRRefD22_24x_0" localSheetId="49">'300 &amp; 317'!$D$270</definedName>
    <definedName name="OSRRefD22_24x_0" localSheetId="76">'310 &amp; 491'!$D$123</definedName>
    <definedName name="OSRRefD22_24x_0" localSheetId="47">'Div 3'!$D$249:$D$251</definedName>
    <definedName name="OSRRefD22_24x_0" localSheetId="75">'Div 4'!$D$115</definedName>
    <definedName name="OSRRefD22_24x_0" localSheetId="2">Summary!$D$286</definedName>
    <definedName name="OSRRefD22_25x_0" localSheetId="47">'Div 3'!$D$253</definedName>
    <definedName name="OSRRefD22_25x_0" localSheetId="2">Summary!$D$288:$D$290</definedName>
    <definedName name="OSRRefD22_26x_0" localSheetId="2">Summary!$D$292</definedName>
    <definedName name="OSRRefD22_2x_0" localSheetId="40">'200'!$D$24</definedName>
    <definedName name="OSRRefD22_2x_0" localSheetId="41">'201'!$D$34</definedName>
    <definedName name="OSRRefD22_2x_0" localSheetId="42">'202'!$D$34</definedName>
    <definedName name="OSRRefD22_2x_0" localSheetId="43">'203'!$D$36</definedName>
    <definedName name="OSRRefD22_2x_0" localSheetId="44">'204'!$D$36</definedName>
    <definedName name="OSRRefD22_2x_0" localSheetId="45">'205'!$D$31</definedName>
    <definedName name="OSRRefD22_2x_0" localSheetId="46">'206'!$D$36</definedName>
    <definedName name="OSRRefD22_2x_0" localSheetId="48">'300'!$D$180</definedName>
    <definedName name="OSRRefD22_2x_0" localSheetId="49">'300 &amp; 317'!$D$205</definedName>
    <definedName name="OSRRefD22_2x_0" localSheetId="50">'301'!$D$37</definedName>
    <definedName name="OSRRefD22_2x_0" localSheetId="51">'306'!$D$36</definedName>
    <definedName name="OSRRefD22_2x_0" localSheetId="53">'307'!$D$87</definedName>
    <definedName name="OSRRefD22_2x_0" localSheetId="55">'308'!$D$80</definedName>
    <definedName name="OSRRefD22_2x_0" localSheetId="67">'309'!$D$39</definedName>
    <definedName name="OSRRefD22_2x_0" localSheetId="66">'310'!$D$48</definedName>
    <definedName name="OSRRefD22_2x_0" localSheetId="76">'310 &amp; 491'!$D$58</definedName>
    <definedName name="OSRRefD22_2x_0" localSheetId="56">'311'!$D$79</definedName>
    <definedName name="OSRRefD22_2x_0" localSheetId="68">'313'!$D$44</definedName>
    <definedName name="OSRRefD22_2x_0" localSheetId="54">'314'!$D$69</definedName>
    <definedName name="OSRRefD22_2x_0" localSheetId="59">'315'!$D$71</definedName>
    <definedName name="OSRRefD22_2x_0" localSheetId="62">'316'!$D$46</definedName>
    <definedName name="OSRRefD22_2x_0" localSheetId="65">'317'!$D$73</definedName>
    <definedName name="OSRRefD22_2x_0" localSheetId="63">'320'!$D$41</definedName>
    <definedName name="OSRRefD22_2x_0" localSheetId="69">'321'!$D$38</definedName>
    <definedName name="OSRRefD22_2x_0" localSheetId="70">'322'!$D$39</definedName>
    <definedName name="OSRRefD22_2x_0" localSheetId="72">'325'!$D$40</definedName>
    <definedName name="OSRRefD22_2x_0" localSheetId="60">'326'!$D$74</definedName>
    <definedName name="OSRRefD22_2x_0" localSheetId="73">'327'!$D$26</definedName>
    <definedName name="OSRRefD22_2x_0" localSheetId="52">'330'!$D$96</definedName>
    <definedName name="OSRRefD22_2x_0" localSheetId="58">'331'!$D$89</definedName>
    <definedName name="OSRRefD22_2x_0" localSheetId="61">'332'!$D$55</definedName>
    <definedName name="OSRRefD22_2x_0" localSheetId="78">'405'!$D$38</definedName>
    <definedName name="OSRRefD22_2x_0" localSheetId="79">'406'!$D$39</definedName>
    <definedName name="OSRRefD22_2x_0" localSheetId="80">'411'!$D$37</definedName>
    <definedName name="OSRRefD22_2x_0" localSheetId="81">'412'!$D$40</definedName>
    <definedName name="OSRRefD22_2x_0" localSheetId="83">'413'!$D$39</definedName>
    <definedName name="OSRRefD22_2x_0" localSheetId="84">'414'!$D$40</definedName>
    <definedName name="OSRRefD22_2x_0" localSheetId="85">'415'!$D$40</definedName>
    <definedName name="OSRRefD22_2x_0" localSheetId="86">'418'!$D$40</definedName>
    <definedName name="OSRRefD22_2x_0" localSheetId="82">'420'!$D$35</definedName>
    <definedName name="OSRRefD22_2x_0" localSheetId="87">'423'!$D$32</definedName>
    <definedName name="OSRRefD22_2x_0" localSheetId="88">'424'!$D$33</definedName>
    <definedName name="OSRRefD22_2x_0" localSheetId="89">'425'!$D$42</definedName>
    <definedName name="OSRRefD22_2x_0" localSheetId="92">'430'!$D$31</definedName>
    <definedName name="OSRRefD22_2x_0" localSheetId="93">'433'!$D$43</definedName>
    <definedName name="OSRRefD22_2x_0" localSheetId="94">'435'!$D$32</definedName>
    <definedName name="OSRRefD22_2x_0" localSheetId="95">'444'!$D$42</definedName>
    <definedName name="OSRRefD22_2x_0" localSheetId="97">'450'!$D$42</definedName>
    <definedName name="OSRRefD22_2x_0" localSheetId="90">'455'!$D$31</definedName>
    <definedName name="OSRRefD22_2x_0" localSheetId="77">'491'!$D$51</definedName>
    <definedName name="OSRRefD22_2x_0" localSheetId="91">'492'!$D$46</definedName>
    <definedName name="OSRRefD22_2x_0" localSheetId="99">'501'!$D$37</definedName>
    <definedName name="OSRRefD22_2x_0" localSheetId="39">'Div 2'!$D$40</definedName>
    <definedName name="OSRRefD22_2x_0" localSheetId="47">'Div 3'!$D$185</definedName>
    <definedName name="OSRRefD22_2x_0" localSheetId="75">'Div 4'!$D$52</definedName>
    <definedName name="OSRRefD22_2x_0" localSheetId="98">'Div 5'!$D$37</definedName>
    <definedName name="OSRRefD22_2x_0" localSheetId="64">'Div 6'!$D$73</definedName>
    <definedName name="OSRRefD22_2x_0" localSheetId="2">Summary!$D$219</definedName>
    <definedName name="OSRRefD22_3x_0" localSheetId="40">'200'!$D$26</definedName>
    <definedName name="OSRRefD22_3x_0" localSheetId="41">'201'!$D$36</definedName>
    <definedName name="OSRRefD22_3x_0" localSheetId="42">'202'!$D$36</definedName>
    <definedName name="OSRRefD22_3x_0" localSheetId="43">'203'!$D$38</definedName>
    <definedName name="OSRRefD22_3x_0" localSheetId="44">'204'!$D$38:$D$39</definedName>
    <definedName name="OSRRefD22_3x_0" localSheetId="45">'205'!$D$33</definedName>
    <definedName name="OSRRefD22_3x_0" localSheetId="46">'206'!$D$38</definedName>
    <definedName name="OSRRefD22_3x_0" localSheetId="48">'300'!$D$182:$D$183</definedName>
    <definedName name="OSRRefD22_3x_0" localSheetId="49">'300 &amp; 317'!$D$207:$D$208</definedName>
    <definedName name="OSRRefD22_3x_0" localSheetId="50">'301'!$D$39:$D$40</definedName>
    <definedName name="OSRRefD22_3x_0" localSheetId="51">'306'!$D$38</definedName>
    <definedName name="OSRRefD22_3x_0" localSheetId="53">'307'!$D$89</definedName>
    <definedName name="OSRRefD22_3x_0" localSheetId="55">'308'!$D$82:$D$83</definedName>
    <definedName name="OSRRefD22_3x_0" localSheetId="67">'309'!$D$41</definedName>
    <definedName name="OSRRefD22_3x_0" localSheetId="66">'310'!$D$50</definedName>
    <definedName name="OSRRefD22_3x_0" localSheetId="76">'310 &amp; 491'!$D$60</definedName>
    <definedName name="OSRRefD22_3x_0" localSheetId="56">'311'!$D$81:$D$82</definedName>
    <definedName name="OSRRefD22_3x_0" localSheetId="68">'313'!$D$46</definedName>
    <definedName name="OSRRefD22_3x_0" localSheetId="54">'314'!$D$71:$D$72</definedName>
    <definedName name="OSRRefD22_3x_0" localSheetId="59">'315'!$D$73:$D$74</definedName>
    <definedName name="OSRRefD22_3x_0" localSheetId="62">'316'!$D$48</definedName>
    <definedName name="OSRRefD22_3x_0" localSheetId="65">'317'!$D$75</definedName>
    <definedName name="OSRRefD22_3x_0" localSheetId="63">'320'!$D$43</definedName>
    <definedName name="OSRRefD22_3x_0" localSheetId="69">'321'!$D$40</definedName>
    <definedName name="OSRRefD22_3x_0" localSheetId="70">'322'!$D$41</definedName>
    <definedName name="OSRRefD22_3x_0" localSheetId="72">'325'!$D$42</definedName>
    <definedName name="OSRRefD22_3x_0" localSheetId="60">'326'!$D$76</definedName>
    <definedName name="OSRRefD22_3x_0" localSheetId="52">'330'!$D$98</definedName>
    <definedName name="OSRRefD22_3x_0" localSheetId="58">'331'!$D$91</definedName>
    <definedName name="OSRRefD22_3x_0" localSheetId="61">'332'!$D$57</definedName>
    <definedName name="OSRRefD22_3x_0" localSheetId="78">'405'!$D$40</definedName>
    <definedName name="OSRRefD22_3x_0" localSheetId="79">'406'!$D$41</definedName>
    <definedName name="OSRRefD22_3x_0" localSheetId="80">'411'!$D$39:$D$41</definedName>
    <definedName name="OSRRefD22_3x_0" localSheetId="81">'412'!$D$42</definedName>
    <definedName name="OSRRefD22_3x_0" localSheetId="83">'413'!$D$41</definedName>
    <definedName name="OSRRefD22_3x_0" localSheetId="84">'414'!$D$42</definedName>
    <definedName name="OSRRefD22_3x_0" localSheetId="85">'415'!$D$42</definedName>
    <definedName name="OSRRefD22_3x_0" localSheetId="86">'418'!$D$42</definedName>
    <definedName name="OSRRefD22_3x_0" localSheetId="82">'420'!$D$37</definedName>
    <definedName name="OSRRefD22_3x_0" localSheetId="87">'423'!$D$34</definedName>
    <definedName name="OSRRefD22_3x_0" localSheetId="88">'424'!$D$35</definedName>
    <definedName name="OSRRefD22_3x_0" localSheetId="89">'425'!$D$44</definedName>
    <definedName name="OSRRefD22_3x_0" localSheetId="92">'430'!$D$33</definedName>
    <definedName name="OSRRefD22_3x_0" localSheetId="93">'433'!$D$45</definedName>
    <definedName name="OSRRefD22_3x_0" localSheetId="94">'435'!$D$34</definedName>
    <definedName name="OSRRefD22_3x_0" localSheetId="95">'444'!$D$44</definedName>
    <definedName name="OSRRefD22_3x_0" localSheetId="97">'450'!$D$44</definedName>
    <definedName name="OSRRefD22_3x_0" localSheetId="77">'491'!$D$53</definedName>
    <definedName name="OSRRefD22_3x_0" localSheetId="91">'492'!$D$48</definedName>
    <definedName name="OSRRefD22_3x_0" localSheetId="99">'501'!$D$39</definedName>
    <definedName name="OSRRefD22_3x_0" localSheetId="39">'Div 2'!$D$42</definedName>
    <definedName name="OSRRefD22_3x_0" localSheetId="47">'Div 3'!$D$187:$D$188</definedName>
    <definedName name="OSRRefD22_3x_0" localSheetId="75">'Div 4'!$D$54</definedName>
    <definedName name="OSRRefD22_3x_0" localSheetId="98">'Div 5'!$D$39</definedName>
    <definedName name="OSRRefD22_3x_0" localSheetId="64">'Div 6'!$D$75</definedName>
    <definedName name="OSRRefD22_3x_0" localSheetId="2">Summary!$D$221:$D$222</definedName>
    <definedName name="OSRRefD22_4x_0" localSheetId="40">'200'!$D$28:$D$29</definedName>
    <definedName name="OSRRefD22_4x_0" localSheetId="41">'201'!$D$38</definedName>
    <definedName name="OSRRefD22_4x_0" localSheetId="42">'202'!$D$38</definedName>
    <definedName name="OSRRefD22_4x_0" localSheetId="43">'203'!$D$40</definedName>
    <definedName name="OSRRefD22_4x_0" localSheetId="44">'204'!$D$41</definedName>
    <definedName name="OSRRefD22_4x_0" localSheetId="45">'205'!$D$35:$D$36</definedName>
    <definedName name="OSRRefD22_4x_0" localSheetId="46">'206'!$D$40</definedName>
    <definedName name="OSRRefD22_4x_0" localSheetId="48">'300'!$D$185</definedName>
    <definedName name="OSRRefD22_4x_0" localSheetId="49">'300 &amp; 317'!$D$210</definedName>
    <definedName name="OSRRefD22_4x_0" localSheetId="50">'301'!$D$42</definedName>
    <definedName name="OSRRefD22_4x_0" localSheetId="51">'306'!$D$40</definedName>
    <definedName name="OSRRefD22_4x_0" localSheetId="53">'307'!$D$91:$D$92</definedName>
    <definedName name="OSRRefD22_4x_0" localSheetId="55">'308'!$D$85</definedName>
    <definedName name="OSRRefD22_4x_0" localSheetId="67">'309'!$D$43</definedName>
    <definedName name="OSRRefD22_4x_0" localSheetId="66">'310'!$D$52</definedName>
    <definedName name="OSRRefD22_4x_0" localSheetId="76">'310 &amp; 491'!$D$62</definedName>
    <definedName name="OSRRefD22_4x_0" localSheetId="56">'311'!$D$84</definedName>
    <definedName name="OSRRefD22_4x_0" localSheetId="68">'313'!$D$48</definedName>
    <definedName name="OSRRefD22_4x_0" localSheetId="54">'314'!$D$74</definedName>
    <definedName name="OSRRefD22_4x_0" localSheetId="59">'315'!$D$76</definedName>
    <definedName name="OSRRefD22_4x_0" localSheetId="62">'316'!$D$50</definedName>
    <definedName name="OSRRefD22_4x_0" localSheetId="65">'317'!$D$77</definedName>
    <definedName name="OSRRefD22_4x_0" localSheetId="63">'320'!$D$45:$D$46</definedName>
    <definedName name="OSRRefD22_4x_0" localSheetId="69">'321'!$D$42</definedName>
    <definedName name="OSRRefD22_4x_0" localSheetId="70">'322'!$D$43</definedName>
    <definedName name="OSRRefD22_4x_0" localSheetId="72">'325'!$D$44</definedName>
    <definedName name="OSRRefD22_4x_0" localSheetId="60">'326'!$D$78</definedName>
    <definedName name="OSRRefD22_4x_0" localSheetId="52">'330'!$D$100:$D$101</definedName>
    <definedName name="OSRRefD22_4x_0" localSheetId="58">'331'!$D$93</definedName>
    <definedName name="OSRRefD22_4x_0" localSheetId="61">'332'!$D$59</definedName>
    <definedName name="OSRRefD22_4x_0" localSheetId="78">'405'!$D$42</definedName>
    <definedName name="OSRRefD22_4x_0" localSheetId="79">'406'!$D$43</definedName>
    <definedName name="OSRRefD22_4x_0" localSheetId="80">'411'!$D$43</definedName>
    <definedName name="OSRRefD22_4x_0" localSheetId="81">'412'!$D$44</definedName>
    <definedName name="OSRRefD22_4x_0" localSheetId="83">'413'!$D$43</definedName>
    <definedName name="OSRRefD22_4x_0" localSheetId="84">'414'!$D$44</definedName>
    <definedName name="OSRRefD22_4x_0" localSheetId="85">'415'!$D$44</definedName>
    <definedName name="OSRRefD22_4x_0" localSheetId="86">'418'!$D$44</definedName>
    <definedName name="OSRRefD22_4x_0" localSheetId="82">'420'!$D$39</definedName>
    <definedName name="OSRRefD22_4x_0" localSheetId="87">'423'!$D$36</definedName>
    <definedName name="OSRRefD22_4x_0" localSheetId="88">'424'!$D$37</definedName>
    <definedName name="OSRRefD22_4x_0" localSheetId="89">'425'!$D$46</definedName>
    <definedName name="OSRRefD22_4x_0" localSheetId="92">'430'!$D$35</definedName>
    <definedName name="OSRRefD22_4x_0" localSheetId="93">'433'!$D$47</definedName>
    <definedName name="OSRRefD22_4x_0" localSheetId="94">'435'!$D$36</definedName>
    <definedName name="OSRRefD22_4x_0" localSheetId="95">'444'!$D$46</definedName>
    <definedName name="OSRRefD22_4x_0" localSheetId="97">'450'!$D$46</definedName>
    <definedName name="OSRRefD22_4x_0" localSheetId="77">'491'!$D$55</definedName>
    <definedName name="OSRRefD22_4x_0" localSheetId="91">'492'!$D$50</definedName>
    <definedName name="OSRRefD22_4x_0" localSheetId="99">'501'!$D$41</definedName>
    <definedName name="OSRRefD22_4x_0" localSheetId="39">'Div 2'!$D$44</definedName>
    <definedName name="OSRRefD22_4x_0" localSheetId="47">'Div 3'!$D$190</definedName>
    <definedName name="OSRRefD22_4x_0" localSheetId="75">'Div 4'!$D$56</definedName>
    <definedName name="OSRRefD22_4x_0" localSheetId="98">'Div 5'!$D$41</definedName>
    <definedName name="OSRRefD22_4x_0" localSheetId="64">'Div 6'!$D$77</definedName>
    <definedName name="OSRRefD22_4x_0" localSheetId="2">Summary!$D$224</definedName>
    <definedName name="OSRRefD22_5x_0" localSheetId="41">'201'!$D$40</definedName>
    <definedName name="OSRRefD22_5x_0" localSheetId="42">'202'!$D$40</definedName>
    <definedName name="OSRRefD22_5x_0" localSheetId="43">'203'!$D$42</definedName>
    <definedName name="OSRRefD22_5x_0" localSheetId="44">'204'!$D$43</definedName>
    <definedName name="OSRRefD22_5x_0" localSheetId="45">'205'!$D$38</definedName>
    <definedName name="OSRRefD22_5x_0" localSheetId="46">'206'!$D$42:$D$43</definedName>
    <definedName name="OSRRefD22_5x_0" localSheetId="48">'300'!$D$187:$D$188</definedName>
    <definedName name="OSRRefD22_5x_0" localSheetId="49">'300 &amp; 317'!$D$212:$D$213</definedName>
    <definedName name="OSRRefD22_5x_0" localSheetId="50">'301'!$D$44:$D$45</definedName>
    <definedName name="OSRRefD22_5x_0" localSheetId="51">'306'!$D$42</definedName>
    <definedName name="OSRRefD22_5x_0" localSheetId="53">'307'!$D$94</definedName>
    <definedName name="OSRRefD22_5x_0" localSheetId="55">'308'!$D$87</definedName>
    <definedName name="OSRRefD22_5x_0" localSheetId="67">'309'!$D$45</definedName>
    <definedName name="OSRRefD22_5x_0" localSheetId="66">'310'!$D$54:$D$55</definedName>
    <definedName name="OSRRefD22_5x_0" localSheetId="76">'310 &amp; 491'!$D$64:$D$66</definedName>
    <definedName name="OSRRefD22_5x_0" localSheetId="56">'311'!$D$86</definedName>
    <definedName name="OSRRefD22_5x_0" localSheetId="68">'313'!$D$50</definedName>
    <definedName name="OSRRefD22_5x_0" localSheetId="54">'314'!$D$76</definedName>
    <definedName name="OSRRefD22_5x_0" localSheetId="59">'315'!$D$78:$D$79</definedName>
    <definedName name="OSRRefD22_5x_0" localSheetId="62">'316'!$D$52</definedName>
    <definedName name="OSRRefD22_5x_0" localSheetId="65">'317'!$D$79</definedName>
    <definedName name="OSRRefD22_5x_0" localSheetId="63">'320'!$D$48</definedName>
    <definedName name="OSRRefD22_5x_0" localSheetId="69">'321'!$D$44</definedName>
    <definedName name="OSRRefD22_5x_0" localSheetId="70">'322'!$D$45</definedName>
    <definedName name="OSRRefD22_5x_0" localSheetId="72">'325'!$D$46:$D$47</definedName>
    <definedName name="OSRRefD22_5x_0" localSheetId="60">'326'!$D$80</definedName>
    <definedName name="OSRRefD22_5x_0" localSheetId="52">'330'!$D$103</definedName>
    <definedName name="OSRRefD22_5x_0" localSheetId="58">'331'!$D$95:$D$96</definedName>
    <definedName name="OSRRefD22_5x_0" localSheetId="61">'332'!$D$61:$D$62</definedName>
    <definedName name="OSRRefD22_5x_0" localSheetId="78">'405'!$D$44:$D$45</definedName>
    <definedName name="OSRRefD22_5x_0" localSheetId="79">'406'!$D$45</definedName>
    <definedName name="OSRRefD22_5x_0" localSheetId="80">'411'!$D$45</definedName>
    <definedName name="OSRRefD22_5x_0" localSheetId="81">'412'!$D$46</definedName>
    <definedName name="OSRRefD22_5x_0" localSheetId="83">'413'!$D$45</definedName>
    <definedName name="OSRRefD22_5x_0" localSheetId="84">'414'!$D$46</definedName>
    <definedName name="OSRRefD22_5x_0" localSheetId="85">'415'!$D$46:$D$47</definedName>
    <definedName name="OSRRefD22_5x_0" localSheetId="86">'418'!$D$46:$D$47</definedName>
    <definedName name="OSRRefD22_5x_0" localSheetId="87">'423'!$D$38</definedName>
    <definedName name="OSRRefD22_5x_0" localSheetId="88">'424'!$D$39</definedName>
    <definedName name="OSRRefD22_5x_0" localSheetId="89">'425'!$D$48</definedName>
    <definedName name="OSRRefD22_5x_0" localSheetId="92">'430'!$D$37</definedName>
    <definedName name="OSRRefD22_5x_0" localSheetId="93">'433'!$D$49</definedName>
    <definedName name="OSRRefD22_5x_0" localSheetId="94">'435'!$D$38</definedName>
    <definedName name="OSRRefD22_5x_0" localSheetId="95">'444'!$D$48</definedName>
    <definedName name="OSRRefD22_5x_0" localSheetId="97">'450'!$D$48</definedName>
    <definedName name="OSRRefD22_5x_0" localSheetId="77">'491'!$D$57:$D$59</definedName>
    <definedName name="OSRRefD22_5x_0" localSheetId="91">'492'!$D$52</definedName>
    <definedName name="OSRRefD22_5x_0" localSheetId="99">'501'!$D$43</definedName>
    <definedName name="OSRRefD22_5x_0" localSheetId="39">'Div 2'!$D$46:$D$47</definedName>
    <definedName name="OSRRefD22_5x_0" localSheetId="47">'Div 3'!$D$192:$D$193</definedName>
    <definedName name="OSRRefD22_5x_0" localSheetId="75">'Div 4'!$D$58:$D$60</definedName>
    <definedName name="OSRRefD22_5x_0" localSheetId="98">'Div 5'!$D$43</definedName>
    <definedName name="OSRRefD22_5x_0" localSheetId="64">'Div 6'!$D$79</definedName>
    <definedName name="OSRRefD22_5x_0" localSheetId="2">Summary!$D$226:$D$228</definedName>
    <definedName name="OSRRefD22_6x_0" localSheetId="41">'201'!$D$42</definedName>
    <definedName name="OSRRefD22_6x_0" localSheetId="42">'202'!$D$42</definedName>
    <definedName name="OSRRefD22_6x_0" localSheetId="43">'203'!$D$44</definedName>
    <definedName name="OSRRefD22_6x_0" localSheetId="44">'204'!$D$45:$D$47</definedName>
    <definedName name="OSRRefD22_6x_0" localSheetId="45">'205'!$D$40:$D$41</definedName>
    <definedName name="OSRRefD22_6x_0" localSheetId="46">'206'!$D$45</definedName>
    <definedName name="OSRRefD22_6x_0" localSheetId="48">'300'!$D$190:$D$191</definedName>
    <definedName name="OSRRefD22_6x_0" localSheetId="49">'300 &amp; 317'!$D$215:$D$216</definedName>
    <definedName name="OSRRefD22_6x_0" localSheetId="50">'301'!$D$47:$D$48</definedName>
    <definedName name="OSRRefD22_6x_0" localSheetId="51">'306'!$D$44</definedName>
    <definedName name="OSRRefD22_6x_0" localSheetId="53">'307'!$D$96</definedName>
    <definedName name="OSRRefD22_6x_0" localSheetId="55">'308'!$D$89:$D$90</definedName>
    <definedName name="OSRRefD22_6x_0" localSheetId="67">'309'!$D$47</definedName>
    <definedName name="OSRRefD22_6x_0" localSheetId="66">'310'!$D$57</definedName>
    <definedName name="OSRRefD22_6x_0" localSheetId="76">'310 &amp; 491'!$D$68</definedName>
    <definedName name="OSRRefD22_6x_0" localSheetId="56">'311'!$D$88:$D$89</definedName>
    <definedName name="OSRRefD22_6x_0" localSheetId="68">'313'!$D$52</definedName>
    <definedName name="OSRRefD22_6x_0" localSheetId="54">'314'!$D$78</definedName>
    <definedName name="OSRRefD22_6x_0" localSheetId="59">'315'!$D$81</definedName>
    <definedName name="OSRRefD22_6x_0" localSheetId="62">'316'!$D$54</definedName>
    <definedName name="OSRRefD22_6x_0" localSheetId="65">'317'!$D$81</definedName>
    <definedName name="OSRRefD22_6x_0" localSheetId="63">'320'!$D$50</definedName>
    <definedName name="OSRRefD22_6x_0" localSheetId="69">'321'!$D$46:$D$48</definedName>
    <definedName name="OSRRefD22_6x_0" localSheetId="70">'322'!$D$47</definedName>
    <definedName name="OSRRefD22_6x_0" localSheetId="72">'325'!$D$49</definedName>
    <definedName name="OSRRefD22_6x_0" localSheetId="60">'326'!$D$82</definedName>
    <definedName name="OSRRefD22_6x_0" localSheetId="52">'330'!$D$105</definedName>
    <definedName name="OSRRefD22_6x_0" localSheetId="58">'331'!$D$98</definedName>
    <definedName name="OSRRefD22_6x_0" localSheetId="61">'332'!$D$64</definedName>
    <definedName name="OSRRefD22_6x_0" localSheetId="78">'405'!$D$47</definedName>
    <definedName name="OSRRefD22_6x_0" localSheetId="79">'406'!$D$47</definedName>
    <definedName name="OSRRefD22_6x_0" localSheetId="80">'411'!$D$47</definedName>
    <definedName name="OSRRefD22_6x_0" localSheetId="81">'412'!$D$48</definedName>
    <definedName name="OSRRefD22_6x_0" localSheetId="83">'413'!$D$47</definedName>
    <definedName name="OSRRefD22_6x_0" localSheetId="84">'414'!$D$48</definedName>
    <definedName name="OSRRefD22_6x_0" localSheetId="85">'415'!$D$49</definedName>
    <definedName name="OSRRefD22_6x_0" localSheetId="86">'418'!$D$49</definedName>
    <definedName name="OSRRefD22_6x_0" localSheetId="88">'424'!$D$41</definedName>
    <definedName name="OSRRefD22_6x_0" localSheetId="89">'425'!$D$50</definedName>
    <definedName name="OSRRefD22_6x_0" localSheetId="92">'430'!$D$39:$D$40</definedName>
    <definedName name="OSRRefD22_6x_0" localSheetId="93">'433'!$D$51</definedName>
    <definedName name="OSRRefD22_6x_0" localSheetId="94">'435'!$D$40</definedName>
    <definedName name="OSRRefD22_6x_0" localSheetId="95">'444'!$D$50</definedName>
    <definedName name="OSRRefD22_6x_0" localSheetId="97">'450'!$D$50</definedName>
    <definedName name="OSRRefD22_6x_0" localSheetId="77">'491'!$D$61</definedName>
    <definedName name="OSRRefD22_6x_0" localSheetId="91">'492'!$D$54</definedName>
    <definedName name="OSRRefD22_6x_0" localSheetId="99">'501'!$D$45</definedName>
    <definedName name="OSRRefD22_6x_0" localSheetId="39">'Div 2'!$D$49</definedName>
    <definedName name="OSRRefD22_6x_0" localSheetId="47">'Div 3'!$D$195:$D$196</definedName>
    <definedName name="OSRRefD22_6x_0" localSheetId="75">'Div 4'!$D$62</definedName>
    <definedName name="OSRRefD22_6x_0" localSheetId="98">'Div 5'!$D$45</definedName>
    <definedName name="OSRRefD22_6x_0" localSheetId="64">'Div 6'!$D$81</definedName>
    <definedName name="OSRRefD22_6x_0" localSheetId="2">Summary!$D$230:$D$231</definedName>
    <definedName name="OSRRefD22_7x_0" localSheetId="41">'201'!$D$44</definedName>
    <definedName name="OSRRefD22_7x_0" localSheetId="42">'202'!$D$44</definedName>
    <definedName name="OSRRefD22_7x_0" localSheetId="43">'203'!$D$46</definedName>
    <definedName name="OSRRefD22_7x_0" localSheetId="44">'204'!$D$49:$D$50</definedName>
    <definedName name="OSRRefD22_7x_0" localSheetId="45">'205'!$D$43</definedName>
    <definedName name="OSRRefD22_7x_0" localSheetId="46">'206'!$D$47</definedName>
    <definedName name="OSRRefD22_7x_0" localSheetId="48">'300'!$D$193</definedName>
    <definedName name="OSRRefD22_7x_0" localSheetId="49">'300 &amp; 317'!$D$218</definedName>
    <definedName name="OSRRefD22_7x_0" localSheetId="50">'301'!$D$50</definedName>
    <definedName name="OSRRefD22_7x_0" localSheetId="51">'306'!$D$46:$D$47</definedName>
    <definedName name="OSRRefD22_7x_0" localSheetId="53">'307'!$D$98</definedName>
    <definedName name="OSRRefD22_7x_0" localSheetId="55">'308'!$D$92</definedName>
    <definedName name="OSRRefD22_7x_0" localSheetId="67">'309'!$D$49:$D$50</definedName>
    <definedName name="OSRRefD22_7x_0" localSheetId="66">'310'!$D$59</definedName>
    <definedName name="OSRRefD22_7x_0" localSheetId="76">'310 &amp; 491'!$D$70</definedName>
    <definedName name="OSRRefD22_7x_0" localSheetId="56">'311'!$D$91</definedName>
    <definedName name="OSRRefD22_7x_0" localSheetId="68">'313'!$D$54</definedName>
    <definedName name="OSRRefD22_7x_0" localSheetId="54">'314'!$D$80:$D$81</definedName>
    <definedName name="OSRRefD22_7x_0" localSheetId="59">'315'!$D$83</definedName>
    <definedName name="OSRRefD22_7x_0" localSheetId="62">'316'!$D$56:$D$57</definedName>
    <definedName name="OSRRefD22_7x_0" localSheetId="65">'317'!$D$83</definedName>
    <definedName name="OSRRefD22_7x_0" localSheetId="63">'320'!$D$52:$D$53</definedName>
    <definedName name="OSRRefD22_7x_0" localSheetId="69">'321'!$D$50</definedName>
    <definedName name="OSRRefD22_7x_0" localSheetId="70">'322'!$D$49</definedName>
    <definedName name="OSRRefD22_7x_0" localSheetId="72">'325'!$D$51</definedName>
    <definedName name="OSRRefD22_7x_0" localSheetId="60">'326'!$D$84</definedName>
    <definedName name="OSRRefD22_7x_0" localSheetId="52">'330'!$D$107</definedName>
    <definedName name="OSRRefD22_7x_0" localSheetId="58">'331'!$D$100</definedName>
    <definedName name="OSRRefD22_7x_0" localSheetId="61">'332'!$D$66</definedName>
    <definedName name="OSRRefD22_7x_0" localSheetId="78">'405'!$D$49</definedName>
    <definedName name="OSRRefD22_7x_0" localSheetId="79">'406'!$D$49</definedName>
    <definedName name="OSRRefD22_7x_0" localSheetId="80">'411'!$D$49</definedName>
    <definedName name="OSRRefD22_7x_0" localSheetId="81">'412'!$D$50</definedName>
    <definedName name="OSRRefD22_7x_0" localSheetId="83">'413'!$D$49:$D$51</definedName>
    <definedName name="OSRRefD22_7x_0" localSheetId="84">'414'!$D$50</definedName>
    <definedName name="OSRRefD22_7x_0" localSheetId="85">'415'!$D$51</definedName>
    <definedName name="OSRRefD22_7x_0" localSheetId="86">'418'!$D$51</definedName>
    <definedName name="OSRRefD22_7x_0" localSheetId="88">'424'!$D$43:$D$44</definedName>
    <definedName name="OSRRefD22_7x_0" localSheetId="89">'425'!$D$52</definedName>
    <definedName name="OSRRefD22_7x_0" localSheetId="92">'430'!$D$42</definedName>
    <definedName name="OSRRefD22_7x_0" localSheetId="93">'433'!$D$53</definedName>
    <definedName name="OSRRefD22_7x_0" localSheetId="94">'435'!$D$42:$D$45</definedName>
    <definedName name="OSRRefD22_7x_0" localSheetId="95">'444'!$D$52</definedName>
    <definedName name="OSRRefD22_7x_0" localSheetId="97">'450'!$D$52</definedName>
    <definedName name="OSRRefD22_7x_0" localSheetId="77">'491'!$D$63</definedName>
    <definedName name="OSRRefD22_7x_0" localSheetId="91">'492'!$D$56</definedName>
    <definedName name="OSRRefD22_7x_0" localSheetId="99">'501'!$D$47</definedName>
    <definedName name="OSRRefD22_7x_0" localSheetId="39">'Div 2'!$D$51</definedName>
    <definedName name="OSRRefD22_7x_0" localSheetId="47">'Div 3'!$D$198</definedName>
    <definedName name="OSRRefD22_7x_0" localSheetId="75">'Div 4'!$D$64</definedName>
    <definedName name="OSRRefD22_7x_0" localSheetId="98">'Div 5'!$D$47</definedName>
    <definedName name="OSRRefD22_7x_0" localSheetId="64">'Div 6'!$D$83</definedName>
    <definedName name="OSRRefD22_7x_0" localSheetId="2">Summary!$D$233</definedName>
    <definedName name="OSRRefD22_8x_0" localSheetId="41">'201'!$D$46</definedName>
    <definedName name="OSRRefD22_8x_0" localSheetId="42">'202'!$D$46</definedName>
    <definedName name="OSRRefD22_8x_0" localSheetId="43">'203'!$D$48</definedName>
    <definedName name="OSRRefD22_8x_0" localSheetId="44">'204'!$D$52:$D$53</definedName>
    <definedName name="OSRRefD22_8x_0" localSheetId="45">'205'!$D$45</definedName>
    <definedName name="OSRRefD22_8x_0" localSheetId="48">'300'!$D$195</definedName>
    <definedName name="OSRRefD22_8x_0" localSheetId="49">'300 &amp; 317'!$D$220</definedName>
    <definedName name="OSRRefD22_8x_0" localSheetId="50">'301'!$D$52</definedName>
    <definedName name="OSRRefD22_8x_0" localSheetId="51">'306'!$D$49:$D$53</definedName>
    <definedName name="OSRRefD22_8x_0" localSheetId="53">'307'!$D$100</definedName>
    <definedName name="OSRRefD22_8x_0" localSheetId="55">'308'!$D$94</definedName>
    <definedName name="OSRRefD22_8x_0" localSheetId="67">'309'!$D$52:$D$54</definedName>
    <definedName name="OSRRefD22_8x_0" localSheetId="66">'310'!$D$61</definedName>
    <definedName name="OSRRefD22_8x_0" localSheetId="76">'310 &amp; 491'!$D$72</definedName>
    <definedName name="OSRRefD22_8x_0" localSheetId="56">'311'!$D$93</definedName>
    <definedName name="OSRRefD22_8x_0" localSheetId="68">'313'!$D$56</definedName>
    <definedName name="OSRRefD22_8x_0" localSheetId="54">'314'!$D$83</definedName>
    <definedName name="OSRRefD22_8x_0" localSheetId="59">'315'!$D$85:$D$86</definedName>
    <definedName name="OSRRefD22_8x_0" localSheetId="62">'316'!$D$59</definedName>
    <definedName name="OSRRefD22_8x_0" localSheetId="65">'317'!$D$85</definedName>
    <definedName name="OSRRefD22_8x_0" localSheetId="63">'320'!$D$55</definedName>
    <definedName name="OSRRefD22_8x_0" localSheetId="69">'321'!$D$52:$D$54</definedName>
    <definedName name="OSRRefD22_8x_0" localSheetId="70">'322'!$D$51</definedName>
    <definedName name="OSRRefD22_8x_0" localSheetId="72">'325'!$D$53</definedName>
    <definedName name="OSRRefD22_8x_0" localSheetId="60">'326'!$D$86</definedName>
    <definedName name="OSRRefD22_8x_0" localSheetId="52">'330'!$D$109</definedName>
    <definedName name="OSRRefD22_8x_0" localSheetId="58">'331'!$D$102:$D$103</definedName>
    <definedName name="OSRRefD22_8x_0" localSheetId="61">'332'!$D$68:$D$69</definedName>
    <definedName name="OSRRefD22_8x_0" localSheetId="78">'405'!$D$51</definedName>
    <definedName name="OSRRefD22_8x_0" localSheetId="79">'406'!$D$51</definedName>
    <definedName name="OSRRefD22_8x_0" localSheetId="80">'411'!$D$51</definedName>
    <definedName name="OSRRefD22_8x_0" localSheetId="81">'412'!$D$52:$D$53</definedName>
    <definedName name="OSRRefD22_8x_0" localSheetId="83">'413'!$D$53:$D$54</definedName>
    <definedName name="OSRRefD22_8x_0" localSheetId="84">'414'!$D$52</definedName>
    <definedName name="OSRRefD22_8x_0" localSheetId="85">'415'!$D$53</definedName>
    <definedName name="OSRRefD22_8x_0" localSheetId="86">'418'!$D$53</definedName>
    <definedName name="OSRRefD22_8x_0" localSheetId="88">'424'!$D$46</definedName>
    <definedName name="OSRRefD22_8x_0" localSheetId="89">'425'!$D$54</definedName>
    <definedName name="OSRRefD22_8x_0" localSheetId="92">'430'!$D$44</definedName>
    <definedName name="OSRRefD22_8x_0" localSheetId="93">'433'!$D$55</definedName>
    <definedName name="OSRRefD22_8x_0" localSheetId="94">'435'!$D$47</definedName>
    <definedName name="OSRRefD22_8x_0" localSheetId="95">'444'!$D$54</definedName>
    <definedName name="OSRRefD22_8x_0" localSheetId="97">'450'!$D$54</definedName>
    <definedName name="OSRRefD22_8x_0" localSheetId="77">'491'!$D$65</definedName>
    <definedName name="OSRRefD22_8x_0" localSheetId="91">'492'!$D$58</definedName>
    <definedName name="OSRRefD22_8x_0" localSheetId="99">'501'!$D$49</definedName>
    <definedName name="OSRRefD22_8x_0" localSheetId="39">'Div 2'!$D$53</definedName>
    <definedName name="OSRRefD22_8x_0" localSheetId="47">'Div 3'!$D$200</definedName>
    <definedName name="OSRRefD22_8x_0" localSheetId="75">'Div 4'!$D$66</definedName>
    <definedName name="OSRRefD22_8x_0" localSheetId="98">'Div 5'!$D$49</definedName>
    <definedName name="OSRRefD22_8x_0" localSheetId="64">'Div 6'!$D$85</definedName>
    <definedName name="OSRRefD22_8x_0" localSheetId="2">Summary!$D$235</definedName>
    <definedName name="OSRRefD22_9x_0" localSheetId="41">'201'!$D$48</definedName>
    <definedName name="OSRRefD22_9x_0" localSheetId="42">'202'!$D$48:$D$50</definedName>
    <definedName name="OSRRefD22_9x_0" localSheetId="43">'203'!$D$50:$D$52</definedName>
    <definedName name="OSRRefD22_9x_0" localSheetId="44">'204'!$D$55</definedName>
    <definedName name="OSRRefD22_9x_0" localSheetId="48">'300'!$D$197</definedName>
    <definedName name="OSRRefD22_9x_0" localSheetId="49">'300 &amp; 317'!$D$222</definedName>
    <definedName name="OSRRefD22_9x_0" localSheetId="50">'301'!$D$54</definedName>
    <definedName name="OSRRefD22_9x_0" localSheetId="51">'306'!$D$55</definedName>
    <definedName name="OSRRefD22_9x_0" localSheetId="53">'307'!$D$102:$D$103</definedName>
    <definedName name="OSRRefD22_9x_0" localSheetId="55">'308'!$D$96:$D$97</definedName>
    <definedName name="OSRRefD22_9x_0" localSheetId="67">'309'!$D$56</definedName>
    <definedName name="OSRRefD22_9x_0" localSheetId="66">'310'!$D$63</definedName>
    <definedName name="OSRRefD22_9x_0" localSheetId="76">'310 &amp; 491'!$D$74</definedName>
    <definedName name="OSRRefD22_9x_0" localSheetId="56">'311'!$D$95:$D$96</definedName>
    <definedName name="OSRRefD22_9x_0" localSheetId="68">'313'!$D$58:$D$60</definedName>
    <definedName name="OSRRefD22_9x_0" localSheetId="59">'315'!$D$88:$D$89</definedName>
    <definedName name="OSRRefD22_9x_0" localSheetId="62">'316'!$D$61:$D$64</definedName>
    <definedName name="OSRRefD22_9x_0" localSheetId="65">'317'!$D$87:$D$88</definedName>
    <definedName name="OSRRefD22_9x_0" localSheetId="69">'321'!$D$56:$D$60</definedName>
    <definedName name="OSRRefD22_9x_0" localSheetId="70">'322'!$D$53:$D$54</definedName>
    <definedName name="OSRRefD22_9x_0" localSheetId="72">'325'!$D$55</definedName>
    <definedName name="OSRRefD22_9x_0" localSheetId="60">'326'!$D$88</definedName>
    <definedName name="OSRRefD22_9x_0" localSheetId="52">'330'!$D$111</definedName>
    <definedName name="OSRRefD22_9x_0" localSheetId="58">'331'!$D$105</definedName>
    <definedName name="OSRRefD22_9x_0" localSheetId="61">'332'!$D$71</definedName>
    <definedName name="OSRRefD22_9x_0" localSheetId="78">'405'!$D$53</definedName>
    <definedName name="OSRRefD22_9x_0" localSheetId="79">'406'!$D$53:$D$55</definedName>
    <definedName name="OSRRefD22_9x_0" localSheetId="80">'411'!$D$53</definedName>
    <definedName name="OSRRefD22_9x_0" localSheetId="81">'412'!$D$55</definedName>
    <definedName name="OSRRefD22_9x_0" localSheetId="83">'413'!$D$56:$D$60</definedName>
    <definedName name="OSRRefD22_9x_0" localSheetId="84">'414'!$D$54:$D$55</definedName>
    <definedName name="OSRRefD22_9x_0" localSheetId="85">'415'!$D$55</definedName>
    <definedName name="OSRRefD22_9x_0" localSheetId="86">'418'!$D$55:$D$56</definedName>
    <definedName name="OSRRefD22_9x_0" localSheetId="88">'424'!$D$48</definedName>
    <definedName name="OSRRefD22_9x_0" localSheetId="89">'425'!$D$56:$D$58</definedName>
    <definedName name="OSRRefD22_9x_0" localSheetId="92">'430'!$D$46</definedName>
    <definedName name="OSRRefD22_9x_0" localSheetId="93">'433'!$D$57</definedName>
    <definedName name="OSRRefD22_9x_0" localSheetId="95">'444'!$D$56</definedName>
    <definedName name="OSRRefD22_9x_0" localSheetId="97">'450'!$D$56</definedName>
    <definedName name="OSRRefD22_9x_0" localSheetId="77">'491'!$D$67</definedName>
    <definedName name="OSRRefD22_9x_0" localSheetId="91">'492'!$D$60</definedName>
    <definedName name="OSRRefD22_9x_0" localSheetId="99">'501'!$D$51</definedName>
    <definedName name="OSRRefD22_9x_0" localSheetId="39">'Div 2'!$D$55</definedName>
    <definedName name="OSRRefD22_9x_0" localSheetId="47">'Div 3'!$D$202</definedName>
    <definedName name="OSRRefD22_9x_0" localSheetId="75">'Div 4'!$D$68</definedName>
    <definedName name="OSRRefD22_9x_0" localSheetId="98">'Div 5'!$D$51</definedName>
    <definedName name="OSRRefD22_9x_0" localSheetId="64">'Div 6'!$D$87:$D$88</definedName>
    <definedName name="OSRRefD22_9x_0" localSheetId="2">Summary!$D$237</definedName>
    <definedName name="OSRRefD22x_0" localSheetId="40">'200'!$D$20,'200'!$D$22,'200'!$D$24,'200'!$D$26,'200'!$D$28:$D$29</definedName>
    <definedName name="OSRRefD22x_0" localSheetId="41">'201'!$D$20:$D$28,'201'!$D$30:$D$32,'201'!$D$34,'201'!$D$36,'201'!$D$38,'201'!$D$40,'201'!$D$42,'201'!$D$44,'201'!$D$46,'201'!$D$48,'201'!$D$50:$D$52,'201'!$D$54:$D$56,'201'!$D$58,'201'!$D$60:$D$62,'201'!$D$64,'201'!$D$66,'201'!$D$68:$D$69</definedName>
    <definedName name="OSRRefD22x_0" localSheetId="42">'202'!$D$20:$D$27,'202'!$D$29:$D$32,'202'!$D$34,'202'!$D$36,'202'!$D$38,'202'!$D$40,'202'!$D$42,'202'!$D$44,'202'!$D$46,'202'!$D$48:$D$50,'202'!$D$52,'202'!$D$54,'202'!$D$56:$D$58,'202'!$D$60,'202'!$D$62</definedName>
    <definedName name="OSRRefD22x_0" localSheetId="43">'203'!$D$20:$D$29,'203'!$D$31:$D$34,'203'!$D$36,'203'!$D$38,'203'!$D$40,'203'!$D$42,'203'!$D$44,'203'!$D$46,'203'!$D$48,'203'!$D$50:$D$52,'203'!$D$54:$D$55,'203'!$D$57,'203'!$D$59:$D$61,'203'!$D$63,'203'!$D$65,'203'!$D$67</definedName>
    <definedName name="OSRRefD22x_0" localSheetId="44">'204'!$D$20:$D$28,'204'!$D$30:$D$34,'204'!$D$36,'204'!$D$38:$D$39,'204'!$D$41,'204'!$D$43,'204'!$D$45:$D$47,'204'!$D$49:$D$50,'204'!$D$52:$D$53,'204'!$D$55,'204'!$D$57:$D$58</definedName>
    <definedName name="OSRRefD22x_0" localSheetId="45">'205'!$D$20:$D$27,'205'!$D$29,'205'!$D$31,'205'!$D$33,'205'!$D$35:$D$36,'205'!$D$38,'205'!$D$40:$D$41,'205'!$D$43,'205'!$D$45</definedName>
    <definedName name="OSRRefD22x_0" localSheetId="46">'206'!$D$20:$D$27,'206'!$D$29:$D$34,'206'!$D$36,'206'!$D$38,'206'!$D$40,'206'!$D$42:$D$43,'206'!$D$45,'206'!$D$47</definedName>
    <definedName name="OSRRefD22x_0" localSheetId="48">'300'!$D$162:$D$170,'300'!$D$172:$D$178,'300'!$D$180,'300'!$D$182:$D$183,'300'!$D$185,'300'!$D$187:$D$188,'300'!$D$190:$D$191,'300'!$D$193,'300'!$D$195,'300'!$D$197,'300'!$D$199:$D$200,'300'!$D$202,'300'!$D$204,'300'!$D$206,'300'!$D$208,'300'!$D$210,'300'!$D$212:$D$214,'300'!$D$216:$D$218,'300'!$D$220:$D$223,'300'!$D$225:$D$226,'300'!$D$228:$D$234,'300'!$D$236:$D$237,'300'!$D$239,'300'!$D$241:$D$243,'300'!$D$245</definedName>
    <definedName name="OSRRefD22x_0" localSheetId="49">'300 &amp; 317'!$D$187:$D$195,'300 &amp; 317'!$D$197:$D$203,'300 &amp; 317'!$D$205,'300 &amp; 317'!$D$207:$D$208,'300 &amp; 317'!$D$210,'300 &amp; 317'!$D$212:$D$213,'300 &amp; 317'!$D$215:$D$216,'300 &amp; 317'!$D$218,'300 &amp; 317'!$D$220,'300 &amp; 317'!$D$222,'300 &amp; 317'!$D$224:$D$225,'300 &amp; 317'!$D$227,'300 &amp; 317'!$D$229,'300 &amp; 317'!$D$231,'300 &amp; 317'!$D$233,'300 &amp; 317'!$D$235,'300 &amp; 317'!$D$237:$D$239,'300 &amp; 317'!$D$241:$D$243,'300 &amp; 317'!$D$245:$D$248,'300 &amp; 317'!$D$250:$D$251,'300 &amp; 317'!$D$253:$D$259,'300 &amp; 317'!$D$261:$D$262,'300 &amp; 317'!$D$264,'300 &amp; 317'!$D$266:$D$268,'300 &amp; 317'!$D$270</definedName>
    <definedName name="OSRRefD22x_0" localSheetId="50">'301'!$D$20:$D$27,'301'!$D$29:$D$35,'301'!$D$37,'301'!$D$39:$D$40,'301'!$D$42,'301'!$D$44:$D$45,'301'!$D$47:$D$48,'301'!$D$50,'301'!$D$52,'301'!$D$54,'301'!$D$56,'301'!$D$58,'301'!$D$60,'301'!$D$62,'301'!$D$64:$D$66,'301'!$D$68:$D$70,'301'!$D$72,'301'!$D$74:$D$78,'301'!$D$80,'301'!$D$82,'301'!$D$84:$D$86,'301'!$D$88</definedName>
    <definedName name="OSRRefD22x_0" localSheetId="51">'306'!$D$20:$D$28,'306'!$D$30:$D$34,'306'!$D$36,'306'!$D$38,'306'!$D$40,'306'!$D$42,'306'!$D$44,'306'!$D$46:$D$47,'306'!$D$49:$D$53,'306'!$D$55,'306'!$D$57</definedName>
    <definedName name="OSRRefD22x_0" localSheetId="53">'307'!$D$73:$D$80,'307'!$D$82:$D$85,'307'!$D$87,'307'!$D$89,'307'!$D$91:$D$92,'307'!$D$94,'307'!$D$96,'307'!$D$98,'307'!$D$100,'307'!$D$102:$D$103,'307'!$D$105:$D$106,'307'!$D$108:$D$109,'307'!$D$111,'307'!$D$113</definedName>
    <definedName name="OSRRefD22x_0" localSheetId="55">'308'!$D$64:$D$72,'308'!$D$74:$D$78,'308'!$D$80,'308'!$D$82:$D$83,'308'!$D$85,'308'!$D$87,'308'!$D$89:$D$90,'308'!$D$92,'308'!$D$94,'308'!$D$96:$D$97,'308'!$D$99,'308'!$D$101:$D$104,'308'!$D$106:$D$107,'308'!$D$109,'308'!$D$111</definedName>
    <definedName name="OSRRefD22x_0" localSheetId="67">'309'!$D$24:$D$31,'309'!$D$33:$D$37,'309'!$D$39,'309'!$D$41,'309'!$D$43,'309'!$D$45,'309'!$D$47,'309'!$D$49:$D$50,'309'!$D$52:$D$54,'309'!$D$56,'309'!$D$58:$D$63,'309'!$D$65</definedName>
    <definedName name="OSRRefD22x_0" localSheetId="66">'310'!$D$32:$D$39,'310'!$D$41:$D$46,'310'!$D$48,'310'!$D$50,'310'!$D$52,'310'!$D$54:$D$55,'310'!$D$57,'310'!$D$59,'310'!$D$61,'310'!$D$63,'310'!$D$65,'310'!$D$67,'310'!$D$69,'310'!$D$71,'310'!$D$73:$D$75,'310'!$D$77,'310'!$D$79:$D$82,'310'!$D$84:$D$85,'310'!$D$87:$D$93,'310'!$D$95,'310'!$D$97,'310'!$D$99</definedName>
    <definedName name="OSRRefD22x_0" localSheetId="76">'310 &amp; 491'!$D$40:$D$48,'310 &amp; 491'!$D$50:$D$56,'310 &amp; 491'!$D$58,'310 &amp; 491'!$D$60,'310 &amp; 491'!$D$62,'310 &amp; 491'!$D$64:$D$66,'310 &amp; 491'!$D$68,'310 &amp; 491'!$D$70,'310 &amp; 491'!$D$72,'310 &amp; 491'!$D$74,'310 &amp; 491'!$D$76:$D$77,'310 &amp; 491'!$D$79:$D$80,'310 &amp; 491'!$D$82,'310 &amp; 491'!$D$84,'310 &amp; 491'!$D$86,'310 &amp; 491'!$D$88,'310 &amp; 491'!$D$90:$D$92,'310 &amp; 491'!$D$94:$D$95,'310 &amp; 491'!$D$97:$D$101,'310 &amp; 491'!$D$103:$D$104,'310 &amp; 491'!$D$106:$D$113,'310 &amp; 491'!$D$115,'310 &amp; 491'!$D$117,'310 &amp; 491'!$D$119:$D$121,'310 &amp; 491'!$D$123</definedName>
    <definedName name="OSRRefD22x_0" localSheetId="56">'311'!$D$63:$D$71,'311'!$D$73:$D$77,'311'!$D$79,'311'!$D$81:$D$82,'311'!$D$84,'311'!$D$86,'311'!$D$88:$D$89,'311'!$D$91,'311'!$D$93,'311'!$D$95:$D$96,'311'!$D$98,'311'!$D$100:$D$103,'311'!$D$105:$D$106,'311'!$D$108,'311'!$D$110</definedName>
    <definedName name="OSRRefD22x_0" localSheetId="68">'313'!$D$29:$D$36,'313'!$D$38:$D$42,'313'!$D$44,'313'!$D$46,'313'!$D$48,'313'!$D$50,'313'!$D$52,'313'!$D$54,'313'!$D$56,'313'!$D$58:$D$60,'313'!$D$62,'313'!$D$64,'313'!$D$66:$D$71,'313'!$D$73,'313'!$D$75</definedName>
    <definedName name="OSRRefD22x_0" localSheetId="54">'314'!$D$56:$D$62,'314'!$D$64:$D$67,'314'!$D$69,'314'!$D$71:$D$72,'314'!$D$74,'314'!$D$76,'314'!$D$78,'314'!$D$80:$D$81,'314'!$D$83</definedName>
    <definedName name="OSRRefD22x_0" localSheetId="59">'315'!$D$55:$D$62,'315'!$D$64:$D$69,'315'!$D$71,'315'!$D$73:$D$74,'315'!$D$76,'315'!$D$78:$D$79,'315'!$D$81,'315'!$D$83,'315'!$D$85:$D$86,'315'!$D$88:$D$89,'315'!$D$91:$D$92,'315'!$D$94:$D$98,'315'!$D$100,'315'!$D$102,'315'!$D$104:$D$105</definedName>
    <definedName name="OSRRefD22x_0" localSheetId="62">'316'!$D$32:$D$39,'316'!$D$41:$D$44,'316'!$D$46,'316'!$D$48,'316'!$D$50,'316'!$D$52,'316'!$D$54,'316'!$D$56:$D$57,'316'!$D$59,'316'!$D$61:$D$64,'316'!$D$66,'316'!$D$68</definedName>
    <definedName name="OSRRefD22x_0" localSheetId="65">'317'!$D$58:$D$66,'317'!$D$68:$D$71,'317'!$D$73,'317'!$D$75,'317'!$D$77,'317'!$D$79,'317'!$D$81,'317'!$D$83,'317'!$D$85,'317'!$D$87:$D$88,'317'!$D$90,'317'!$D$92,'317'!$D$94</definedName>
    <definedName name="OSRRefD22x_0" localSheetId="63">'320'!$D$29:$D$35,'320'!$D$37:$D$39,'320'!$D$41,'320'!$D$43,'320'!$D$45:$D$46,'320'!$D$48,'320'!$D$50,'320'!$D$52:$D$53,'320'!$D$55</definedName>
    <definedName name="OSRRefD22x_0" localSheetId="69">'321'!$D$24:$D$30,'321'!$D$32:$D$36,'321'!$D$38,'321'!$D$40,'321'!$D$42,'321'!$D$44,'321'!$D$46:$D$48,'321'!$D$50,'321'!$D$52:$D$54,'321'!$D$56:$D$60,'321'!$D$62,'321'!$D$64,'321'!$D$66</definedName>
    <definedName name="OSRRefD22x_0" localSheetId="70">'322'!$D$24:$D$31,'322'!$D$33:$D$37,'322'!$D$39,'322'!$D$41,'322'!$D$43,'322'!$D$45,'322'!$D$47,'322'!$D$49,'322'!$D$51,'322'!$D$53:$D$54,'322'!$D$56:$D$58,'322'!$D$60,'322'!$D$62:$D$67,'322'!$D$69,'322'!$D$71</definedName>
    <definedName name="OSRRefD22x_0" localSheetId="57">'324'!$D$25</definedName>
    <definedName name="OSRRefD22x_0" localSheetId="72">'325'!$D$24:$D$31,'325'!$D$33:$D$38,'325'!$D$40,'325'!$D$42,'325'!$D$44,'325'!$D$46:$D$47,'325'!$D$49,'325'!$D$51,'325'!$D$53,'325'!$D$55,'325'!$D$57,'325'!$D$59:$D$61,'325'!$D$63:$D$65,'325'!$D$67,'325'!$D$69:$D$74,'325'!$D$76,'325'!$D$78</definedName>
    <definedName name="OSRRefD22x_0" localSheetId="60">'326'!$D$60:$D$67,'326'!$D$69:$D$72,'326'!$D$74,'326'!$D$76,'326'!$D$78,'326'!$D$80,'326'!$D$82,'326'!$D$84,'326'!$D$86,'326'!$D$88,'326'!$D$90,'326'!$D$92,'326'!$D$94,'326'!$D$96:$D$97,'326'!$D$99:$D$101,'326'!$D$103,'326'!$D$105:$D$109,'326'!$D$111,'326'!$D$113,'326'!$D$115</definedName>
    <definedName name="OSRRefD22x_0" localSheetId="73">'327'!$D$22,'327'!$D$24,'327'!$D$26</definedName>
    <definedName name="OSRRefD22x_0" localSheetId="52">'330'!$D$81:$D$88,'330'!$D$90:$D$94,'330'!$D$96,'330'!$D$98,'330'!$D$100:$D$101,'330'!$D$103,'330'!$D$105,'330'!$D$107,'330'!$D$109,'330'!$D$111,'330'!$D$113,'330'!$D$115:$D$116,'330'!$D$118:$D$119,'330'!$D$121,'330'!$D$123:$D$125,'330'!$D$127,'330'!$D$129</definedName>
    <definedName name="OSRRefD22x_0" localSheetId="58">'331'!$D$73:$D$80,'331'!$D$82:$D$87,'331'!$D$89,'331'!$D$91,'331'!$D$93,'331'!$D$95:$D$96,'331'!$D$98,'331'!$D$100,'331'!$D$102:$D$103,'331'!$D$105,'331'!$D$107,'331'!$D$109,'331'!$D$111,'331'!$D$113,'331'!$D$115:$D$117,'331'!$D$119:$D$120,'331'!$D$122:$D$124,'331'!$D$126:$D$127,'331'!$D$129:$D$134,'331'!$D$136,'331'!$D$138,'331'!$D$140:$D$141,'331'!$D$143</definedName>
    <definedName name="OSRRefD22x_0" localSheetId="61">'332'!$D$41:$D$48,'332'!$D$50:$D$53,'332'!$D$55,'332'!$D$57,'332'!$D$59,'332'!$D$61:$D$62,'332'!$D$64,'332'!$D$66,'332'!$D$68:$D$69,'332'!$D$71,'332'!$D$73:$D$77,'332'!$D$79,'332'!$D$81</definedName>
    <definedName name="OSRRefD22x_0" localSheetId="74">'335'!$D$20</definedName>
    <definedName name="OSRRefD22x_0" localSheetId="78">'405'!$D$24:$D$31,'405'!$D$33:$D$36,'405'!$D$38,'405'!$D$40,'405'!$D$42,'405'!$D$44:$D$45,'405'!$D$47,'405'!$D$49,'405'!$D$51,'405'!$D$53,'405'!$D$55:$D$56,'405'!$D$58,'405'!$D$60:$D$62,'405'!$D$64,'405'!$D$66:$D$72,'405'!$D$74,'405'!$D$76,'405'!$D$78</definedName>
    <definedName name="OSRRefD22x_0" localSheetId="79">'406'!$D$24:$D$31,'406'!$D$33:$D$37,'406'!$D$39,'406'!$D$41,'406'!$D$43,'406'!$D$45,'406'!$D$47,'406'!$D$49,'406'!$D$51,'406'!$D$53:$D$55,'406'!$D$57:$D$58,'406'!$D$60:$D$65,'406'!$D$67,'406'!$D$69</definedName>
    <definedName name="OSRRefD22x_0" localSheetId="80">'411'!$D$20:$D$28,'411'!$D$30:$D$35,'411'!$D$37,'411'!$D$39:$D$41,'411'!$D$43,'411'!$D$45,'411'!$D$47,'411'!$D$49,'411'!$D$51,'411'!$D$53,'411'!$D$55,'411'!$D$57:$D$59,'411'!$D$61:$D$65,'411'!$D$67:$D$73,'411'!$D$75,'411'!$D$77,'411'!$D$79:$D$81,'411'!$D$83</definedName>
    <definedName name="OSRRefD22x_0" localSheetId="81">'412'!$D$24:$D$31,'412'!$D$33:$D$38,'412'!$D$40,'412'!$D$42,'412'!$D$44,'412'!$D$46,'412'!$D$48,'412'!$D$50,'412'!$D$52:$D$53,'412'!$D$55,'412'!$D$57:$D$59,'412'!$D$61:$D$67,'412'!$D$69,'412'!$D$71</definedName>
    <definedName name="OSRRefD22x_0" localSheetId="83">'413'!$D$24:$D$31,'413'!$D$33:$D$37,'413'!$D$39,'413'!$D$41,'413'!$D$43,'413'!$D$45,'413'!$D$47,'413'!$D$49:$D$51,'413'!$D$53:$D$54,'413'!$D$56:$D$60,'413'!$D$62</definedName>
    <definedName name="OSRRefD22x_0" localSheetId="84">'414'!$D$24:$D$31,'414'!$D$33:$D$38,'414'!$D$40,'414'!$D$42,'414'!$D$44,'414'!$D$46,'414'!$D$48,'414'!$D$50,'414'!$D$52,'414'!$D$54:$D$55,'414'!$D$57,'414'!$D$59,'414'!$D$61,'414'!$D$63:$D$69,'414'!$D$71,'414'!$D$73</definedName>
    <definedName name="OSRRefD22x_0" localSheetId="85">'415'!$D$24:$D$31,'415'!$D$33:$D$38,'415'!$D$40,'415'!$D$42,'415'!$D$44,'415'!$D$46:$D$47,'415'!$D$49,'415'!$D$51,'415'!$D$53,'415'!$D$55,'415'!$D$57,'415'!$D$59:$D$61,'415'!$D$63:$D$67,'415'!$D$69,'415'!$D$71:$D$77,'415'!$D$79,'415'!$D$81,'415'!$D$83</definedName>
    <definedName name="OSRRefD22x_0" localSheetId="86">'418'!$D$24:$D$31,'418'!$D$33:$D$38,'418'!$D$40,'418'!$D$42,'418'!$D$44,'418'!$D$46:$D$47,'418'!$D$49,'418'!$D$51,'418'!$D$53,'418'!$D$55:$D$56,'418'!$D$58:$D$60,'418'!$D$62:$D$64,'418'!$D$66,'418'!$D$68:$D$74,'418'!$D$76,'418'!$D$78</definedName>
    <definedName name="OSRRefD22x_0" localSheetId="82">'420'!$D$22:$D$28,'420'!$D$30:$D$33,'420'!$D$35,'420'!$D$37,'420'!$D$39</definedName>
    <definedName name="OSRRefD22x_0" localSheetId="87">'423'!$D$21:$D$28,'423'!$D$30,'423'!$D$32,'423'!$D$34,'423'!$D$36,'423'!$D$38</definedName>
    <definedName name="OSRRefD22x_0" localSheetId="88">'424'!$D$24:$D$26,'424'!$D$28:$D$31,'424'!$D$33,'424'!$D$35,'424'!$D$37,'424'!$D$39,'424'!$D$41,'424'!$D$43:$D$44,'424'!$D$46,'424'!$D$48,'424'!$D$50:$D$54,'424'!$D$56</definedName>
    <definedName name="OSRRefD22x_0" localSheetId="89">'425'!$D$27:$D$34,'425'!$D$36:$D$40,'425'!$D$42,'425'!$D$44,'425'!$D$46,'425'!$D$48,'425'!$D$50,'425'!$D$52,'425'!$D$54,'425'!$D$56:$D$58,'425'!$D$60,'425'!$D$62:$D$63,'425'!$D$65:$D$71,'425'!$D$73,'425'!$D$75,'425'!$D$77</definedName>
    <definedName name="OSRRefD22x_0" localSheetId="92">'430'!$D$20:$D$27,'430'!$D$29,'430'!$D$31,'430'!$D$33,'430'!$D$35,'430'!$D$37,'430'!$D$39:$D$40,'430'!$D$42,'430'!$D$44,'430'!$D$46</definedName>
    <definedName name="OSRRefD22x_0" localSheetId="93">'433'!$D$26:$D$34,'433'!$D$36:$D$41,'433'!$D$43,'433'!$D$45,'433'!$D$47,'433'!$D$49,'433'!$D$51,'433'!$D$53,'433'!$D$55,'433'!$D$57,'433'!$D$59:$D$61,'433'!$D$63:$D$65,'433'!$D$67:$D$73,'433'!$D$75,'433'!$D$77,'433'!$D$79:$D$80</definedName>
    <definedName name="OSRRefD22x_0" localSheetId="94">'435'!$D$25:$D$27,'435'!$D$29:$D$30,'435'!$D$32,'435'!$D$34,'435'!$D$36,'435'!$D$38,'435'!$D$40,'435'!$D$42:$D$45,'435'!$D$47</definedName>
    <definedName name="OSRRefD22x_0" localSheetId="95">'444'!$D$25:$D$33,'444'!$D$35:$D$40,'444'!$D$42,'444'!$D$44,'444'!$D$46,'444'!$D$48,'444'!$D$50,'444'!$D$52,'444'!$D$54,'444'!$D$56,'444'!$D$58,'444'!$D$60:$D$62,'444'!$D$64:$D$66,'444'!$D$68:$D$75,'444'!$D$77,'444'!$D$79,'444'!$D$81</definedName>
    <definedName name="OSRRefD22x_0" localSheetId="96">'445'!$D$20</definedName>
    <definedName name="OSRRefD22x_0" localSheetId="97">'450'!$D$25:$D$33,'450'!$D$35:$D$40,'450'!$D$42,'450'!$D$44,'450'!$D$46,'450'!$D$48,'450'!$D$50,'450'!$D$52,'450'!$D$54,'450'!$D$56,'450'!$D$58,'450'!$D$60:$D$61,'450'!$D$63:$D$65,'450'!$D$67:$D$73,'450'!$D$75,'450'!$D$77,'450'!$D$79:$D$80</definedName>
    <definedName name="OSRRefD22x_0" localSheetId="90">'455'!$D$20:$D$26,'455'!$D$28:$D$29,'455'!$D$31</definedName>
    <definedName name="OSRRefD22x_0" localSheetId="77">'491'!$D$33:$D$41,'491'!$D$43:$D$49,'491'!$D$51,'491'!$D$53,'491'!$D$55,'491'!$D$57:$D$59,'491'!$D$61,'491'!$D$63,'491'!$D$65,'491'!$D$67,'491'!$D$69:$D$70,'491'!$D$72,'491'!$D$74,'491'!$D$76,'491'!$D$78,'491'!$D$80:$D$82,'491'!$D$84:$D$85,'491'!$D$87:$D$91,'491'!$D$93,'491'!$D$95:$D$102,'491'!$D$104,'491'!$D$106,'491'!$D$108:$D$110,'491'!$D$112</definedName>
    <definedName name="OSRRefD22x_0" localSheetId="91">'492'!$D$28:$D$36,'492'!$D$38:$D$44,'492'!$D$46,'492'!$D$48,'492'!$D$50,'492'!$D$52,'492'!$D$54,'492'!$D$56,'492'!$D$58,'492'!$D$60,'492'!$D$62,'492'!$D$64,'492'!$D$66:$D$68,'492'!$D$70:$D$72,'492'!$D$74:$D$81,'492'!$D$83,'492'!$D$85,'492'!$D$87:$D$88</definedName>
    <definedName name="OSRRefD22x_0" localSheetId="99">'501'!$D$21:$D$28,'501'!$D$30:$D$35,'501'!$D$37,'501'!$D$39,'501'!$D$41,'501'!$D$43,'501'!$D$45,'501'!$D$47,'501'!$D$49,'501'!$D$51,'501'!$D$53:$D$54,'501'!$D$56:$D$59,'501'!$D$61,'501'!$D$63</definedName>
    <definedName name="OSRRefD22x_0" localSheetId="39">'Div 2'!$D$20:$D$30,'Div 2'!$D$32:$D$38,'Div 2'!$D$40,'Div 2'!$D$42,'Div 2'!$D$44,'Div 2'!$D$46:$D$47,'Div 2'!$D$49,'Div 2'!$D$51,'Div 2'!$D$53,'Div 2'!$D$55,'Div 2'!$D$57,'Div 2'!$D$59,'Div 2'!$D$61:$D$64,'Div 2'!$D$66:$D$68,'Div 2'!$D$70:$D$71,'Div 2'!$D$73,'Div 2'!$D$75:$D$78,'Div 2'!$D$80:$D$81,'Div 2'!$D$83,'Div 2'!$D$85:$D$86</definedName>
    <definedName name="OSRRefD22x_0" localSheetId="47">'Div 3'!$D$167:$D$175,'Div 3'!$D$177:$D$183,'Div 3'!$D$185,'Div 3'!$D$187:$D$188,'Div 3'!$D$190,'Div 3'!$D$192:$D$193,'Div 3'!$D$195:$D$196,'Div 3'!$D$198,'Div 3'!$D$200,'Div 3'!$D$202,'Div 3'!$D$204:$D$205,'Div 3'!$D$207,'Div 3'!$D$209,'Div 3'!$D$211,'Div 3'!$D$213,'Div 3'!$D$215,'Div 3'!$D$217,'Div 3'!$D$219:$D$221,'Div 3'!$D$223:$D$225,'Div 3'!$D$227:$D$231,'Div 3'!$D$233:$D$234,'Div 3'!$D$236:$D$242,'Div 3'!$D$244:$D$245,'Div 3'!$D$247,'Div 3'!$D$249:$D$251,'Div 3'!$D$253</definedName>
    <definedName name="OSRRefD22x_0" localSheetId="75">'Div 4'!$D$34:$D$42,'Div 4'!$D$44:$D$50,'Div 4'!$D$52,'Div 4'!$D$54,'Div 4'!$D$56,'Div 4'!$D$58:$D$60,'Div 4'!$D$62,'Div 4'!$D$64,'Div 4'!$D$66,'Div 4'!$D$68,'Div 4'!$D$70:$D$71,'Div 4'!$D$73,'Div 4'!$D$75,'Div 4'!$D$77,'Div 4'!$D$79,'Div 4'!$D$81,'Div 4'!$D$83:$D$85,'Div 4'!$D$87:$D$88,'Div 4'!$D$90:$D$94,'Div 4'!$D$96,'Div 4'!$D$98:$D$105,'Div 4'!$D$107,'Div 4'!$D$109,'Div 4'!$D$111:$D$113,'Div 4'!$D$115</definedName>
    <definedName name="OSRRefD22x_0" localSheetId="98">'Div 5'!$D$21:$D$28,'Div 5'!$D$30:$D$35,'Div 5'!$D$37,'Div 5'!$D$39,'Div 5'!$D$41,'Div 5'!$D$43,'Div 5'!$D$45,'Div 5'!$D$47,'Div 5'!$D$49,'Div 5'!$D$51,'Div 5'!$D$53:$D$54,'Div 5'!$D$56:$D$59,'Div 5'!$D$61,'Div 5'!$D$63</definedName>
    <definedName name="OSRRefD22x_0" localSheetId="64">'Div 6'!$D$58:$D$66,'Div 6'!$D$68:$D$71,'Div 6'!$D$73,'Div 6'!$D$75,'Div 6'!$D$77,'Div 6'!$D$79,'Div 6'!$D$81,'Div 6'!$D$83,'Div 6'!$D$85,'Div 6'!$D$87:$D$88,'Div 6'!$D$90,'Div 6'!$D$92,'Div 6'!$D$94</definedName>
    <definedName name="OSRRefD22x_0" localSheetId="2">Summary!$D$201:$D$209,Summary!$D$211:$D$217,Summary!$D$219,Summary!$D$221:$D$222,Summary!$D$224,Summary!$D$226:$D$228,Summary!$D$230:$D$231,Summary!$D$233,Summary!$D$235,Summary!$D$237,Summary!$D$239:$D$240,Summary!$D$242:$D$243,Summary!$D$245,Summary!$D$247,Summary!$D$249,Summary!$D$251,Summary!$D$253,Summary!$D$255,Summary!$D$257:$D$259,Summary!$D$261:$D$263,Summary!$D$265:$D$269,Summary!$D$271:$D$272,Summary!$D$274:$D$281,Summary!$D$283:$D$284,Summary!$D$286,Summary!$D$288:$D$290,Summary!$D$292</definedName>
    <definedName name="OSRRefD25x_0" localSheetId="48">'300'!$D$248:$D$256</definedName>
    <definedName name="OSRRefD25x_0" localSheetId="49">'300 &amp; 317'!$D$273:$D$283</definedName>
    <definedName name="OSRRefD25x_0" localSheetId="50">'301'!$D$91:$D$93</definedName>
    <definedName name="OSRRefD25x_0" localSheetId="55">'308'!$D$114:$D$116</definedName>
    <definedName name="OSRRefD25x_0" localSheetId="76">'310 &amp; 491'!$D$126:$D$128</definedName>
    <definedName name="OSRRefD25x_0" localSheetId="56">'311'!$D$113:$D$115</definedName>
    <definedName name="OSRRefD25x_0" localSheetId="59">'315'!$D$108</definedName>
    <definedName name="OSRRefD25x_0" localSheetId="62">'316'!$D$71</definedName>
    <definedName name="OSRRefD25x_0" localSheetId="65">'317'!$D$97:$D$99</definedName>
    <definedName name="OSRRefD25x_0" localSheetId="63">'320'!$D$58:$D$62</definedName>
    <definedName name="OSRRefD25x_0" localSheetId="58">'331'!$D$146</definedName>
    <definedName name="OSRRefD25x_0" localSheetId="61">'332'!$D$84:$D$89</definedName>
    <definedName name="OSRRefD25x_0" localSheetId="80">'411'!$D$86:$D$87</definedName>
    <definedName name="OSRRefD25x_0" localSheetId="83">'413'!$D$65</definedName>
    <definedName name="OSRRefD25x_0" localSheetId="86">'418'!$D$81</definedName>
    <definedName name="OSRRefD25x_0" localSheetId="87">'423'!$D$41</definedName>
    <definedName name="OSRRefD25x_0" localSheetId="88">'424'!$D$59</definedName>
    <definedName name="OSRRefD25x_0" localSheetId="89">'425'!$D$80</definedName>
    <definedName name="OSRRefD25x_0" localSheetId="90">'455'!$D$34:$D$35</definedName>
    <definedName name="OSRRefD25x_0" localSheetId="77">'491'!$D$115:$D$117</definedName>
    <definedName name="OSRRefD25x_0" localSheetId="99">'501'!$D$66:$D$67</definedName>
    <definedName name="OSRRefD25x_0" localSheetId="47">'Div 3'!$D$256:$D$264</definedName>
    <definedName name="OSRRefD25x_0" localSheetId="75">'Div 4'!$D$118:$D$120</definedName>
    <definedName name="OSRRefD25x_0" localSheetId="98">'Div 5'!$D$66:$D$67</definedName>
    <definedName name="OSRRefD25x_0" localSheetId="64">'Div 6'!$D$97:$D$99</definedName>
    <definedName name="OSRRefD25x_0" localSheetId="2">Summary!$D$295:$D$306</definedName>
    <definedName name="OSRRefH13x_0" localSheetId="48">'300'!$H$13:$H$104</definedName>
    <definedName name="OSRRefH13x_0" localSheetId="49">'300 &amp; 317'!$H$13:$H$122</definedName>
    <definedName name="OSRRefH13x_0" localSheetId="53">'307'!$H$13:$H$46</definedName>
    <definedName name="OSRRefH13x_0" localSheetId="55">'308'!$H$13:$H$40</definedName>
    <definedName name="OSRRefH13x_0" localSheetId="67">'309'!$H$13:$H$14</definedName>
    <definedName name="OSRRefH13x_0" localSheetId="66">'310'!$H$13:$H$22</definedName>
    <definedName name="OSRRefH13x_0" localSheetId="76">'310 &amp; 491'!$H$13:$H$30</definedName>
    <definedName name="OSRRefH13x_0" localSheetId="56">'311'!$H$13:$H$39</definedName>
    <definedName name="OSRRefH13x_0" localSheetId="68">'313'!$H$13:$H$19</definedName>
    <definedName name="OSRRefH13x_0" localSheetId="54">'314'!$H$13:$H$33</definedName>
    <definedName name="OSRRefH13x_0" localSheetId="59">'315'!$H$13:$H$32</definedName>
    <definedName name="OSRRefH13x_0" localSheetId="62">'316'!$H$13:$H$24</definedName>
    <definedName name="OSRRefH13x_0" localSheetId="65">'317'!$H$13:$H$36</definedName>
    <definedName name="OSRRefH13x_0" localSheetId="63">'320'!$H$13:$H$16</definedName>
    <definedName name="OSRRefH13x_0" localSheetId="69">'321'!$H$13:$H$14</definedName>
    <definedName name="OSRRefH13x_0" localSheetId="70">'322'!$H$13:$H$14</definedName>
    <definedName name="OSRRefH13x_0" localSheetId="57">'324'!$H$13:$H$15</definedName>
    <definedName name="OSRRefH13x_0" localSheetId="72">'325'!$H$13:$H$14</definedName>
    <definedName name="OSRRefH13x_0" localSheetId="60">'326'!$H$13:$H$34</definedName>
    <definedName name="OSRRefH13x_0" localSheetId="73">'327'!$H$13</definedName>
    <definedName name="OSRRefH13x_0" localSheetId="52">'330'!$H$13:$H$50</definedName>
    <definedName name="OSRRefH13x_0" localSheetId="58">'331'!$H$13:$H$42</definedName>
    <definedName name="OSRRefH13x_0" localSheetId="61">'332'!$H$13:$H$28</definedName>
    <definedName name="OSRRefH13x_0" localSheetId="78">'405'!$H$13:$H$14</definedName>
    <definedName name="OSRRefH13x_0" localSheetId="79">'406'!$H$13:$H$14</definedName>
    <definedName name="OSRRefH13x_0" localSheetId="81">'412'!$H$13:$H$15</definedName>
    <definedName name="OSRRefH13x_0" localSheetId="83">'413'!$H$13:$H$14</definedName>
    <definedName name="OSRRefH13x_0" localSheetId="84">'414'!$H$13:$H$14</definedName>
    <definedName name="OSRRefH13x_0" localSheetId="85">'415'!$H$13:$H$14</definedName>
    <definedName name="OSRRefH13x_0" localSheetId="86">'418'!$H$13:$H$14</definedName>
    <definedName name="OSRRefH13x_0" localSheetId="82">'420'!$H$13:$H$14</definedName>
    <definedName name="OSRRefH13x_0" localSheetId="88">'424'!$H$13:$H$14</definedName>
    <definedName name="OSRRefH13x_0" localSheetId="89">'425'!$H$13:$H$17</definedName>
    <definedName name="OSRRefH13x_0" localSheetId="93">'433'!$H$13:$H$16</definedName>
    <definedName name="OSRRefH13x_0" localSheetId="94">'435'!$H$13:$H$15</definedName>
    <definedName name="OSRRefH13x_0" localSheetId="95">'444'!$H$13:$H$15</definedName>
    <definedName name="OSRRefH13x_0" localSheetId="97">'450'!$H$13:$H$15</definedName>
    <definedName name="OSRRefH13x_0" localSheetId="77">'491'!$H$13:$H$23</definedName>
    <definedName name="OSRRefH13x_0" localSheetId="91">'492'!$H$13:$H$18</definedName>
    <definedName name="OSRRefH13x_0" localSheetId="99">'501'!$H$13</definedName>
    <definedName name="OSRRefH13x_0" localSheetId="47">'Div 3'!$H$13:$H$107</definedName>
    <definedName name="OSRRefH13x_0" localSheetId="75">'Div 4'!$H$13:$H$24</definedName>
    <definedName name="OSRRefH13x_0" localSheetId="98">'Div 5'!$H$13</definedName>
    <definedName name="OSRRefH13x_0" localSheetId="64">'Div 6'!$H$13:$H$36</definedName>
    <definedName name="OSRRefH13x_0" localSheetId="2">Summary!$H$13:$H$134</definedName>
    <definedName name="OSRRefH16x_0" localSheetId="48">'300'!$H$107:$H$156</definedName>
    <definedName name="OSRRefH16x_0" localSheetId="49">'300 &amp; 317'!$H$125:$H$181</definedName>
    <definedName name="OSRRefH16x_0" localSheetId="53">'307'!$H$49:$H$67</definedName>
    <definedName name="OSRRefH16x_0" localSheetId="55">'308'!$H$43:$H$58</definedName>
    <definedName name="OSRRefH16x_0" localSheetId="67">'309'!$H$17:$H$18</definedName>
    <definedName name="OSRRefH16x_0" localSheetId="66">'310'!$H$25:$H$26</definedName>
    <definedName name="OSRRefH16x_0" localSheetId="76">'310 &amp; 491'!$H$33:$H$34</definedName>
    <definedName name="OSRRefH16x_0" localSheetId="56">'311'!$H$42:$H$57</definedName>
    <definedName name="OSRRefH16x_0" localSheetId="68">'313'!$H$22:$H$23</definedName>
    <definedName name="OSRRefH16x_0" localSheetId="54">'314'!$H$36:$H$50</definedName>
    <definedName name="OSRRefH16x_0" localSheetId="59">'315'!$H$35:$H$49</definedName>
    <definedName name="OSRRefH16x_0" localSheetId="65">'317'!$H$39:$H$52</definedName>
    <definedName name="OSRRefH16x_0" localSheetId="63">'320'!$H$19:$H$23</definedName>
    <definedName name="OSRRefH16x_0" localSheetId="69">'321'!$H$17:$H$18</definedName>
    <definedName name="OSRRefH16x_0" localSheetId="70">'322'!$H$17:$H$18</definedName>
    <definedName name="OSRRefH16x_0" localSheetId="57">'324'!$H$18:$H$19</definedName>
    <definedName name="OSRRefH16x_0" localSheetId="72">'325'!$H$17:$H$18</definedName>
    <definedName name="OSRRefH16x_0" localSheetId="60">'326'!$H$37:$H$54</definedName>
    <definedName name="OSRRefH16x_0" localSheetId="73">'327'!$H$16</definedName>
    <definedName name="OSRRefH16x_0" localSheetId="52">'330'!$H$53:$H$75</definedName>
    <definedName name="OSRRefH16x_0" localSheetId="58">'331'!$H$45:$H$67</definedName>
    <definedName name="OSRRefH16x_0" localSheetId="61">'332'!$H$31:$H$35</definedName>
    <definedName name="OSRRefH16x_0" localSheetId="78">'405'!$H$17:$H$18</definedName>
    <definedName name="OSRRefH16x_0" localSheetId="79">'406'!$H$17:$H$18</definedName>
    <definedName name="OSRRefH16x_0" localSheetId="81">'412'!$H$18</definedName>
    <definedName name="OSRRefH16x_0" localSheetId="83">'413'!$H$17:$H$18</definedName>
    <definedName name="OSRRefH16x_0" localSheetId="84">'414'!$H$17:$H$18</definedName>
    <definedName name="OSRRefH16x_0" localSheetId="85">'415'!$H$17:$H$18</definedName>
    <definedName name="OSRRefH16x_0" localSheetId="86">'418'!$H$17:$H$18</definedName>
    <definedName name="OSRRefH16x_0" localSheetId="87">'423'!$H$15</definedName>
    <definedName name="OSRRefH16x_0" localSheetId="88">'424'!$H$17:$H$18</definedName>
    <definedName name="OSRRefH16x_0" localSheetId="89">'425'!$H$20:$H$21</definedName>
    <definedName name="OSRRefH16x_0" localSheetId="93">'433'!$H$19:$H$20</definedName>
    <definedName name="OSRRefH16x_0" localSheetId="94">'435'!$H$18:$H$19</definedName>
    <definedName name="OSRRefH16x_0" localSheetId="95">'444'!$H$18:$H$19</definedName>
    <definedName name="OSRRefH16x_0" localSheetId="97">'450'!$H$18:$H$19</definedName>
    <definedName name="OSRRefH16x_0" localSheetId="77">'491'!$H$26:$H$27</definedName>
    <definedName name="OSRRefH16x_0" localSheetId="91">'492'!$H$21:$H$22</definedName>
    <definedName name="OSRRefH16x_0" localSheetId="47">'Div 3'!$H$110:$H$161</definedName>
    <definedName name="OSRRefH16x_0" localSheetId="75">'Div 4'!$H$27:$H$28</definedName>
    <definedName name="OSRRefH16x_0" localSheetId="64">'Div 6'!$H$39:$H$52</definedName>
    <definedName name="OSRRefH16x_0" localSheetId="2">Summary!$H$137:$H$195</definedName>
    <definedName name="OSRRefH22_0x_0" localSheetId="40">'200'!$H$20</definedName>
    <definedName name="OSRRefH22_0x_0" localSheetId="41">'201'!$H$20:$H$28</definedName>
    <definedName name="OSRRefH22_0x_0" localSheetId="42">'202'!$H$20:$H$27</definedName>
    <definedName name="OSRRefH22_0x_0" localSheetId="43">'203'!$H$20:$H$29</definedName>
    <definedName name="OSRRefH22_0x_0" localSheetId="44">'204'!$H$20:$H$28</definedName>
    <definedName name="OSRRefH22_0x_0" localSheetId="45">'205'!$H$20:$H$27</definedName>
    <definedName name="OSRRefH22_0x_0" localSheetId="46">'206'!$H$20:$H$27</definedName>
    <definedName name="OSRRefH22_0x_0" localSheetId="48">'300'!$H$162:$H$170</definedName>
    <definedName name="OSRRefH22_0x_0" localSheetId="49">'300 &amp; 317'!$H$187:$H$195</definedName>
    <definedName name="OSRRefH22_0x_0" localSheetId="50">'301'!$H$20:$H$27</definedName>
    <definedName name="OSRRefH22_0x_0" localSheetId="51">'306'!$H$20:$H$28</definedName>
    <definedName name="OSRRefH22_0x_0" localSheetId="53">'307'!$H$73:$H$80</definedName>
    <definedName name="OSRRefH22_0x_0" localSheetId="55">'308'!$H$64:$H$72</definedName>
    <definedName name="OSRRefH22_0x_0" localSheetId="67">'309'!$H$24:$H$31</definedName>
    <definedName name="OSRRefH22_0x_0" localSheetId="66">'310'!$H$32:$H$39</definedName>
    <definedName name="OSRRefH22_0x_0" localSheetId="76">'310 &amp; 491'!$H$40:$H$48</definedName>
    <definedName name="OSRRefH22_0x_0" localSheetId="56">'311'!$H$63:$H$71</definedName>
    <definedName name="OSRRefH22_0x_0" localSheetId="68">'313'!$H$29:$H$36</definedName>
    <definedName name="OSRRefH22_0x_0" localSheetId="54">'314'!$H$56:$H$62</definedName>
    <definedName name="OSRRefH22_0x_0" localSheetId="59">'315'!$H$55:$H$62</definedName>
    <definedName name="OSRRefH22_0x_0" localSheetId="62">'316'!$H$32:$H$39</definedName>
    <definedName name="OSRRefH22_0x_0" localSheetId="65">'317'!$H$58:$H$66</definedName>
    <definedName name="OSRRefH22_0x_0" localSheetId="63">'320'!$H$29:$H$35</definedName>
    <definedName name="OSRRefH22_0x_0" localSheetId="69">'321'!$H$24:$H$30</definedName>
    <definedName name="OSRRefH22_0x_0" localSheetId="70">'322'!$H$24:$H$31</definedName>
    <definedName name="OSRRefH22_0x_0" localSheetId="57">'324'!$H$25</definedName>
    <definedName name="OSRRefH22_0x_0" localSheetId="72">'325'!$H$24:$H$31</definedName>
    <definedName name="OSRRefH22_0x_0" localSheetId="60">'326'!$H$60:$H$67</definedName>
    <definedName name="OSRRefH22_0x_0" localSheetId="73">'327'!$H$22</definedName>
    <definedName name="OSRRefH22_0x_0" localSheetId="52">'330'!$H$81:$H$88</definedName>
    <definedName name="OSRRefH22_0x_0" localSheetId="58">'331'!$H$73:$H$80</definedName>
    <definedName name="OSRRefH22_0x_0" localSheetId="61">'332'!$H$41:$H$48</definedName>
    <definedName name="OSRRefH22_0x_0" localSheetId="74">'335'!$H$20</definedName>
    <definedName name="OSRRefH22_0x_0" localSheetId="78">'405'!$H$24:$H$31</definedName>
    <definedName name="OSRRefH22_0x_0" localSheetId="79">'406'!$H$24:$H$31</definedName>
    <definedName name="OSRRefH22_0x_0" localSheetId="80">'411'!$H$20:$H$28</definedName>
    <definedName name="OSRRefH22_0x_0" localSheetId="81">'412'!$H$24:$H$31</definedName>
    <definedName name="OSRRefH22_0x_0" localSheetId="83">'413'!$H$24:$H$31</definedName>
    <definedName name="OSRRefH22_0x_0" localSheetId="84">'414'!$H$24:$H$31</definedName>
    <definedName name="OSRRefH22_0x_0" localSheetId="85">'415'!$H$24:$H$31</definedName>
    <definedName name="OSRRefH22_0x_0" localSheetId="86">'418'!$H$24:$H$31</definedName>
    <definedName name="OSRRefH22_0x_0" localSheetId="82">'420'!$H$22:$H$28</definedName>
    <definedName name="OSRRefH22_0x_0" localSheetId="87">'423'!$H$21:$H$28</definedName>
    <definedName name="OSRRefH22_0x_0" localSheetId="88">'424'!$H$24:$H$26</definedName>
    <definedName name="OSRRefH22_0x_0" localSheetId="89">'425'!$H$27:$H$34</definedName>
    <definedName name="OSRRefH22_0x_0" localSheetId="92">'430'!$H$20:$H$27</definedName>
    <definedName name="OSRRefH22_0x_0" localSheetId="93">'433'!$H$26:$H$34</definedName>
    <definedName name="OSRRefH22_0x_0" localSheetId="94">'435'!$H$25:$H$27</definedName>
    <definedName name="OSRRefH22_0x_0" localSheetId="95">'444'!$H$25:$H$33</definedName>
    <definedName name="OSRRefH22_0x_0" localSheetId="96">'445'!$H$20</definedName>
    <definedName name="OSRRefH22_0x_0" localSheetId="97">'450'!$H$25:$H$33</definedName>
    <definedName name="OSRRefH22_0x_0" localSheetId="90">'455'!$H$20:$H$26</definedName>
    <definedName name="OSRRefH22_0x_0" localSheetId="77">'491'!$H$33:$H$41</definedName>
    <definedName name="OSRRefH22_0x_0" localSheetId="91">'492'!$H$28:$H$36</definedName>
    <definedName name="OSRRefH22_0x_0" localSheetId="99">'501'!$H$21:$H$28</definedName>
    <definedName name="OSRRefH22_0x_0" localSheetId="39">'Div 2'!$H$20:$H$30</definedName>
    <definedName name="OSRRefH22_0x_0" localSheetId="47">'Div 3'!$H$167:$H$175</definedName>
    <definedName name="OSRRefH22_0x_0" localSheetId="75">'Div 4'!$H$34:$H$42</definedName>
    <definedName name="OSRRefH22_0x_0" localSheetId="98">'Div 5'!$H$21:$H$28</definedName>
    <definedName name="OSRRefH22_0x_0" localSheetId="64">'Div 6'!$H$58:$H$66</definedName>
    <definedName name="OSRRefH22_0x_0" localSheetId="2">Summary!$H$201:$H$209</definedName>
    <definedName name="OSRRefH22_10x_0" localSheetId="41">'201'!$H$50:$H$52</definedName>
    <definedName name="OSRRefH22_10x_0" localSheetId="42">'202'!$H$52</definedName>
    <definedName name="OSRRefH22_10x_0" localSheetId="43">'203'!$H$54:$H$55</definedName>
    <definedName name="OSRRefH22_10x_0" localSheetId="44">'204'!$H$57:$H$58</definedName>
    <definedName name="OSRRefH22_10x_0" localSheetId="48">'300'!$H$199:$H$200</definedName>
    <definedName name="OSRRefH22_10x_0" localSheetId="49">'300 &amp; 317'!$H$224:$H$225</definedName>
    <definedName name="OSRRefH22_10x_0" localSheetId="50">'301'!$H$56</definedName>
    <definedName name="OSRRefH22_10x_0" localSheetId="51">'306'!$H$57</definedName>
    <definedName name="OSRRefH22_10x_0" localSheetId="53">'307'!$H$105:$H$106</definedName>
    <definedName name="OSRRefH22_10x_0" localSheetId="55">'308'!$H$99</definedName>
    <definedName name="OSRRefH22_10x_0" localSheetId="67">'309'!$H$58:$H$63</definedName>
    <definedName name="OSRRefH22_10x_0" localSheetId="66">'310'!$H$65</definedName>
    <definedName name="OSRRefH22_10x_0" localSheetId="76">'310 &amp; 491'!$H$76:$H$77</definedName>
    <definedName name="OSRRefH22_10x_0" localSheetId="56">'311'!$H$98</definedName>
    <definedName name="OSRRefH22_10x_0" localSheetId="68">'313'!$H$62</definedName>
    <definedName name="OSRRefH22_10x_0" localSheetId="59">'315'!$H$91:$H$92</definedName>
    <definedName name="OSRRefH22_10x_0" localSheetId="62">'316'!$H$66</definedName>
    <definedName name="OSRRefH22_10x_0" localSheetId="65">'317'!$H$90</definedName>
    <definedName name="OSRRefH22_10x_0" localSheetId="69">'321'!$H$62</definedName>
    <definedName name="OSRRefH22_10x_0" localSheetId="70">'322'!$H$56:$H$58</definedName>
    <definedName name="OSRRefH22_10x_0" localSheetId="72">'325'!$H$57</definedName>
    <definedName name="OSRRefH22_10x_0" localSheetId="60">'326'!$H$90</definedName>
    <definedName name="OSRRefH22_10x_0" localSheetId="52">'330'!$H$113</definedName>
    <definedName name="OSRRefH22_10x_0" localSheetId="58">'331'!$H$107</definedName>
    <definedName name="OSRRefH22_10x_0" localSheetId="61">'332'!$H$73:$H$77</definedName>
    <definedName name="OSRRefH22_10x_0" localSheetId="78">'405'!$H$55:$H$56</definedName>
    <definedName name="OSRRefH22_10x_0" localSheetId="79">'406'!$H$57:$H$58</definedName>
    <definedName name="OSRRefH22_10x_0" localSheetId="80">'411'!$H$55</definedName>
    <definedName name="OSRRefH22_10x_0" localSheetId="81">'412'!$H$57:$H$59</definedName>
    <definedName name="OSRRefH22_10x_0" localSheetId="83">'413'!$H$62</definedName>
    <definedName name="OSRRefH22_10x_0" localSheetId="84">'414'!$H$57</definedName>
    <definedName name="OSRRefH22_10x_0" localSheetId="85">'415'!$H$57</definedName>
    <definedName name="OSRRefH22_10x_0" localSheetId="86">'418'!$H$58:$H$60</definedName>
    <definedName name="OSRRefH22_10x_0" localSheetId="88">'424'!$H$50:$H$54</definedName>
    <definedName name="OSRRefH22_10x_0" localSheetId="89">'425'!$H$60</definedName>
    <definedName name="OSRRefH22_10x_0" localSheetId="93">'433'!$H$59:$H$61</definedName>
    <definedName name="OSRRefH22_10x_0" localSheetId="95">'444'!$H$58</definedName>
    <definedName name="OSRRefH22_10x_0" localSheetId="97">'450'!$H$58</definedName>
    <definedName name="OSRRefH22_10x_0" localSheetId="77">'491'!$H$69:$H$70</definedName>
    <definedName name="OSRRefH22_10x_0" localSheetId="91">'492'!$H$62</definedName>
    <definedName name="OSRRefH22_10x_0" localSheetId="99">'501'!$H$53:$H$54</definedName>
    <definedName name="OSRRefH22_10x_0" localSheetId="39">'Div 2'!$H$57</definedName>
    <definedName name="OSRRefH22_10x_0" localSheetId="47">'Div 3'!$H$204:$H$205</definedName>
    <definedName name="OSRRefH22_10x_0" localSheetId="75">'Div 4'!$H$70:$H$71</definedName>
    <definedName name="OSRRefH22_10x_0" localSheetId="98">'Div 5'!$H$53:$H$54</definedName>
    <definedName name="OSRRefH22_10x_0" localSheetId="64">'Div 6'!$H$90</definedName>
    <definedName name="OSRRefH22_10x_0" localSheetId="2">Summary!$H$239:$H$240</definedName>
    <definedName name="OSRRefH22_11x_0" localSheetId="41">'201'!$H$54:$H$56</definedName>
    <definedName name="OSRRefH22_11x_0" localSheetId="42">'202'!$H$54</definedName>
    <definedName name="OSRRefH22_11x_0" localSheetId="43">'203'!$H$57</definedName>
    <definedName name="OSRRefH22_11x_0" localSheetId="48">'300'!$H$202</definedName>
    <definedName name="OSRRefH22_11x_0" localSheetId="49">'300 &amp; 317'!$H$227</definedName>
    <definedName name="OSRRefH22_11x_0" localSheetId="50">'301'!$H$58</definedName>
    <definedName name="OSRRefH22_11x_0" localSheetId="53">'307'!$H$108:$H$109</definedName>
    <definedName name="OSRRefH22_11x_0" localSheetId="55">'308'!$H$101:$H$104</definedName>
    <definedName name="OSRRefH22_11x_0" localSheetId="67">'309'!$H$65</definedName>
    <definedName name="OSRRefH22_11x_0" localSheetId="66">'310'!$H$67</definedName>
    <definedName name="OSRRefH22_11x_0" localSheetId="76">'310 &amp; 491'!$H$79:$H$80</definedName>
    <definedName name="OSRRefH22_11x_0" localSheetId="56">'311'!$H$100:$H$103</definedName>
    <definedName name="OSRRefH22_11x_0" localSheetId="68">'313'!$H$64</definedName>
    <definedName name="OSRRefH22_11x_0" localSheetId="59">'315'!$H$94:$H$98</definedName>
    <definedName name="OSRRefH22_11x_0" localSheetId="62">'316'!$H$68</definedName>
    <definedName name="OSRRefH22_11x_0" localSheetId="65">'317'!$H$92</definedName>
    <definedName name="OSRRefH22_11x_0" localSheetId="69">'321'!$H$64</definedName>
    <definedName name="OSRRefH22_11x_0" localSheetId="70">'322'!$H$60</definedName>
    <definedName name="OSRRefH22_11x_0" localSheetId="72">'325'!$H$59:$H$61</definedName>
    <definedName name="OSRRefH22_11x_0" localSheetId="60">'326'!$H$92</definedName>
    <definedName name="OSRRefH22_11x_0" localSheetId="52">'330'!$H$115:$H$116</definedName>
    <definedName name="OSRRefH22_11x_0" localSheetId="58">'331'!$H$109</definedName>
    <definedName name="OSRRefH22_11x_0" localSheetId="61">'332'!$H$79</definedName>
    <definedName name="OSRRefH22_11x_0" localSheetId="78">'405'!$H$58</definedName>
    <definedName name="OSRRefH22_11x_0" localSheetId="79">'406'!$H$60:$H$65</definedName>
    <definedName name="OSRRefH22_11x_0" localSheetId="80">'411'!$H$57:$H$59</definedName>
    <definedName name="OSRRefH22_11x_0" localSheetId="81">'412'!$H$61:$H$67</definedName>
    <definedName name="OSRRefH22_11x_0" localSheetId="84">'414'!$H$59</definedName>
    <definedName name="OSRRefH22_11x_0" localSheetId="85">'415'!$H$59:$H$61</definedName>
    <definedName name="OSRRefH22_11x_0" localSheetId="86">'418'!$H$62:$H$64</definedName>
    <definedName name="OSRRefH22_11x_0" localSheetId="88">'424'!$H$56</definedName>
    <definedName name="OSRRefH22_11x_0" localSheetId="89">'425'!$H$62:$H$63</definedName>
    <definedName name="OSRRefH22_11x_0" localSheetId="93">'433'!$H$63:$H$65</definedName>
    <definedName name="OSRRefH22_11x_0" localSheetId="95">'444'!$H$60:$H$62</definedName>
    <definedName name="OSRRefH22_11x_0" localSheetId="97">'450'!$H$60:$H$61</definedName>
    <definedName name="OSRRefH22_11x_0" localSheetId="77">'491'!$H$72</definedName>
    <definedName name="OSRRefH22_11x_0" localSheetId="91">'492'!$H$64</definedName>
    <definedName name="OSRRefH22_11x_0" localSheetId="99">'501'!$H$56:$H$59</definedName>
    <definedName name="OSRRefH22_11x_0" localSheetId="39">'Div 2'!$H$59</definedName>
    <definedName name="OSRRefH22_11x_0" localSheetId="47">'Div 3'!$H$207</definedName>
    <definedName name="OSRRefH22_11x_0" localSheetId="75">'Div 4'!$H$73</definedName>
    <definedName name="OSRRefH22_11x_0" localSheetId="98">'Div 5'!$H$56:$H$59</definedName>
    <definedName name="OSRRefH22_11x_0" localSheetId="64">'Div 6'!$H$92</definedName>
    <definedName name="OSRRefH22_11x_0" localSheetId="2">Summary!$H$242:$H$243</definedName>
    <definedName name="OSRRefH22_12x_0" localSheetId="41">'201'!$H$58</definedName>
    <definedName name="OSRRefH22_12x_0" localSheetId="42">'202'!$H$56:$H$58</definedName>
    <definedName name="OSRRefH22_12x_0" localSheetId="43">'203'!$H$59:$H$61</definedName>
    <definedName name="OSRRefH22_12x_0" localSheetId="48">'300'!$H$204</definedName>
    <definedName name="OSRRefH22_12x_0" localSheetId="49">'300 &amp; 317'!$H$229</definedName>
    <definedName name="OSRRefH22_12x_0" localSheetId="50">'301'!$H$60</definedName>
    <definedName name="OSRRefH22_12x_0" localSheetId="53">'307'!$H$111</definedName>
    <definedName name="OSRRefH22_12x_0" localSheetId="55">'308'!$H$106:$H$107</definedName>
    <definedName name="OSRRefH22_12x_0" localSheetId="66">'310'!$H$69</definedName>
    <definedName name="OSRRefH22_12x_0" localSheetId="76">'310 &amp; 491'!$H$82</definedName>
    <definedName name="OSRRefH22_12x_0" localSheetId="56">'311'!$H$105:$H$106</definedName>
    <definedName name="OSRRefH22_12x_0" localSheetId="68">'313'!$H$66:$H$71</definedName>
    <definedName name="OSRRefH22_12x_0" localSheetId="59">'315'!$H$100</definedName>
    <definedName name="OSRRefH22_12x_0" localSheetId="65">'317'!$H$94</definedName>
    <definedName name="OSRRefH22_12x_0" localSheetId="69">'321'!$H$66</definedName>
    <definedName name="OSRRefH22_12x_0" localSheetId="70">'322'!$H$62:$H$67</definedName>
    <definedName name="OSRRefH22_12x_0" localSheetId="72">'325'!$H$63:$H$65</definedName>
    <definedName name="OSRRefH22_12x_0" localSheetId="60">'326'!$H$94</definedName>
    <definedName name="OSRRefH22_12x_0" localSheetId="52">'330'!$H$118:$H$119</definedName>
    <definedName name="OSRRefH22_12x_0" localSheetId="58">'331'!$H$111</definedName>
    <definedName name="OSRRefH22_12x_0" localSheetId="61">'332'!$H$81</definedName>
    <definedName name="OSRRefH22_12x_0" localSheetId="78">'405'!$H$60:$H$62</definedName>
    <definedName name="OSRRefH22_12x_0" localSheetId="79">'406'!$H$67</definedName>
    <definedName name="OSRRefH22_12x_0" localSheetId="80">'411'!$H$61:$H$65</definedName>
    <definedName name="OSRRefH22_12x_0" localSheetId="81">'412'!$H$69</definedName>
    <definedName name="OSRRefH22_12x_0" localSheetId="84">'414'!$H$61</definedName>
    <definedName name="OSRRefH22_12x_0" localSheetId="85">'415'!$H$63:$H$67</definedName>
    <definedName name="OSRRefH22_12x_0" localSheetId="86">'418'!$H$66</definedName>
    <definedName name="OSRRefH22_12x_0" localSheetId="89">'425'!$H$65:$H$71</definedName>
    <definedName name="OSRRefH22_12x_0" localSheetId="93">'433'!$H$67:$H$73</definedName>
    <definedName name="OSRRefH22_12x_0" localSheetId="95">'444'!$H$64:$H$66</definedName>
    <definedName name="OSRRefH22_12x_0" localSheetId="97">'450'!$H$63:$H$65</definedName>
    <definedName name="OSRRefH22_12x_0" localSheetId="77">'491'!$H$74</definedName>
    <definedName name="OSRRefH22_12x_0" localSheetId="91">'492'!$H$66:$H$68</definedName>
    <definedName name="OSRRefH22_12x_0" localSheetId="99">'501'!$H$61</definedName>
    <definedName name="OSRRefH22_12x_0" localSheetId="39">'Div 2'!$H$61:$H$64</definedName>
    <definedName name="OSRRefH22_12x_0" localSheetId="47">'Div 3'!$H$209</definedName>
    <definedName name="OSRRefH22_12x_0" localSheetId="75">'Div 4'!$H$75</definedName>
    <definedName name="OSRRefH22_12x_0" localSheetId="98">'Div 5'!$H$61</definedName>
    <definedName name="OSRRefH22_12x_0" localSheetId="64">'Div 6'!$H$94</definedName>
    <definedName name="OSRRefH22_12x_0" localSheetId="2">Summary!$H$245</definedName>
    <definedName name="OSRRefH22_13x_0" localSheetId="41">'201'!$H$60:$H$62</definedName>
    <definedName name="OSRRefH22_13x_0" localSheetId="42">'202'!$H$60</definedName>
    <definedName name="OSRRefH22_13x_0" localSheetId="43">'203'!$H$63</definedName>
    <definedName name="OSRRefH22_13x_0" localSheetId="48">'300'!$H$206</definedName>
    <definedName name="OSRRefH22_13x_0" localSheetId="49">'300 &amp; 317'!$H$231</definedName>
    <definedName name="OSRRefH22_13x_0" localSheetId="50">'301'!$H$62</definedName>
    <definedName name="OSRRefH22_13x_0" localSheetId="53">'307'!$H$113</definedName>
    <definedName name="OSRRefH22_13x_0" localSheetId="55">'308'!$H$109</definedName>
    <definedName name="OSRRefH22_13x_0" localSheetId="66">'310'!$H$71</definedName>
    <definedName name="OSRRefH22_13x_0" localSheetId="76">'310 &amp; 491'!$H$84</definedName>
    <definedName name="OSRRefH22_13x_0" localSheetId="56">'311'!$H$108</definedName>
    <definedName name="OSRRefH22_13x_0" localSheetId="68">'313'!$H$73</definedName>
    <definedName name="OSRRefH22_13x_0" localSheetId="59">'315'!$H$102</definedName>
    <definedName name="OSRRefH22_13x_0" localSheetId="70">'322'!$H$69</definedName>
    <definedName name="OSRRefH22_13x_0" localSheetId="72">'325'!$H$67</definedName>
    <definedName name="OSRRefH22_13x_0" localSheetId="60">'326'!$H$96:$H$97</definedName>
    <definedName name="OSRRefH22_13x_0" localSheetId="52">'330'!$H$121</definedName>
    <definedName name="OSRRefH22_13x_0" localSheetId="58">'331'!$H$113</definedName>
    <definedName name="OSRRefH22_13x_0" localSheetId="78">'405'!$H$64</definedName>
    <definedName name="OSRRefH22_13x_0" localSheetId="79">'406'!$H$69</definedName>
    <definedName name="OSRRefH22_13x_0" localSheetId="80">'411'!$H$67:$H$73</definedName>
    <definedName name="OSRRefH22_13x_0" localSheetId="81">'412'!$H$71</definedName>
    <definedName name="OSRRefH22_13x_0" localSheetId="84">'414'!$H$63:$H$69</definedName>
    <definedName name="OSRRefH22_13x_0" localSheetId="85">'415'!$H$69</definedName>
    <definedName name="OSRRefH22_13x_0" localSheetId="86">'418'!$H$68:$H$74</definedName>
    <definedName name="OSRRefH22_13x_0" localSheetId="89">'425'!$H$73</definedName>
    <definedName name="OSRRefH22_13x_0" localSheetId="93">'433'!$H$75</definedName>
    <definedName name="OSRRefH22_13x_0" localSheetId="95">'444'!$H$68:$H$75</definedName>
    <definedName name="OSRRefH22_13x_0" localSheetId="97">'450'!$H$67:$H$73</definedName>
    <definedName name="OSRRefH22_13x_0" localSheetId="77">'491'!$H$76</definedName>
    <definedName name="OSRRefH22_13x_0" localSheetId="91">'492'!$H$70:$H$72</definedName>
    <definedName name="OSRRefH22_13x_0" localSheetId="99">'501'!$H$63</definedName>
    <definedName name="OSRRefH22_13x_0" localSheetId="39">'Div 2'!$H$66:$H$68</definedName>
    <definedName name="OSRRefH22_13x_0" localSheetId="47">'Div 3'!$H$211</definedName>
    <definedName name="OSRRefH22_13x_0" localSheetId="75">'Div 4'!$H$77</definedName>
    <definedName name="OSRRefH22_13x_0" localSheetId="98">'Div 5'!$H$63</definedName>
    <definedName name="OSRRefH22_13x_0" localSheetId="2">Summary!$H$247</definedName>
    <definedName name="OSRRefH22_14x_0" localSheetId="41">'201'!$H$64</definedName>
    <definedName name="OSRRefH22_14x_0" localSheetId="42">'202'!$H$62</definedName>
    <definedName name="OSRRefH22_14x_0" localSheetId="43">'203'!$H$65</definedName>
    <definedName name="OSRRefH22_14x_0" localSheetId="48">'300'!$H$208</definedName>
    <definedName name="OSRRefH22_14x_0" localSheetId="49">'300 &amp; 317'!$H$233</definedName>
    <definedName name="OSRRefH22_14x_0" localSheetId="50">'301'!$H$64:$H$66</definedName>
    <definedName name="OSRRefH22_14x_0" localSheetId="55">'308'!$H$111</definedName>
    <definedName name="OSRRefH22_14x_0" localSheetId="66">'310'!$H$73:$H$75</definedName>
    <definedName name="OSRRefH22_14x_0" localSheetId="76">'310 &amp; 491'!$H$86</definedName>
    <definedName name="OSRRefH22_14x_0" localSheetId="56">'311'!$H$110</definedName>
    <definedName name="OSRRefH22_14x_0" localSheetId="68">'313'!$H$75</definedName>
    <definedName name="OSRRefH22_14x_0" localSheetId="59">'315'!$H$104:$H$105</definedName>
    <definedName name="OSRRefH22_14x_0" localSheetId="70">'322'!$H$71</definedName>
    <definedName name="OSRRefH22_14x_0" localSheetId="72">'325'!$H$69:$H$74</definedName>
    <definedName name="OSRRefH22_14x_0" localSheetId="60">'326'!$H$99:$H$101</definedName>
    <definedName name="OSRRefH22_14x_0" localSheetId="52">'330'!$H$123:$H$125</definedName>
    <definedName name="OSRRefH22_14x_0" localSheetId="58">'331'!$H$115:$H$117</definedName>
    <definedName name="OSRRefH22_14x_0" localSheetId="78">'405'!$H$66:$H$72</definedName>
    <definedName name="OSRRefH22_14x_0" localSheetId="80">'411'!$H$75</definedName>
    <definedName name="OSRRefH22_14x_0" localSheetId="84">'414'!$H$71</definedName>
    <definedName name="OSRRefH22_14x_0" localSheetId="85">'415'!$H$71:$H$77</definedName>
    <definedName name="OSRRefH22_14x_0" localSheetId="86">'418'!$H$76</definedName>
    <definedName name="OSRRefH22_14x_0" localSheetId="89">'425'!$H$75</definedName>
    <definedName name="OSRRefH22_14x_0" localSheetId="93">'433'!$H$77</definedName>
    <definedName name="OSRRefH22_14x_0" localSheetId="95">'444'!$H$77</definedName>
    <definedName name="OSRRefH22_14x_0" localSheetId="97">'450'!$H$75</definedName>
    <definedName name="OSRRefH22_14x_0" localSheetId="77">'491'!$H$78</definedName>
    <definedName name="OSRRefH22_14x_0" localSheetId="91">'492'!$H$74:$H$81</definedName>
    <definedName name="OSRRefH22_14x_0" localSheetId="39">'Div 2'!$H$70:$H$71</definedName>
    <definedName name="OSRRefH22_14x_0" localSheetId="47">'Div 3'!$H$213</definedName>
    <definedName name="OSRRefH22_14x_0" localSheetId="75">'Div 4'!$H$79</definedName>
    <definedName name="OSRRefH22_14x_0" localSheetId="2">Summary!$H$249</definedName>
    <definedName name="OSRRefH22_15x_0" localSheetId="41">'201'!$H$66</definedName>
    <definedName name="OSRRefH22_15x_0" localSheetId="43">'203'!$H$67</definedName>
    <definedName name="OSRRefH22_15x_0" localSheetId="48">'300'!$H$210</definedName>
    <definedName name="OSRRefH22_15x_0" localSheetId="49">'300 &amp; 317'!$H$235</definedName>
    <definedName name="OSRRefH22_15x_0" localSheetId="50">'301'!$H$68:$H$70</definedName>
    <definedName name="OSRRefH22_15x_0" localSheetId="66">'310'!$H$77</definedName>
    <definedName name="OSRRefH22_15x_0" localSheetId="76">'310 &amp; 491'!$H$88</definedName>
    <definedName name="OSRRefH22_15x_0" localSheetId="72">'325'!$H$76</definedName>
    <definedName name="OSRRefH22_15x_0" localSheetId="60">'326'!$H$103</definedName>
    <definedName name="OSRRefH22_15x_0" localSheetId="52">'330'!$H$127</definedName>
    <definedName name="OSRRefH22_15x_0" localSheetId="58">'331'!$H$119:$H$120</definedName>
    <definedName name="OSRRefH22_15x_0" localSheetId="78">'405'!$H$74</definedName>
    <definedName name="OSRRefH22_15x_0" localSheetId="80">'411'!$H$77</definedName>
    <definedName name="OSRRefH22_15x_0" localSheetId="84">'414'!$H$73</definedName>
    <definedName name="OSRRefH22_15x_0" localSheetId="85">'415'!$H$79</definedName>
    <definedName name="OSRRefH22_15x_0" localSheetId="86">'418'!$H$78</definedName>
    <definedName name="OSRRefH22_15x_0" localSheetId="89">'425'!$H$77</definedName>
    <definedName name="OSRRefH22_15x_0" localSheetId="93">'433'!$H$79:$H$80</definedName>
    <definedName name="OSRRefH22_15x_0" localSheetId="95">'444'!$H$79</definedName>
    <definedName name="OSRRefH22_15x_0" localSheetId="97">'450'!$H$77</definedName>
    <definedName name="OSRRefH22_15x_0" localSheetId="77">'491'!$H$80:$H$82</definedName>
    <definedName name="OSRRefH22_15x_0" localSheetId="91">'492'!$H$83</definedName>
    <definedName name="OSRRefH22_15x_0" localSheetId="39">'Div 2'!$H$73</definedName>
    <definedName name="OSRRefH22_15x_0" localSheetId="47">'Div 3'!$H$215</definedName>
    <definedName name="OSRRefH22_15x_0" localSheetId="75">'Div 4'!$H$81</definedName>
    <definedName name="OSRRefH22_15x_0" localSheetId="2">Summary!$H$251</definedName>
    <definedName name="OSRRefH22_16x_0" localSheetId="41">'201'!$H$68:$H$69</definedName>
    <definedName name="OSRRefH22_16x_0" localSheetId="48">'300'!$H$212:$H$214</definedName>
    <definedName name="OSRRefH22_16x_0" localSheetId="49">'300 &amp; 317'!$H$237:$H$239</definedName>
    <definedName name="OSRRefH22_16x_0" localSheetId="50">'301'!$H$72</definedName>
    <definedName name="OSRRefH22_16x_0" localSheetId="66">'310'!$H$79:$H$82</definedName>
    <definedName name="OSRRefH22_16x_0" localSheetId="76">'310 &amp; 491'!$H$90:$H$92</definedName>
    <definedName name="OSRRefH22_16x_0" localSheetId="72">'325'!$H$78</definedName>
    <definedName name="OSRRefH22_16x_0" localSheetId="60">'326'!$H$105:$H$109</definedName>
    <definedName name="OSRRefH22_16x_0" localSheetId="52">'330'!$H$129</definedName>
    <definedName name="OSRRefH22_16x_0" localSheetId="58">'331'!$H$122:$H$124</definedName>
    <definedName name="OSRRefH22_16x_0" localSheetId="78">'405'!$H$76</definedName>
    <definedName name="OSRRefH22_16x_0" localSheetId="80">'411'!$H$79:$H$81</definedName>
    <definedName name="OSRRefH22_16x_0" localSheetId="85">'415'!$H$81</definedName>
    <definedName name="OSRRefH22_16x_0" localSheetId="95">'444'!$H$81</definedName>
    <definedName name="OSRRefH22_16x_0" localSheetId="97">'450'!$H$79:$H$80</definedName>
    <definedName name="OSRRefH22_16x_0" localSheetId="77">'491'!$H$84:$H$85</definedName>
    <definedName name="OSRRefH22_16x_0" localSheetId="91">'492'!$H$85</definedName>
    <definedName name="OSRRefH22_16x_0" localSheetId="39">'Div 2'!$H$75:$H$78</definedName>
    <definedName name="OSRRefH22_16x_0" localSheetId="47">'Div 3'!$H$217</definedName>
    <definedName name="OSRRefH22_16x_0" localSheetId="75">'Div 4'!$H$83:$H$85</definedName>
    <definedName name="OSRRefH22_16x_0" localSheetId="2">Summary!$H$253</definedName>
    <definedName name="OSRRefH22_17x_0" localSheetId="48">'300'!$H$216:$H$218</definedName>
    <definedName name="OSRRefH22_17x_0" localSheetId="49">'300 &amp; 317'!$H$241:$H$243</definedName>
    <definedName name="OSRRefH22_17x_0" localSheetId="50">'301'!$H$74:$H$78</definedName>
    <definedName name="OSRRefH22_17x_0" localSheetId="66">'310'!$H$84:$H$85</definedName>
    <definedName name="OSRRefH22_17x_0" localSheetId="76">'310 &amp; 491'!$H$94:$H$95</definedName>
    <definedName name="OSRRefH22_17x_0" localSheetId="60">'326'!$H$111</definedName>
    <definedName name="OSRRefH22_17x_0" localSheetId="58">'331'!$H$126:$H$127</definedName>
    <definedName name="OSRRefH22_17x_0" localSheetId="78">'405'!$H$78</definedName>
    <definedName name="OSRRefH22_17x_0" localSheetId="80">'411'!$H$83</definedName>
    <definedName name="OSRRefH22_17x_0" localSheetId="85">'415'!$H$83</definedName>
    <definedName name="OSRRefH22_17x_0" localSheetId="77">'491'!$H$87:$H$91</definedName>
    <definedName name="OSRRefH22_17x_0" localSheetId="91">'492'!$H$87:$H$88</definedName>
    <definedName name="OSRRefH22_17x_0" localSheetId="39">'Div 2'!$H$80:$H$81</definedName>
    <definedName name="OSRRefH22_17x_0" localSheetId="47">'Div 3'!$H$219:$H$221</definedName>
    <definedName name="OSRRefH22_17x_0" localSheetId="75">'Div 4'!$H$87:$H$88</definedName>
    <definedName name="OSRRefH22_17x_0" localSheetId="2">Summary!$H$255</definedName>
    <definedName name="OSRRefH22_18x_0" localSheetId="48">'300'!$H$220:$H$223</definedName>
    <definedName name="OSRRefH22_18x_0" localSheetId="49">'300 &amp; 317'!$H$245:$H$248</definedName>
    <definedName name="OSRRefH22_18x_0" localSheetId="50">'301'!$H$80</definedName>
    <definedName name="OSRRefH22_18x_0" localSheetId="66">'310'!$H$87:$H$93</definedName>
    <definedName name="OSRRefH22_18x_0" localSheetId="76">'310 &amp; 491'!$H$97:$H$101</definedName>
    <definedName name="OSRRefH22_18x_0" localSheetId="60">'326'!$H$113</definedName>
    <definedName name="OSRRefH22_18x_0" localSheetId="58">'331'!$H$129:$H$134</definedName>
    <definedName name="OSRRefH22_18x_0" localSheetId="77">'491'!$H$93</definedName>
    <definedName name="OSRRefH22_18x_0" localSheetId="39">'Div 2'!$H$83</definedName>
    <definedName name="OSRRefH22_18x_0" localSheetId="47">'Div 3'!$H$223:$H$225</definedName>
    <definedName name="OSRRefH22_18x_0" localSheetId="75">'Div 4'!$H$90:$H$94</definedName>
    <definedName name="OSRRefH22_18x_0" localSheetId="2">Summary!$H$257:$H$259</definedName>
    <definedName name="OSRRefH22_19x_0" localSheetId="48">'300'!$H$225:$H$226</definedName>
    <definedName name="OSRRefH22_19x_0" localSheetId="49">'300 &amp; 317'!$H$250:$H$251</definedName>
    <definedName name="OSRRefH22_19x_0" localSheetId="50">'301'!$H$82</definedName>
    <definedName name="OSRRefH22_19x_0" localSheetId="66">'310'!$H$95</definedName>
    <definedName name="OSRRefH22_19x_0" localSheetId="76">'310 &amp; 491'!$H$103:$H$104</definedName>
    <definedName name="OSRRefH22_19x_0" localSheetId="60">'326'!$H$115</definedName>
    <definedName name="OSRRefH22_19x_0" localSheetId="58">'331'!$H$136</definedName>
    <definedName name="OSRRefH22_19x_0" localSheetId="77">'491'!$H$95:$H$102</definedName>
    <definedName name="OSRRefH22_19x_0" localSheetId="39">'Div 2'!$H$85:$H$86</definedName>
    <definedName name="OSRRefH22_19x_0" localSheetId="47">'Div 3'!$H$227:$H$231</definedName>
    <definedName name="OSRRefH22_19x_0" localSheetId="75">'Div 4'!$H$96</definedName>
    <definedName name="OSRRefH22_19x_0" localSheetId="2">Summary!$H$261:$H$263</definedName>
    <definedName name="OSRRefH22_1x_0" localSheetId="40">'200'!$H$22</definedName>
    <definedName name="OSRRefH22_1x_0" localSheetId="41">'201'!$H$30:$H$32</definedName>
    <definedName name="OSRRefH22_1x_0" localSheetId="42">'202'!$H$29:$H$32</definedName>
    <definedName name="OSRRefH22_1x_0" localSheetId="43">'203'!$H$31:$H$34</definedName>
    <definedName name="OSRRefH22_1x_0" localSheetId="44">'204'!$H$30:$H$34</definedName>
    <definedName name="OSRRefH22_1x_0" localSheetId="45">'205'!$H$29</definedName>
    <definedName name="OSRRefH22_1x_0" localSheetId="46">'206'!$H$29:$H$34</definedName>
    <definedName name="OSRRefH22_1x_0" localSheetId="48">'300'!$H$172:$H$178</definedName>
    <definedName name="OSRRefH22_1x_0" localSheetId="49">'300 &amp; 317'!$H$197:$H$203</definedName>
    <definedName name="OSRRefH22_1x_0" localSheetId="50">'301'!$H$29:$H$35</definedName>
    <definedName name="OSRRefH22_1x_0" localSheetId="51">'306'!$H$30:$H$34</definedName>
    <definedName name="OSRRefH22_1x_0" localSheetId="53">'307'!$H$82:$H$85</definedName>
    <definedName name="OSRRefH22_1x_0" localSheetId="55">'308'!$H$74:$H$78</definedName>
    <definedName name="OSRRefH22_1x_0" localSheetId="67">'309'!$H$33:$H$37</definedName>
    <definedName name="OSRRefH22_1x_0" localSheetId="66">'310'!$H$41:$H$46</definedName>
    <definedName name="OSRRefH22_1x_0" localSheetId="76">'310 &amp; 491'!$H$50:$H$56</definedName>
    <definedName name="OSRRefH22_1x_0" localSheetId="56">'311'!$H$73:$H$77</definedName>
    <definedName name="OSRRefH22_1x_0" localSheetId="68">'313'!$H$38:$H$42</definedName>
    <definedName name="OSRRefH22_1x_0" localSheetId="54">'314'!$H$64:$H$67</definedName>
    <definedName name="OSRRefH22_1x_0" localSheetId="59">'315'!$H$64:$H$69</definedName>
    <definedName name="OSRRefH22_1x_0" localSheetId="62">'316'!$H$41:$H$44</definedName>
    <definedName name="OSRRefH22_1x_0" localSheetId="65">'317'!$H$68:$H$71</definedName>
    <definedName name="OSRRefH22_1x_0" localSheetId="63">'320'!$H$37:$H$39</definedName>
    <definedName name="OSRRefH22_1x_0" localSheetId="69">'321'!$H$32:$H$36</definedName>
    <definedName name="OSRRefH22_1x_0" localSheetId="70">'322'!$H$33:$H$37</definedName>
    <definedName name="OSRRefH22_1x_0" localSheetId="72">'325'!$H$33:$H$38</definedName>
    <definedName name="OSRRefH22_1x_0" localSheetId="60">'326'!$H$69:$H$72</definedName>
    <definedName name="OSRRefH22_1x_0" localSheetId="73">'327'!$H$24</definedName>
    <definedName name="OSRRefH22_1x_0" localSheetId="52">'330'!$H$90:$H$94</definedName>
    <definedName name="OSRRefH22_1x_0" localSheetId="58">'331'!$H$82:$H$87</definedName>
    <definedName name="OSRRefH22_1x_0" localSheetId="61">'332'!$H$50:$H$53</definedName>
    <definedName name="OSRRefH22_1x_0" localSheetId="78">'405'!$H$33:$H$36</definedName>
    <definedName name="OSRRefH22_1x_0" localSheetId="79">'406'!$H$33:$H$37</definedName>
    <definedName name="OSRRefH22_1x_0" localSheetId="80">'411'!$H$30:$H$35</definedName>
    <definedName name="OSRRefH22_1x_0" localSheetId="81">'412'!$H$33:$H$38</definedName>
    <definedName name="OSRRefH22_1x_0" localSheetId="83">'413'!$H$33:$H$37</definedName>
    <definedName name="OSRRefH22_1x_0" localSheetId="84">'414'!$H$33:$H$38</definedName>
    <definedName name="OSRRefH22_1x_0" localSheetId="85">'415'!$H$33:$H$38</definedName>
    <definedName name="OSRRefH22_1x_0" localSheetId="86">'418'!$H$33:$H$38</definedName>
    <definedName name="OSRRefH22_1x_0" localSheetId="82">'420'!$H$30:$H$33</definedName>
    <definedName name="OSRRefH22_1x_0" localSheetId="87">'423'!$H$30</definedName>
    <definedName name="OSRRefH22_1x_0" localSheetId="88">'424'!$H$28:$H$31</definedName>
    <definedName name="OSRRefH22_1x_0" localSheetId="89">'425'!$H$36:$H$40</definedName>
    <definedName name="OSRRefH22_1x_0" localSheetId="92">'430'!$H$29</definedName>
    <definedName name="OSRRefH22_1x_0" localSheetId="93">'433'!$H$36:$H$41</definedName>
    <definedName name="OSRRefH22_1x_0" localSheetId="94">'435'!$H$29:$H$30</definedName>
    <definedName name="OSRRefH22_1x_0" localSheetId="95">'444'!$H$35:$H$40</definedName>
    <definedName name="OSRRefH22_1x_0" localSheetId="97">'450'!$H$35:$H$40</definedName>
    <definedName name="OSRRefH22_1x_0" localSheetId="90">'455'!$H$28:$H$29</definedName>
    <definedName name="OSRRefH22_1x_0" localSheetId="77">'491'!$H$43:$H$49</definedName>
    <definedName name="OSRRefH22_1x_0" localSheetId="91">'492'!$H$38:$H$44</definedName>
    <definedName name="OSRRefH22_1x_0" localSheetId="99">'501'!$H$30:$H$35</definedName>
    <definedName name="OSRRefH22_1x_0" localSheetId="39">'Div 2'!$H$32:$H$38</definedName>
    <definedName name="OSRRefH22_1x_0" localSheetId="47">'Div 3'!$H$177:$H$183</definedName>
    <definedName name="OSRRefH22_1x_0" localSheetId="75">'Div 4'!$H$44:$H$50</definedName>
    <definedName name="OSRRefH22_1x_0" localSheetId="98">'Div 5'!$H$30:$H$35</definedName>
    <definedName name="OSRRefH22_1x_0" localSheetId="64">'Div 6'!$H$68:$H$71</definedName>
    <definedName name="OSRRefH22_1x_0" localSheetId="2">Summary!$H$211:$H$217</definedName>
    <definedName name="OSRRefH22_20x_0" localSheetId="48">'300'!$H$228:$H$234</definedName>
    <definedName name="OSRRefH22_20x_0" localSheetId="49">'300 &amp; 317'!$H$253:$H$259</definedName>
    <definedName name="OSRRefH22_20x_0" localSheetId="50">'301'!$H$84:$H$86</definedName>
    <definedName name="OSRRefH22_20x_0" localSheetId="66">'310'!$H$97</definedName>
    <definedName name="OSRRefH22_20x_0" localSheetId="76">'310 &amp; 491'!$H$106:$H$113</definedName>
    <definedName name="OSRRefH22_20x_0" localSheetId="58">'331'!$H$138</definedName>
    <definedName name="OSRRefH22_20x_0" localSheetId="77">'491'!$H$104</definedName>
    <definedName name="OSRRefH22_20x_0" localSheetId="47">'Div 3'!$H$233:$H$234</definedName>
    <definedName name="OSRRefH22_20x_0" localSheetId="75">'Div 4'!$H$98:$H$105</definedName>
    <definedName name="OSRRefH22_20x_0" localSheetId="2">Summary!$H$265:$H$269</definedName>
    <definedName name="OSRRefH22_21x_0" localSheetId="48">'300'!$H$236:$H$237</definedName>
    <definedName name="OSRRefH22_21x_0" localSheetId="49">'300 &amp; 317'!$H$261:$H$262</definedName>
    <definedName name="OSRRefH22_21x_0" localSheetId="50">'301'!$H$88</definedName>
    <definedName name="OSRRefH22_21x_0" localSheetId="66">'310'!$H$99</definedName>
    <definedName name="OSRRefH22_21x_0" localSheetId="76">'310 &amp; 491'!$H$115</definedName>
    <definedName name="OSRRefH22_21x_0" localSheetId="58">'331'!$H$140:$H$141</definedName>
    <definedName name="OSRRefH22_21x_0" localSheetId="77">'491'!$H$106</definedName>
    <definedName name="OSRRefH22_21x_0" localSheetId="47">'Div 3'!$H$236:$H$242</definedName>
    <definedName name="OSRRefH22_21x_0" localSheetId="75">'Div 4'!$H$107</definedName>
    <definedName name="OSRRefH22_21x_0" localSheetId="2">Summary!$H$271:$H$272</definedName>
    <definedName name="OSRRefH22_22x_0" localSheetId="48">'300'!$H$239</definedName>
    <definedName name="OSRRefH22_22x_0" localSheetId="49">'300 &amp; 317'!$H$264</definedName>
    <definedName name="OSRRefH22_22x_0" localSheetId="76">'310 &amp; 491'!$H$117</definedName>
    <definedName name="OSRRefH22_22x_0" localSheetId="58">'331'!$H$143</definedName>
    <definedName name="OSRRefH22_22x_0" localSheetId="77">'491'!$H$108:$H$110</definedName>
    <definedName name="OSRRefH22_22x_0" localSheetId="47">'Div 3'!$H$244:$H$245</definedName>
    <definedName name="OSRRefH22_22x_0" localSheetId="75">'Div 4'!$H$109</definedName>
    <definedName name="OSRRefH22_22x_0" localSheetId="2">Summary!$H$274:$H$281</definedName>
    <definedName name="OSRRefH22_23x_0" localSheetId="48">'300'!$H$241:$H$243</definedName>
    <definedName name="OSRRefH22_23x_0" localSheetId="49">'300 &amp; 317'!$H$266:$H$268</definedName>
    <definedName name="OSRRefH22_23x_0" localSheetId="76">'310 &amp; 491'!$H$119:$H$121</definedName>
    <definedName name="OSRRefH22_23x_0" localSheetId="77">'491'!$H$112</definedName>
    <definedName name="OSRRefH22_23x_0" localSheetId="47">'Div 3'!$H$247</definedName>
    <definedName name="OSRRefH22_23x_0" localSheetId="75">'Div 4'!$H$111:$H$113</definedName>
    <definedName name="OSRRefH22_23x_0" localSheetId="2">Summary!$H$283:$H$284</definedName>
    <definedName name="OSRRefH22_24x_0" localSheetId="48">'300'!$H$245</definedName>
    <definedName name="OSRRefH22_24x_0" localSheetId="49">'300 &amp; 317'!$H$270</definedName>
    <definedName name="OSRRefH22_24x_0" localSheetId="76">'310 &amp; 491'!$H$123</definedName>
    <definedName name="OSRRefH22_24x_0" localSheetId="47">'Div 3'!$H$249:$H$251</definedName>
    <definedName name="OSRRefH22_24x_0" localSheetId="75">'Div 4'!$H$115</definedName>
    <definedName name="OSRRefH22_24x_0" localSheetId="2">Summary!$H$286</definedName>
    <definedName name="OSRRefH22_25x_0" localSheetId="47">'Div 3'!$H$253</definedName>
    <definedName name="OSRRefH22_25x_0" localSheetId="2">Summary!$H$288:$H$290</definedName>
    <definedName name="OSRRefH22_26x_0" localSheetId="2">Summary!$H$292</definedName>
    <definedName name="OSRRefH22_2x_0" localSheetId="40">'200'!$H$24</definedName>
    <definedName name="OSRRefH22_2x_0" localSheetId="41">'201'!$H$34</definedName>
    <definedName name="OSRRefH22_2x_0" localSheetId="42">'202'!$H$34</definedName>
    <definedName name="OSRRefH22_2x_0" localSheetId="43">'203'!$H$36</definedName>
    <definedName name="OSRRefH22_2x_0" localSheetId="44">'204'!$H$36</definedName>
    <definedName name="OSRRefH22_2x_0" localSheetId="45">'205'!$H$31</definedName>
    <definedName name="OSRRefH22_2x_0" localSheetId="46">'206'!$H$36</definedName>
    <definedName name="OSRRefH22_2x_0" localSheetId="48">'300'!$H$180</definedName>
    <definedName name="OSRRefH22_2x_0" localSheetId="49">'300 &amp; 317'!$H$205</definedName>
    <definedName name="OSRRefH22_2x_0" localSheetId="50">'301'!$H$37</definedName>
    <definedName name="OSRRefH22_2x_0" localSheetId="51">'306'!$H$36</definedName>
    <definedName name="OSRRefH22_2x_0" localSheetId="53">'307'!$H$87</definedName>
    <definedName name="OSRRefH22_2x_0" localSheetId="55">'308'!$H$80</definedName>
    <definedName name="OSRRefH22_2x_0" localSheetId="67">'309'!$H$39</definedName>
    <definedName name="OSRRefH22_2x_0" localSheetId="66">'310'!$H$48</definedName>
    <definedName name="OSRRefH22_2x_0" localSheetId="76">'310 &amp; 491'!$H$58</definedName>
    <definedName name="OSRRefH22_2x_0" localSheetId="56">'311'!$H$79</definedName>
    <definedName name="OSRRefH22_2x_0" localSheetId="68">'313'!$H$44</definedName>
    <definedName name="OSRRefH22_2x_0" localSheetId="54">'314'!$H$69</definedName>
    <definedName name="OSRRefH22_2x_0" localSheetId="59">'315'!$H$71</definedName>
    <definedName name="OSRRefH22_2x_0" localSheetId="62">'316'!$H$46</definedName>
    <definedName name="OSRRefH22_2x_0" localSheetId="65">'317'!$H$73</definedName>
    <definedName name="OSRRefH22_2x_0" localSheetId="63">'320'!$H$41</definedName>
    <definedName name="OSRRefH22_2x_0" localSheetId="69">'321'!$H$38</definedName>
    <definedName name="OSRRefH22_2x_0" localSheetId="70">'322'!$H$39</definedName>
    <definedName name="OSRRefH22_2x_0" localSheetId="72">'325'!$H$40</definedName>
    <definedName name="OSRRefH22_2x_0" localSheetId="60">'326'!$H$74</definedName>
    <definedName name="OSRRefH22_2x_0" localSheetId="73">'327'!$H$26</definedName>
    <definedName name="OSRRefH22_2x_0" localSheetId="52">'330'!$H$96</definedName>
    <definedName name="OSRRefH22_2x_0" localSheetId="58">'331'!$H$89</definedName>
    <definedName name="OSRRefH22_2x_0" localSheetId="61">'332'!$H$55</definedName>
    <definedName name="OSRRefH22_2x_0" localSheetId="78">'405'!$H$38</definedName>
    <definedName name="OSRRefH22_2x_0" localSheetId="79">'406'!$H$39</definedName>
    <definedName name="OSRRefH22_2x_0" localSheetId="80">'411'!$H$37</definedName>
    <definedName name="OSRRefH22_2x_0" localSheetId="81">'412'!$H$40</definedName>
    <definedName name="OSRRefH22_2x_0" localSheetId="83">'413'!$H$39</definedName>
    <definedName name="OSRRefH22_2x_0" localSheetId="84">'414'!$H$40</definedName>
    <definedName name="OSRRefH22_2x_0" localSheetId="85">'415'!$H$40</definedName>
    <definedName name="OSRRefH22_2x_0" localSheetId="86">'418'!$H$40</definedName>
    <definedName name="OSRRefH22_2x_0" localSheetId="82">'420'!$H$35</definedName>
    <definedName name="OSRRefH22_2x_0" localSheetId="87">'423'!$H$32</definedName>
    <definedName name="OSRRefH22_2x_0" localSheetId="88">'424'!$H$33</definedName>
    <definedName name="OSRRefH22_2x_0" localSheetId="89">'425'!$H$42</definedName>
    <definedName name="OSRRefH22_2x_0" localSheetId="92">'430'!$H$31</definedName>
    <definedName name="OSRRefH22_2x_0" localSheetId="93">'433'!$H$43</definedName>
    <definedName name="OSRRefH22_2x_0" localSheetId="94">'435'!$H$32</definedName>
    <definedName name="OSRRefH22_2x_0" localSheetId="95">'444'!$H$42</definedName>
    <definedName name="OSRRefH22_2x_0" localSheetId="97">'450'!$H$42</definedName>
    <definedName name="OSRRefH22_2x_0" localSheetId="90">'455'!$H$31</definedName>
    <definedName name="OSRRefH22_2x_0" localSheetId="77">'491'!$H$51</definedName>
    <definedName name="OSRRefH22_2x_0" localSheetId="91">'492'!$H$46</definedName>
    <definedName name="OSRRefH22_2x_0" localSheetId="99">'501'!$H$37</definedName>
    <definedName name="OSRRefH22_2x_0" localSheetId="39">'Div 2'!$H$40</definedName>
    <definedName name="OSRRefH22_2x_0" localSheetId="47">'Div 3'!$H$185</definedName>
    <definedName name="OSRRefH22_2x_0" localSheetId="75">'Div 4'!$H$52</definedName>
    <definedName name="OSRRefH22_2x_0" localSheetId="98">'Div 5'!$H$37</definedName>
    <definedName name="OSRRefH22_2x_0" localSheetId="64">'Div 6'!$H$73</definedName>
    <definedName name="OSRRefH22_2x_0" localSheetId="2">Summary!$H$219</definedName>
    <definedName name="OSRRefH22_3x_0" localSheetId="40">'200'!$H$26</definedName>
    <definedName name="OSRRefH22_3x_0" localSheetId="41">'201'!$H$36</definedName>
    <definedName name="OSRRefH22_3x_0" localSheetId="42">'202'!$H$36</definedName>
    <definedName name="OSRRefH22_3x_0" localSheetId="43">'203'!$H$38</definedName>
    <definedName name="OSRRefH22_3x_0" localSheetId="44">'204'!$H$38:$H$39</definedName>
    <definedName name="OSRRefH22_3x_0" localSheetId="45">'205'!$H$33</definedName>
    <definedName name="OSRRefH22_3x_0" localSheetId="46">'206'!$H$38</definedName>
    <definedName name="OSRRefH22_3x_0" localSheetId="48">'300'!$H$182:$H$183</definedName>
    <definedName name="OSRRefH22_3x_0" localSheetId="49">'300 &amp; 317'!$H$207:$H$208</definedName>
    <definedName name="OSRRefH22_3x_0" localSheetId="50">'301'!$H$39:$H$40</definedName>
    <definedName name="OSRRefH22_3x_0" localSheetId="51">'306'!$H$38</definedName>
    <definedName name="OSRRefH22_3x_0" localSheetId="53">'307'!$H$89</definedName>
    <definedName name="OSRRefH22_3x_0" localSheetId="55">'308'!$H$82:$H$83</definedName>
    <definedName name="OSRRefH22_3x_0" localSheetId="67">'309'!$H$41</definedName>
    <definedName name="OSRRefH22_3x_0" localSheetId="66">'310'!$H$50</definedName>
    <definedName name="OSRRefH22_3x_0" localSheetId="76">'310 &amp; 491'!$H$60</definedName>
    <definedName name="OSRRefH22_3x_0" localSheetId="56">'311'!$H$81:$H$82</definedName>
    <definedName name="OSRRefH22_3x_0" localSheetId="68">'313'!$H$46</definedName>
    <definedName name="OSRRefH22_3x_0" localSheetId="54">'314'!$H$71:$H$72</definedName>
    <definedName name="OSRRefH22_3x_0" localSheetId="59">'315'!$H$73:$H$74</definedName>
    <definedName name="OSRRefH22_3x_0" localSheetId="62">'316'!$H$48</definedName>
    <definedName name="OSRRefH22_3x_0" localSheetId="65">'317'!$H$75</definedName>
    <definedName name="OSRRefH22_3x_0" localSheetId="63">'320'!$H$43</definedName>
    <definedName name="OSRRefH22_3x_0" localSheetId="69">'321'!$H$40</definedName>
    <definedName name="OSRRefH22_3x_0" localSheetId="70">'322'!$H$41</definedName>
    <definedName name="OSRRefH22_3x_0" localSheetId="72">'325'!$H$42</definedName>
    <definedName name="OSRRefH22_3x_0" localSheetId="60">'326'!$H$76</definedName>
    <definedName name="OSRRefH22_3x_0" localSheetId="52">'330'!$H$98</definedName>
    <definedName name="OSRRefH22_3x_0" localSheetId="58">'331'!$H$91</definedName>
    <definedName name="OSRRefH22_3x_0" localSheetId="61">'332'!$H$57</definedName>
    <definedName name="OSRRefH22_3x_0" localSheetId="78">'405'!$H$40</definedName>
    <definedName name="OSRRefH22_3x_0" localSheetId="79">'406'!$H$41</definedName>
    <definedName name="OSRRefH22_3x_0" localSheetId="80">'411'!$H$39:$H$41</definedName>
    <definedName name="OSRRefH22_3x_0" localSheetId="81">'412'!$H$42</definedName>
    <definedName name="OSRRefH22_3x_0" localSheetId="83">'413'!$H$41</definedName>
    <definedName name="OSRRefH22_3x_0" localSheetId="84">'414'!$H$42</definedName>
    <definedName name="OSRRefH22_3x_0" localSheetId="85">'415'!$H$42</definedName>
    <definedName name="OSRRefH22_3x_0" localSheetId="86">'418'!$H$42</definedName>
    <definedName name="OSRRefH22_3x_0" localSheetId="82">'420'!$H$37</definedName>
    <definedName name="OSRRefH22_3x_0" localSheetId="87">'423'!$H$34</definedName>
    <definedName name="OSRRefH22_3x_0" localSheetId="88">'424'!$H$35</definedName>
    <definedName name="OSRRefH22_3x_0" localSheetId="89">'425'!$H$44</definedName>
    <definedName name="OSRRefH22_3x_0" localSheetId="92">'430'!$H$33</definedName>
    <definedName name="OSRRefH22_3x_0" localSheetId="93">'433'!$H$45</definedName>
    <definedName name="OSRRefH22_3x_0" localSheetId="94">'435'!$H$34</definedName>
    <definedName name="OSRRefH22_3x_0" localSheetId="95">'444'!$H$44</definedName>
    <definedName name="OSRRefH22_3x_0" localSheetId="97">'450'!$H$44</definedName>
    <definedName name="OSRRefH22_3x_0" localSheetId="77">'491'!$H$53</definedName>
    <definedName name="OSRRefH22_3x_0" localSheetId="91">'492'!$H$48</definedName>
    <definedName name="OSRRefH22_3x_0" localSheetId="99">'501'!$H$39</definedName>
    <definedName name="OSRRefH22_3x_0" localSheetId="39">'Div 2'!$H$42</definedName>
    <definedName name="OSRRefH22_3x_0" localSheetId="47">'Div 3'!$H$187:$H$188</definedName>
    <definedName name="OSRRefH22_3x_0" localSheetId="75">'Div 4'!$H$54</definedName>
    <definedName name="OSRRefH22_3x_0" localSheetId="98">'Div 5'!$H$39</definedName>
    <definedName name="OSRRefH22_3x_0" localSheetId="64">'Div 6'!$H$75</definedName>
    <definedName name="OSRRefH22_3x_0" localSheetId="2">Summary!$H$221:$H$222</definedName>
    <definedName name="OSRRefH22_4x_0" localSheetId="40">'200'!$H$28:$H$29</definedName>
    <definedName name="OSRRefH22_4x_0" localSheetId="41">'201'!$H$38</definedName>
    <definedName name="OSRRefH22_4x_0" localSheetId="42">'202'!$H$38</definedName>
    <definedName name="OSRRefH22_4x_0" localSheetId="43">'203'!$H$40</definedName>
    <definedName name="OSRRefH22_4x_0" localSheetId="44">'204'!$H$41</definedName>
    <definedName name="OSRRefH22_4x_0" localSheetId="45">'205'!$H$35:$H$36</definedName>
    <definedName name="OSRRefH22_4x_0" localSheetId="46">'206'!$H$40</definedName>
    <definedName name="OSRRefH22_4x_0" localSheetId="48">'300'!$H$185</definedName>
    <definedName name="OSRRefH22_4x_0" localSheetId="49">'300 &amp; 317'!$H$210</definedName>
    <definedName name="OSRRefH22_4x_0" localSheetId="50">'301'!$H$42</definedName>
    <definedName name="OSRRefH22_4x_0" localSheetId="51">'306'!$H$40</definedName>
    <definedName name="OSRRefH22_4x_0" localSheetId="53">'307'!$H$91:$H$92</definedName>
    <definedName name="OSRRefH22_4x_0" localSheetId="55">'308'!$H$85</definedName>
    <definedName name="OSRRefH22_4x_0" localSheetId="67">'309'!$H$43</definedName>
    <definedName name="OSRRefH22_4x_0" localSheetId="66">'310'!$H$52</definedName>
    <definedName name="OSRRefH22_4x_0" localSheetId="76">'310 &amp; 491'!$H$62</definedName>
    <definedName name="OSRRefH22_4x_0" localSheetId="56">'311'!$H$84</definedName>
    <definedName name="OSRRefH22_4x_0" localSheetId="68">'313'!$H$48</definedName>
    <definedName name="OSRRefH22_4x_0" localSheetId="54">'314'!$H$74</definedName>
    <definedName name="OSRRefH22_4x_0" localSheetId="59">'315'!$H$76</definedName>
    <definedName name="OSRRefH22_4x_0" localSheetId="62">'316'!$H$50</definedName>
    <definedName name="OSRRefH22_4x_0" localSheetId="65">'317'!$H$77</definedName>
    <definedName name="OSRRefH22_4x_0" localSheetId="63">'320'!$H$45:$H$46</definedName>
    <definedName name="OSRRefH22_4x_0" localSheetId="69">'321'!$H$42</definedName>
    <definedName name="OSRRefH22_4x_0" localSheetId="70">'322'!$H$43</definedName>
    <definedName name="OSRRefH22_4x_0" localSheetId="72">'325'!$H$44</definedName>
    <definedName name="OSRRefH22_4x_0" localSheetId="60">'326'!$H$78</definedName>
    <definedName name="OSRRefH22_4x_0" localSheetId="52">'330'!$H$100:$H$101</definedName>
    <definedName name="OSRRefH22_4x_0" localSheetId="58">'331'!$H$93</definedName>
    <definedName name="OSRRefH22_4x_0" localSheetId="61">'332'!$H$59</definedName>
    <definedName name="OSRRefH22_4x_0" localSheetId="78">'405'!$H$42</definedName>
    <definedName name="OSRRefH22_4x_0" localSheetId="79">'406'!$H$43</definedName>
    <definedName name="OSRRefH22_4x_0" localSheetId="80">'411'!$H$43</definedName>
    <definedName name="OSRRefH22_4x_0" localSheetId="81">'412'!$H$44</definedName>
    <definedName name="OSRRefH22_4x_0" localSheetId="83">'413'!$H$43</definedName>
    <definedName name="OSRRefH22_4x_0" localSheetId="84">'414'!$H$44</definedName>
    <definedName name="OSRRefH22_4x_0" localSheetId="85">'415'!$H$44</definedName>
    <definedName name="OSRRefH22_4x_0" localSheetId="86">'418'!$H$44</definedName>
    <definedName name="OSRRefH22_4x_0" localSheetId="82">'420'!$H$39</definedName>
    <definedName name="OSRRefH22_4x_0" localSheetId="87">'423'!$H$36</definedName>
    <definedName name="OSRRefH22_4x_0" localSheetId="88">'424'!$H$37</definedName>
    <definedName name="OSRRefH22_4x_0" localSheetId="89">'425'!$H$46</definedName>
    <definedName name="OSRRefH22_4x_0" localSheetId="92">'430'!$H$35</definedName>
    <definedName name="OSRRefH22_4x_0" localSheetId="93">'433'!$H$47</definedName>
    <definedName name="OSRRefH22_4x_0" localSheetId="94">'435'!$H$36</definedName>
    <definedName name="OSRRefH22_4x_0" localSheetId="95">'444'!$H$46</definedName>
    <definedName name="OSRRefH22_4x_0" localSheetId="97">'450'!$H$46</definedName>
    <definedName name="OSRRefH22_4x_0" localSheetId="77">'491'!$H$55</definedName>
    <definedName name="OSRRefH22_4x_0" localSheetId="91">'492'!$H$50</definedName>
    <definedName name="OSRRefH22_4x_0" localSheetId="99">'501'!$H$41</definedName>
    <definedName name="OSRRefH22_4x_0" localSheetId="39">'Div 2'!$H$44</definedName>
    <definedName name="OSRRefH22_4x_0" localSheetId="47">'Div 3'!$H$190</definedName>
    <definedName name="OSRRefH22_4x_0" localSheetId="75">'Div 4'!$H$56</definedName>
    <definedName name="OSRRefH22_4x_0" localSheetId="98">'Div 5'!$H$41</definedName>
    <definedName name="OSRRefH22_4x_0" localSheetId="64">'Div 6'!$H$77</definedName>
    <definedName name="OSRRefH22_4x_0" localSheetId="2">Summary!$H$224</definedName>
    <definedName name="OSRRefH22_5x_0" localSheetId="41">'201'!$H$40</definedName>
    <definedName name="OSRRefH22_5x_0" localSheetId="42">'202'!$H$40</definedName>
    <definedName name="OSRRefH22_5x_0" localSheetId="43">'203'!$H$42</definedName>
    <definedName name="OSRRefH22_5x_0" localSheetId="44">'204'!$H$43</definedName>
    <definedName name="OSRRefH22_5x_0" localSheetId="45">'205'!$H$38</definedName>
    <definedName name="OSRRefH22_5x_0" localSheetId="46">'206'!$H$42:$H$43</definedName>
    <definedName name="OSRRefH22_5x_0" localSheetId="48">'300'!$H$187:$H$188</definedName>
    <definedName name="OSRRefH22_5x_0" localSheetId="49">'300 &amp; 317'!$H$212:$H$213</definedName>
    <definedName name="OSRRefH22_5x_0" localSheetId="50">'301'!$H$44:$H$45</definedName>
    <definedName name="OSRRefH22_5x_0" localSheetId="51">'306'!$H$42</definedName>
    <definedName name="OSRRefH22_5x_0" localSheetId="53">'307'!$H$94</definedName>
    <definedName name="OSRRefH22_5x_0" localSheetId="55">'308'!$H$87</definedName>
    <definedName name="OSRRefH22_5x_0" localSheetId="67">'309'!$H$45</definedName>
    <definedName name="OSRRefH22_5x_0" localSheetId="66">'310'!$H$54:$H$55</definedName>
    <definedName name="OSRRefH22_5x_0" localSheetId="76">'310 &amp; 491'!$H$64:$H$66</definedName>
    <definedName name="OSRRefH22_5x_0" localSheetId="56">'311'!$H$86</definedName>
    <definedName name="OSRRefH22_5x_0" localSheetId="68">'313'!$H$50</definedName>
    <definedName name="OSRRefH22_5x_0" localSheetId="54">'314'!$H$76</definedName>
    <definedName name="OSRRefH22_5x_0" localSheetId="59">'315'!$H$78:$H$79</definedName>
    <definedName name="OSRRefH22_5x_0" localSheetId="62">'316'!$H$52</definedName>
    <definedName name="OSRRefH22_5x_0" localSheetId="65">'317'!$H$79</definedName>
    <definedName name="OSRRefH22_5x_0" localSheetId="63">'320'!$H$48</definedName>
    <definedName name="OSRRefH22_5x_0" localSheetId="69">'321'!$H$44</definedName>
    <definedName name="OSRRefH22_5x_0" localSheetId="70">'322'!$H$45</definedName>
    <definedName name="OSRRefH22_5x_0" localSheetId="72">'325'!$H$46:$H$47</definedName>
    <definedName name="OSRRefH22_5x_0" localSheetId="60">'326'!$H$80</definedName>
    <definedName name="OSRRefH22_5x_0" localSheetId="52">'330'!$H$103</definedName>
    <definedName name="OSRRefH22_5x_0" localSheetId="58">'331'!$H$95:$H$96</definedName>
    <definedName name="OSRRefH22_5x_0" localSheetId="61">'332'!$H$61:$H$62</definedName>
    <definedName name="OSRRefH22_5x_0" localSheetId="78">'405'!$H$44:$H$45</definedName>
    <definedName name="OSRRefH22_5x_0" localSheetId="79">'406'!$H$45</definedName>
    <definedName name="OSRRefH22_5x_0" localSheetId="80">'411'!$H$45</definedName>
    <definedName name="OSRRefH22_5x_0" localSheetId="81">'412'!$H$46</definedName>
    <definedName name="OSRRefH22_5x_0" localSheetId="83">'413'!$H$45</definedName>
    <definedName name="OSRRefH22_5x_0" localSheetId="84">'414'!$H$46</definedName>
    <definedName name="OSRRefH22_5x_0" localSheetId="85">'415'!$H$46:$H$47</definedName>
    <definedName name="OSRRefH22_5x_0" localSheetId="86">'418'!$H$46:$H$47</definedName>
    <definedName name="OSRRefH22_5x_0" localSheetId="87">'423'!$H$38</definedName>
    <definedName name="OSRRefH22_5x_0" localSheetId="88">'424'!$H$39</definedName>
    <definedName name="OSRRefH22_5x_0" localSheetId="89">'425'!$H$48</definedName>
    <definedName name="OSRRefH22_5x_0" localSheetId="92">'430'!$H$37</definedName>
    <definedName name="OSRRefH22_5x_0" localSheetId="93">'433'!$H$49</definedName>
    <definedName name="OSRRefH22_5x_0" localSheetId="94">'435'!$H$38</definedName>
    <definedName name="OSRRefH22_5x_0" localSheetId="95">'444'!$H$48</definedName>
    <definedName name="OSRRefH22_5x_0" localSheetId="97">'450'!$H$48</definedName>
    <definedName name="OSRRefH22_5x_0" localSheetId="77">'491'!$H$57:$H$59</definedName>
    <definedName name="OSRRefH22_5x_0" localSheetId="91">'492'!$H$52</definedName>
    <definedName name="OSRRefH22_5x_0" localSheetId="99">'501'!$H$43</definedName>
    <definedName name="OSRRefH22_5x_0" localSheetId="39">'Div 2'!$H$46:$H$47</definedName>
    <definedName name="OSRRefH22_5x_0" localSheetId="47">'Div 3'!$H$192:$H$193</definedName>
    <definedName name="OSRRefH22_5x_0" localSheetId="75">'Div 4'!$H$58:$H$60</definedName>
    <definedName name="OSRRefH22_5x_0" localSheetId="98">'Div 5'!$H$43</definedName>
    <definedName name="OSRRefH22_5x_0" localSheetId="64">'Div 6'!$H$79</definedName>
    <definedName name="OSRRefH22_5x_0" localSheetId="2">Summary!$H$226:$H$228</definedName>
    <definedName name="OSRRefH22_6x_0" localSheetId="41">'201'!$H$42</definedName>
    <definedName name="OSRRefH22_6x_0" localSheetId="42">'202'!$H$42</definedName>
    <definedName name="OSRRefH22_6x_0" localSheetId="43">'203'!$H$44</definedName>
    <definedName name="OSRRefH22_6x_0" localSheetId="44">'204'!$H$45:$H$47</definedName>
    <definedName name="OSRRefH22_6x_0" localSheetId="45">'205'!$H$40:$H$41</definedName>
    <definedName name="OSRRefH22_6x_0" localSheetId="46">'206'!$H$45</definedName>
    <definedName name="OSRRefH22_6x_0" localSheetId="48">'300'!$H$190:$H$191</definedName>
    <definedName name="OSRRefH22_6x_0" localSheetId="49">'300 &amp; 317'!$H$215:$H$216</definedName>
    <definedName name="OSRRefH22_6x_0" localSheetId="50">'301'!$H$47:$H$48</definedName>
    <definedName name="OSRRefH22_6x_0" localSheetId="51">'306'!$H$44</definedName>
    <definedName name="OSRRefH22_6x_0" localSheetId="53">'307'!$H$96</definedName>
    <definedName name="OSRRefH22_6x_0" localSheetId="55">'308'!$H$89:$H$90</definedName>
    <definedName name="OSRRefH22_6x_0" localSheetId="67">'309'!$H$47</definedName>
    <definedName name="OSRRefH22_6x_0" localSheetId="66">'310'!$H$57</definedName>
    <definedName name="OSRRefH22_6x_0" localSheetId="76">'310 &amp; 491'!$H$68</definedName>
    <definedName name="OSRRefH22_6x_0" localSheetId="56">'311'!$H$88:$H$89</definedName>
    <definedName name="OSRRefH22_6x_0" localSheetId="68">'313'!$H$52</definedName>
    <definedName name="OSRRefH22_6x_0" localSheetId="54">'314'!$H$78</definedName>
    <definedName name="OSRRefH22_6x_0" localSheetId="59">'315'!$H$81</definedName>
    <definedName name="OSRRefH22_6x_0" localSheetId="62">'316'!$H$54</definedName>
    <definedName name="OSRRefH22_6x_0" localSheetId="65">'317'!$H$81</definedName>
    <definedName name="OSRRefH22_6x_0" localSheetId="63">'320'!$H$50</definedName>
    <definedName name="OSRRefH22_6x_0" localSheetId="69">'321'!$H$46:$H$48</definedName>
    <definedName name="OSRRefH22_6x_0" localSheetId="70">'322'!$H$47</definedName>
    <definedName name="OSRRefH22_6x_0" localSheetId="72">'325'!$H$49</definedName>
    <definedName name="OSRRefH22_6x_0" localSheetId="60">'326'!$H$82</definedName>
    <definedName name="OSRRefH22_6x_0" localSheetId="52">'330'!$H$105</definedName>
    <definedName name="OSRRefH22_6x_0" localSheetId="58">'331'!$H$98</definedName>
    <definedName name="OSRRefH22_6x_0" localSheetId="61">'332'!$H$64</definedName>
    <definedName name="OSRRefH22_6x_0" localSheetId="78">'405'!$H$47</definedName>
    <definedName name="OSRRefH22_6x_0" localSheetId="79">'406'!$H$47</definedName>
    <definedName name="OSRRefH22_6x_0" localSheetId="80">'411'!$H$47</definedName>
    <definedName name="OSRRefH22_6x_0" localSheetId="81">'412'!$H$48</definedName>
    <definedName name="OSRRefH22_6x_0" localSheetId="83">'413'!$H$47</definedName>
    <definedName name="OSRRefH22_6x_0" localSheetId="84">'414'!$H$48</definedName>
    <definedName name="OSRRefH22_6x_0" localSheetId="85">'415'!$H$49</definedName>
    <definedName name="OSRRefH22_6x_0" localSheetId="86">'418'!$H$49</definedName>
    <definedName name="OSRRefH22_6x_0" localSheetId="88">'424'!$H$41</definedName>
    <definedName name="OSRRefH22_6x_0" localSheetId="89">'425'!$H$50</definedName>
    <definedName name="OSRRefH22_6x_0" localSheetId="92">'430'!$H$39:$H$40</definedName>
    <definedName name="OSRRefH22_6x_0" localSheetId="93">'433'!$H$51</definedName>
    <definedName name="OSRRefH22_6x_0" localSheetId="94">'435'!$H$40</definedName>
    <definedName name="OSRRefH22_6x_0" localSheetId="95">'444'!$H$50</definedName>
    <definedName name="OSRRefH22_6x_0" localSheetId="97">'450'!$H$50</definedName>
    <definedName name="OSRRefH22_6x_0" localSheetId="77">'491'!$H$61</definedName>
    <definedName name="OSRRefH22_6x_0" localSheetId="91">'492'!$H$54</definedName>
    <definedName name="OSRRefH22_6x_0" localSheetId="99">'501'!$H$45</definedName>
    <definedName name="OSRRefH22_6x_0" localSheetId="39">'Div 2'!$H$49</definedName>
    <definedName name="OSRRefH22_6x_0" localSheetId="47">'Div 3'!$H$195:$H$196</definedName>
    <definedName name="OSRRefH22_6x_0" localSheetId="75">'Div 4'!$H$62</definedName>
    <definedName name="OSRRefH22_6x_0" localSheetId="98">'Div 5'!$H$45</definedName>
    <definedName name="OSRRefH22_6x_0" localSheetId="64">'Div 6'!$H$81</definedName>
    <definedName name="OSRRefH22_6x_0" localSheetId="2">Summary!$H$230:$H$231</definedName>
    <definedName name="OSRRefH22_7x_0" localSheetId="41">'201'!$H$44</definedName>
    <definedName name="OSRRefH22_7x_0" localSheetId="42">'202'!$H$44</definedName>
    <definedName name="OSRRefH22_7x_0" localSheetId="43">'203'!$H$46</definedName>
    <definedName name="OSRRefH22_7x_0" localSheetId="44">'204'!$H$49:$H$50</definedName>
    <definedName name="OSRRefH22_7x_0" localSheetId="45">'205'!$H$43</definedName>
    <definedName name="OSRRefH22_7x_0" localSheetId="46">'206'!$H$47</definedName>
    <definedName name="OSRRefH22_7x_0" localSheetId="48">'300'!$H$193</definedName>
    <definedName name="OSRRefH22_7x_0" localSheetId="49">'300 &amp; 317'!$H$218</definedName>
    <definedName name="OSRRefH22_7x_0" localSheetId="50">'301'!$H$50</definedName>
    <definedName name="OSRRefH22_7x_0" localSheetId="51">'306'!$H$46:$H$47</definedName>
    <definedName name="OSRRefH22_7x_0" localSheetId="53">'307'!$H$98</definedName>
    <definedName name="OSRRefH22_7x_0" localSheetId="55">'308'!$H$92</definedName>
    <definedName name="OSRRefH22_7x_0" localSheetId="67">'309'!$H$49:$H$50</definedName>
    <definedName name="OSRRefH22_7x_0" localSheetId="66">'310'!$H$59</definedName>
    <definedName name="OSRRefH22_7x_0" localSheetId="76">'310 &amp; 491'!$H$70</definedName>
    <definedName name="OSRRefH22_7x_0" localSheetId="56">'311'!$H$91</definedName>
    <definedName name="OSRRefH22_7x_0" localSheetId="68">'313'!$H$54</definedName>
    <definedName name="OSRRefH22_7x_0" localSheetId="54">'314'!$H$80:$H$81</definedName>
    <definedName name="OSRRefH22_7x_0" localSheetId="59">'315'!$H$83</definedName>
    <definedName name="OSRRefH22_7x_0" localSheetId="62">'316'!$H$56:$H$57</definedName>
    <definedName name="OSRRefH22_7x_0" localSheetId="65">'317'!$H$83</definedName>
    <definedName name="OSRRefH22_7x_0" localSheetId="63">'320'!$H$52:$H$53</definedName>
    <definedName name="OSRRefH22_7x_0" localSheetId="69">'321'!$H$50</definedName>
    <definedName name="OSRRefH22_7x_0" localSheetId="70">'322'!$H$49</definedName>
    <definedName name="OSRRefH22_7x_0" localSheetId="72">'325'!$H$51</definedName>
    <definedName name="OSRRefH22_7x_0" localSheetId="60">'326'!$H$84</definedName>
    <definedName name="OSRRefH22_7x_0" localSheetId="52">'330'!$H$107</definedName>
    <definedName name="OSRRefH22_7x_0" localSheetId="58">'331'!$H$100</definedName>
    <definedName name="OSRRefH22_7x_0" localSheetId="61">'332'!$H$66</definedName>
    <definedName name="OSRRefH22_7x_0" localSheetId="78">'405'!$H$49</definedName>
    <definedName name="OSRRefH22_7x_0" localSheetId="79">'406'!$H$49</definedName>
    <definedName name="OSRRefH22_7x_0" localSheetId="80">'411'!$H$49</definedName>
    <definedName name="OSRRefH22_7x_0" localSheetId="81">'412'!$H$50</definedName>
    <definedName name="OSRRefH22_7x_0" localSheetId="83">'413'!$H$49:$H$51</definedName>
    <definedName name="OSRRefH22_7x_0" localSheetId="84">'414'!$H$50</definedName>
    <definedName name="OSRRefH22_7x_0" localSheetId="85">'415'!$H$51</definedName>
    <definedName name="OSRRefH22_7x_0" localSheetId="86">'418'!$H$51</definedName>
    <definedName name="OSRRefH22_7x_0" localSheetId="88">'424'!$H$43:$H$44</definedName>
    <definedName name="OSRRefH22_7x_0" localSheetId="89">'425'!$H$52</definedName>
    <definedName name="OSRRefH22_7x_0" localSheetId="92">'430'!$H$42</definedName>
    <definedName name="OSRRefH22_7x_0" localSheetId="93">'433'!$H$53</definedName>
    <definedName name="OSRRefH22_7x_0" localSheetId="94">'435'!$H$42:$H$45</definedName>
    <definedName name="OSRRefH22_7x_0" localSheetId="95">'444'!$H$52</definedName>
    <definedName name="OSRRefH22_7x_0" localSheetId="97">'450'!$H$52</definedName>
    <definedName name="OSRRefH22_7x_0" localSheetId="77">'491'!$H$63</definedName>
    <definedName name="OSRRefH22_7x_0" localSheetId="91">'492'!$H$56</definedName>
    <definedName name="OSRRefH22_7x_0" localSheetId="99">'501'!$H$47</definedName>
    <definedName name="OSRRefH22_7x_0" localSheetId="39">'Div 2'!$H$51</definedName>
    <definedName name="OSRRefH22_7x_0" localSheetId="47">'Div 3'!$H$198</definedName>
    <definedName name="OSRRefH22_7x_0" localSheetId="75">'Div 4'!$H$64</definedName>
    <definedName name="OSRRefH22_7x_0" localSheetId="98">'Div 5'!$H$47</definedName>
    <definedName name="OSRRefH22_7x_0" localSheetId="64">'Div 6'!$H$83</definedName>
    <definedName name="OSRRefH22_7x_0" localSheetId="2">Summary!$H$233</definedName>
    <definedName name="OSRRefH22_8x_0" localSheetId="41">'201'!$H$46</definedName>
    <definedName name="OSRRefH22_8x_0" localSheetId="42">'202'!$H$46</definedName>
    <definedName name="OSRRefH22_8x_0" localSheetId="43">'203'!$H$48</definedName>
    <definedName name="OSRRefH22_8x_0" localSheetId="44">'204'!$H$52:$H$53</definedName>
    <definedName name="OSRRefH22_8x_0" localSheetId="45">'205'!$H$45</definedName>
    <definedName name="OSRRefH22_8x_0" localSheetId="48">'300'!$H$195</definedName>
    <definedName name="OSRRefH22_8x_0" localSheetId="49">'300 &amp; 317'!$H$220</definedName>
    <definedName name="OSRRefH22_8x_0" localSheetId="50">'301'!$H$52</definedName>
    <definedName name="OSRRefH22_8x_0" localSheetId="51">'306'!$H$49:$H$53</definedName>
    <definedName name="OSRRefH22_8x_0" localSheetId="53">'307'!$H$100</definedName>
    <definedName name="OSRRefH22_8x_0" localSheetId="55">'308'!$H$94</definedName>
    <definedName name="OSRRefH22_8x_0" localSheetId="67">'309'!$H$52:$H$54</definedName>
    <definedName name="OSRRefH22_8x_0" localSheetId="66">'310'!$H$61</definedName>
    <definedName name="OSRRefH22_8x_0" localSheetId="76">'310 &amp; 491'!$H$72</definedName>
    <definedName name="OSRRefH22_8x_0" localSheetId="56">'311'!$H$93</definedName>
    <definedName name="OSRRefH22_8x_0" localSheetId="68">'313'!$H$56</definedName>
    <definedName name="OSRRefH22_8x_0" localSheetId="54">'314'!$H$83</definedName>
    <definedName name="OSRRefH22_8x_0" localSheetId="59">'315'!$H$85:$H$86</definedName>
    <definedName name="OSRRefH22_8x_0" localSheetId="62">'316'!$H$59</definedName>
    <definedName name="OSRRefH22_8x_0" localSheetId="65">'317'!$H$85</definedName>
    <definedName name="OSRRefH22_8x_0" localSheetId="63">'320'!$H$55</definedName>
    <definedName name="OSRRefH22_8x_0" localSheetId="69">'321'!$H$52:$H$54</definedName>
    <definedName name="OSRRefH22_8x_0" localSheetId="70">'322'!$H$51</definedName>
    <definedName name="OSRRefH22_8x_0" localSheetId="72">'325'!$H$53</definedName>
    <definedName name="OSRRefH22_8x_0" localSheetId="60">'326'!$H$86</definedName>
    <definedName name="OSRRefH22_8x_0" localSheetId="52">'330'!$H$109</definedName>
    <definedName name="OSRRefH22_8x_0" localSheetId="58">'331'!$H$102:$H$103</definedName>
    <definedName name="OSRRefH22_8x_0" localSheetId="61">'332'!$H$68:$H$69</definedName>
    <definedName name="OSRRefH22_8x_0" localSheetId="78">'405'!$H$51</definedName>
    <definedName name="OSRRefH22_8x_0" localSheetId="79">'406'!$H$51</definedName>
    <definedName name="OSRRefH22_8x_0" localSheetId="80">'411'!$H$51</definedName>
    <definedName name="OSRRefH22_8x_0" localSheetId="81">'412'!$H$52:$H$53</definedName>
    <definedName name="OSRRefH22_8x_0" localSheetId="83">'413'!$H$53:$H$54</definedName>
    <definedName name="OSRRefH22_8x_0" localSheetId="84">'414'!$H$52</definedName>
    <definedName name="OSRRefH22_8x_0" localSheetId="85">'415'!$H$53</definedName>
    <definedName name="OSRRefH22_8x_0" localSheetId="86">'418'!$H$53</definedName>
    <definedName name="OSRRefH22_8x_0" localSheetId="88">'424'!$H$46</definedName>
    <definedName name="OSRRefH22_8x_0" localSheetId="89">'425'!$H$54</definedName>
    <definedName name="OSRRefH22_8x_0" localSheetId="92">'430'!$H$44</definedName>
    <definedName name="OSRRefH22_8x_0" localSheetId="93">'433'!$H$55</definedName>
    <definedName name="OSRRefH22_8x_0" localSheetId="94">'435'!$H$47</definedName>
    <definedName name="OSRRefH22_8x_0" localSheetId="95">'444'!$H$54</definedName>
    <definedName name="OSRRefH22_8x_0" localSheetId="97">'450'!$H$54</definedName>
    <definedName name="OSRRefH22_8x_0" localSheetId="77">'491'!$H$65</definedName>
    <definedName name="OSRRefH22_8x_0" localSheetId="91">'492'!$H$58</definedName>
    <definedName name="OSRRefH22_8x_0" localSheetId="99">'501'!$H$49</definedName>
    <definedName name="OSRRefH22_8x_0" localSheetId="39">'Div 2'!$H$53</definedName>
    <definedName name="OSRRefH22_8x_0" localSheetId="47">'Div 3'!$H$200</definedName>
    <definedName name="OSRRefH22_8x_0" localSheetId="75">'Div 4'!$H$66</definedName>
    <definedName name="OSRRefH22_8x_0" localSheetId="98">'Div 5'!$H$49</definedName>
    <definedName name="OSRRefH22_8x_0" localSheetId="64">'Div 6'!$H$85</definedName>
    <definedName name="OSRRefH22_8x_0" localSheetId="2">Summary!$H$235</definedName>
    <definedName name="OSRRefH22_9x_0" localSheetId="41">'201'!$H$48</definedName>
    <definedName name="OSRRefH22_9x_0" localSheetId="42">'202'!$H$48:$H$50</definedName>
    <definedName name="OSRRefH22_9x_0" localSheetId="43">'203'!$H$50:$H$52</definedName>
    <definedName name="OSRRefH22_9x_0" localSheetId="44">'204'!$H$55</definedName>
    <definedName name="OSRRefH22_9x_0" localSheetId="48">'300'!$H$197</definedName>
    <definedName name="OSRRefH22_9x_0" localSheetId="49">'300 &amp; 317'!$H$222</definedName>
    <definedName name="OSRRefH22_9x_0" localSheetId="50">'301'!$H$54</definedName>
    <definedName name="OSRRefH22_9x_0" localSheetId="51">'306'!$H$55</definedName>
    <definedName name="OSRRefH22_9x_0" localSheetId="53">'307'!$H$102:$H$103</definedName>
    <definedName name="OSRRefH22_9x_0" localSheetId="55">'308'!$H$96:$H$97</definedName>
    <definedName name="OSRRefH22_9x_0" localSheetId="67">'309'!$H$56</definedName>
    <definedName name="OSRRefH22_9x_0" localSheetId="66">'310'!$H$63</definedName>
    <definedName name="OSRRefH22_9x_0" localSheetId="76">'310 &amp; 491'!$H$74</definedName>
    <definedName name="OSRRefH22_9x_0" localSheetId="56">'311'!$H$95:$H$96</definedName>
    <definedName name="OSRRefH22_9x_0" localSheetId="68">'313'!$H$58:$H$60</definedName>
    <definedName name="OSRRefH22_9x_0" localSheetId="59">'315'!$H$88:$H$89</definedName>
    <definedName name="OSRRefH22_9x_0" localSheetId="62">'316'!$H$61:$H$64</definedName>
    <definedName name="OSRRefH22_9x_0" localSheetId="65">'317'!$H$87:$H$88</definedName>
    <definedName name="OSRRefH22_9x_0" localSheetId="69">'321'!$H$56:$H$60</definedName>
    <definedName name="OSRRefH22_9x_0" localSheetId="70">'322'!$H$53:$H$54</definedName>
    <definedName name="OSRRefH22_9x_0" localSheetId="72">'325'!$H$55</definedName>
    <definedName name="OSRRefH22_9x_0" localSheetId="60">'326'!$H$88</definedName>
    <definedName name="OSRRefH22_9x_0" localSheetId="52">'330'!$H$111</definedName>
    <definedName name="OSRRefH22_9x_0" localSheetId="58">'331'!$H$105</definedName>
    <definedName name="OSRRefH22_9x_0" localSheetId="61">'332'!$H$71</definedName>
    <definedName name="OSRRefH22_9x_0" localSheetId="78">'405'!$H$53</definedName>
    <definedName name="OSRRefH22_9x_0" localSheetId="79">'406'!$H$53:$H$55</definedName>
    <definedName name="OSRRefH22_9x_0" localSheetId="80">'411'!$H$53</definedName>
    <definedName name="OSRRefH22_9x_0" localSheetId="81">'412'!$H$55</definedName>
    <definedName name="OSRRefH22_9x_0" localSheetId="83">'413'!$H$56:$H$60</definedName>
    <definedName name="OSRRefH22_9x_0" localSheetId="84">'414'!$H$54:$H$55</definedName>
    <definedName name="OSRRefH22_9x_0" localSheetId="85">'415'!$H$55</definedName>
    <definedName name="OSRRefH22_9x_0" localSheetId="86">'418'!$H$55:$H$56</definedName>
    <definedName name="OSRRefH22_9x_0" localSheetId="88">'424'!$H$48</definedName>
    <definedName name="OSRRefH22_9x_0" localSheetId="89">'425'!$H$56:$H$58</definedName>
    <definedName name="OSRRefH22_9x_0" localSheetId="92">'430'!$H$46</definedName>
    <definedName name="OSRRefH22_9x_0" localSheetId="93">'433'!$H$57</definedName>
    <definedName name="OSRRefH22_9x_0" localSheetId="95">'444'!$H$56</definedName>
    <definedName name="OSRRefH22_9x_0" localSheetId="97">'450'!$H$56</definedName>
    <definedName name="OSRRefH22_9x_0" localSheetId="77">'491'!$H$67</definedName>
    <definedName name="OSRRefH22_9x_0" localSheetId="91">'492'!$H$60</definedName>
    <definedName name="OSRRefH22_9x_0" localSheetId="99">'501'!$H$51</definedName>
    <definedName name="OSRRefH22_9x_0" localSheetId="39">'Div 2'!$H$55</definedName>
    <definedName name="OSRRefH22_9x_0" localSheetId="47">'Div 3'!$H$202</definedName>
    <definedName name="OSRRefH22_9x_0" localSheetId="75">'Div 4'!$H$68</definedName>
    <definedName name="OSRRefH22_9x_0" localSheetId="98">'Div 5'!$H$51</definedName>
    <definedName name="OSRRefH22_9x_0" localSheetId="64">'Div 6'!$H$87:$H$88</definedName>
    <definedName name="OSRRefH22_9x_0" localSheetId="2">Summary!$H$237</definedName>
    <definedName name="OSRRefH22x_0" localSheetId="40">'200'!$H$20,'200'!$H$22,'200'!$H$24,'200'!$H$26,'200'!$H$28:$H$29</definedName>
    <definedName name="OSRRefH22x_0" localSheetId="41">'201'!$H$20:$H$28,'201'!$H$30:$H$32,'201'!$H$34,'201'!$H$36,'201'!$H$38,'201'!$H$40,'201'!$H$42,'201'!$H$44,'201'!$H$46,'201'!$H$48,'201'!$H$50:$H$52,'201'!$H$54:$H$56,'201'!$H$58,'201'!$H$60:$H$62,'201'!$H$64,'201'!$H$66,'201'!$H$68:$H$69</definedName>
    <definedName name="OSRRefH22x_0" localSheetId="42">'202'!$H$20:$H$27,'202'!$H$29:$H$32,'202'!$H$34,'202'!$H$36,'202'!$H$38,'202'!$H$40,'202'!$H$42,'202'!$H$44,'202'!$H$46,'202'!$H$48:$H$50,'202'!$H$52,'202'!$H$54,'202'!$H$56:$H$58,'202'!$H$60,'202'!$H$62</definedName>
    <definedName name="OSRRefH22x_0" localSheetId="43">'203'!$H$20:$H$29,'203'!$H$31:$H$34,'203'!$H$36,'203'!$H$38,'203'!$H$40,'203'!$H$42,'203'!$H$44,'203'!$H$46,'203'!$H$48,'203'!$H$50:$H$52,'203'!$H$54:$H$55,'203'!$H$57,'203'!$H$59:$H$61,'203'!$H$63,'203'!$H$65,'203'!$H$67</definedName>
    <definedName name="OSRRefH22x_0" localSheetId="44">'204'!$H$20:$H$28,'204'!$H$30:$H$34,'204'!$H$36,'204'!$H$38:$H$39,'204'!$H$41,'204'!$H$43,'204'!$H$45:$H$47,'204'!$H$49:$H$50,'204'!$H$52:$H$53,'204'!$H$55,'204'!$H$57:$H$58</definedName>
    <definedName name="OSRRefH22x_0" localSheetId="45">'205'!$H$20:$H$27,'205'!$H$29,'205'!$H$31,'205'!$H$33,'205'!$H$35:$H$36,'205'!$H$38,'205'!$H$40:$H$41,'205'!$H$43,'205'!$H$45</definedName>
    <definedName name="OSRRefH22x_0" localSheetId="46">'206'!$H$20:$H$27,'206'!$H$29:$H$34,'206'!$H$36,'206'!$H$38,'206'!$H$40,'206'!$H$42:$H$43,'206'!$H$45,'206'!$H$47</definedName>
    <definedName name="OSRRefH22x_0" localSheetId="48">'300'!$H$162:$H$170,'300'!$H$172:$H$178,'300'!$H$180,'300'!$H$182:$H$183,'300'!$H$185,'300'!$H$187:$H$188,'300'!$H$190:$H$191,'300'!$H$193,'300'!$H$195,'300'!$H$197,'300'!$H$199:$H$200,'300'!$H$202,'300'!$H$204,'300'!$H$206,'300'!$H$208,'300'!$H$210,'300'!$H$212:$H$214,'300'!$H$216:$H$218,'300'!$H$220:$H$223,'300'!$H$225:$H$226,'300'!$H$228:$H$234,'300'!$H$236:$H$237,'300'!$H$239,'300'!$H$241:$H$243,'300'!$H$245</definedName>
    <definedName name="OSRRefH22x_0" localSheetId="49">'300 &amp; 317'!$H$187:$H$195,'300 &amp; 317'!$H$197:$H$203,'300 &amp; 317'!$H$205,'300 &amp; 317'!$H$207:$H$208,'300 &amp; 317'!$H$210,'300 &amp; 317'!$H$212:$H$213,'300 &amp; 317'!$H$215:$H$216,'300 &amp; 317'!$H$218,'300 &amp; 317'!$H$220,'300 &amp; 317'!$H$222,'300 &amp; 317'!$H$224:$H$225,'300 &amp; 317'!$H$227,'300 &amp; 317'!$H$229,'300 &amp; 317'!$H$231,'300 &amp; 317'!$H$233,'300 &amp; 317'!$H$235,'300 &amp; 317'!$H$237:$H$239,'300 &amp; 317'!$H$241:$H$243,'300 &amp; 317'!$H$245:$H$248,'300 &amp; 317'!$H$250:$H$251,'300 &amp; 317'!$H$253:$H$259,'300 &amp; 317'!$H$261:$H$262,'300 &amp; 317'!$H$264,'300 &amp; 317'!$H$266:$H$268,'300 &amp; 317'!$H$270</definedName>
    <definedName name="OSRRefH22x_0" localSheetId="50">'301'!$H$20:$H$27,'301'!$H$29:$H$35,'301'!$H$37,'301'!$H$39:$H$40,'301'!$H$42,'301'!$H$44:$H$45,'301'!$H$47:$H$48,'301'!$H$50,'301'!$H$52,'301'!$H$54,'301'!$H$56,'301'!$H$58,'301'!$H$60,'301'!$H$62,'301'!$H$64:$H$66,'301'!$H$68:$H$70,'301'!$H$72,'301'!$H$74:$H$78,'301'!$H$80,'301'!$H$82,'301'!$H$84:$H$86,'301'!$H$88</definedName>
    <definedName name="OSRRefH22x_0" localSheetId="51">'306'!$H$20:$H$28,'306'!$H$30:$H$34,'306'!$H$36,'306'!$H$38,'306'!$H$40,'306'!$H$42,'306'!$H$44,'306'!$H$46:$H$47,'306'!$H$49:$H$53,'306'!$H$55,'306'!$H$57</definedName>
    <definedName name="OSRRefH22x_0" localSheetId="53">'307'!$H$73:$H$80,'307'!$H$82:$H$85,'307'!$H$87,'307'!$H$89,'307'!$H$91:$H$92,'307'!$H$94,'307'!$H$96,'307'!$H$98,'307'!$H$100,'307'!$H$102:$H$103,'307'!$H$105:$H$106,'307'!$H$108:$H$109,'307'!$H$111,'307'!$H$113</definedName>
    <definedName name="OSRRefH22x_0" localSheetId="55">'308'!$H$64:$H$72,'308'!$H$74:$H$78,'308'!$H$80,'308'!$H$82:$H$83,'308'!$H$85,'308'!$H$87,'308'!$H$89:$H$90,'308'!$H$92,'308'!$H$94,'308'!$H$96:$H$97,'308'!$H$99,'308'!$H$101:$H$104,'308'!$H$106:$H$107,'308'!$H$109,'308'!$H$111</definedName>
    <definedName name="OSRRefH22x_0" localSheetId="67">'309'!$H$24:$H$31,'309'!$H$33:$H$37,'309'!$H$39,'309'!$H$41,'309'!$H$43,'309'!$H$45,'309'!$H$47,'309'!$H$49:$H$50,'309'!$H$52:$H$54,'309'!$H$56,'309'!$H$58:$H$63,'309'!$H$65</definedName>
    <definedName name="OSRRefH22x_0" localSheetId="66">'310'!$H$32:$H$39,'310'!$H$41:$H$46,'310'!$H$48,'310'!$H$50,'310'!$H$52,'310'!$H$54:$H$55,'310'!$H$57,'310'!$H$59,'310'!$H$61,'310'!$H$63,'310'!$H$65,'310'!$H$67,'310'!$H$69,'310'!$H$71,'310'!$H$73:$H$75,'310'!$H$77,'310'!$H$79:$H$82,'310'!$H$84:$H$85,'310'!$H$87:$H$93,'310'!$H$95,'310'!$H$97,'310'!$H$99</definedName>
    <definedName name="OSRRefH22x_0" localSheetId="76">'310 &amp; 491'!$H$40:$H$48,'310 &amp; 491'!$H$50:$H$56,'310 &amp; 491'!$H$58,'310 &amp; 491'!$H$60,'310 &amp; 491'!$H$62,'310 &amp; 491'!$H$64:$H$66,'310 &amp; 491'!$H$68,'310 &amp; 491'!$H$70,'310 &amp; 491'!$H$72,'310 &amp; 491'!$H$74,'310 &amp; 491'!$H$76:$H$77,'310 &amp; 491'!$H$79:$H$80,'310 &amp; 491'!$H$82,'310 &amp; 491'!$H$84,'310 &amp; 491'!$H$86,'310 &amp; 491'!$H$88,'310 &amp; 491'!$H$90:$H$92,'310 &amp; 491'!$H$94:$H$95,'310 &amp; 491'!$H$97:$H$101,'310 &amp; 491'!$H$103:$H$104,'310 &amp; 491'!$H$106:$H$113,'310 &amp; 491'!$H$115,'310 &amp; 491'!$H$117,'310 &amp; 491'!$H$119:$H$121,'310 &amp; 491'!$H$123</definedName>
    <definedName name="OSRRefH22x_0" localSheetId="56">'311'!$H$63:$H$71,'311'!$H$73:$H$77,'311'!$H$79,'311'!$H$81:$H$82,'311'!$H$84,'311'!$H$86,'311'!$H$88:$H$89,'311'!$H$91,'311'!$H$93,'311'!$H$95:$H$96,'311'!$H$98,'311'!$H$100:$H$103,'311'!$H$105:$H$106,'311'!$H$108,'311'!$H$110</definedName>
    <definedName name="OSRRefH22x_0" localSheetId="68">'313'!$H$29:$H$36,'313'!$H$38:$H$42,'313'!$H$44,'313'!$H$46,'313'!$H$48,'313'!$H$50,'313'!$H$52,'313'!$H$54,'313'!$H$56,'313'!$H$58:$H$60,'313'!$H$62,'313'!$H$64,'313'!$H$66:$H$71,'313'!$H$73,'313'!$H$75</definedName>
    <definedName name="OSRRefH22x_0" localSheetId="54">'314'!$H$56:$H$62,'314'!$H$64:$H$67,'314'!$H$69,'314'!$H$71:$H$72,'314'!$H$74,'314'!$H$76,'314'!$H$78,'314'!$H$80:$H$81,'314'!$H$83</definedName>
    <definedName name="OSRRefH22x_0" localSheetId="59">'315'!$H$55:$H$62,'315'!$H$64:$H$69,'315'!$H$71,'315'!$H$73:$H$74,'315'!$H$76,'315'!$H$78:$H$79,'315'!$H$81,'315'!$H$83,'315'!$H$85:$H$86,'315'!$H$88:$H$89,'315'!$H$91:$H$92,'315'!$H$94:$H$98,'315'!$H$100,'315'!$H$102,'315'!$H$104:$H$105</definedName>
    <definedName name="OSRRefH22x_0" localSheetId="62">'316'!$H$32:$H$39,'316'!$H$41:$H$44,'316'!$H$46,'316'!$H$48,'316'!$H$50,'316'!$H$52,'316'!$H$54,'316'!$H$56:$H$57,'316'!$H$59,'316'!$H$61:$H$64,'316'!$H$66,'316'!$H$68</definedName>
    <definedName name="OSRRefH22x_0" localSheetId="65">'317'!$H$58:$H$66,'317'!$H$68:$H$71,'317'!$H$73,'317'!$H$75,'317'!$H$77,'317'!$H$79,'317'!$H$81,'317'!$H$83,'317'!$H$85,'317'!$H$87:$H$88,'317'!$H$90,'317'!$H$92,'317'!$H$94</definedName>
    <definedName name="OSRRefH22x_0" localSheetId="63">'320'!$H$29:$H$35,'320'!$H$37:$H$39,'320'!$H$41,'320'!$H$43,'320'!$H$45:$H$46,'320'!$H$48,'320'!$H$50,'320'!$H$52:$H$53,'320'!$H$55</definedName>
    <definedName name="OSRRefH22x_0" localSheetId="69">'321'!$H$24:$H$30,'321'!$H$32:$H$36,'321'!$H$38,'321'!$H$40,'321'!$H$42,'321'!$H$44,'321'!$H$46:$H$48,'321'!$H$50,'321'!$H$52:$H$54,'321'!$H$56:$H$60,'321'!$H$62,'321'!$H$64,'321'!$H$66</definedName>
    <definedName name="OSRRefH22x_0" localSheetId="70">'322'!$H$24:$H$31,'322'!$H$33:$H$37,'322'!$H$39,'322'!$H$41,'322'!$H$43,'322'!$H$45,'322'!$H$47,'322'!$H$49,'322'!$H$51,'322'!$H$53:$H$54,'322'!$H$56:$H$58,'322'!$H$60,'322'!$H$62:$H$67,'322'!$H$69,'322'!$H$71</definedName>
    <definedName name="OSRRefH22x_0" localSheetId="57">'324'!$H$25</definedName>
    <definedName name="OSRRefH22x_0" localSheetId="72">'325'!$H$24:$H$31,'325'!$H$33:$H$38,'325'!$H$40,'325'!$H$42,'325'!$H$44,'325'!$H$46:$H$47,'325'!$H$49,'325'!$H$51,'325'!$H$53,'325'!$H$55,'325'!$H$57,'325'!$H$59:$H$61,'325'!$H$63:$H$65,'325'!$H$67,'325'!$H$69:$H$74,'325'!$H$76,'325'!$H$78</definedName>
    <definedName name="OSRRefH22x_0" localSheetId="60">'326'!$H$60:$H$67,'326'!$H$69:$H$72,'326'!$H$74,'326'!$H$76,'326'!$H$78,'326'!$H$80,'326'!$H$82,'326'!$H$84,'326'!$H$86,'326'!$H$88,'326'!$H$90,'326'!$H$92,'326'!$H$94,'326'!$H$96:$H$97,'326'!$H$99:$H$101,'326'!$H$103,'326'!$H$105:$H$109,'326'!$H$111,'326'!$H$113,'326'!$H$115</definedName>
    <definedName name="OSRRefH22x_0" localSheetId="73">'327'!$H$22,'327'!$H$24,'327'!$H$26</definedName>
    <definedName name="OSRRefH22x_0" localSheetId="52">'330'!$H$81:$H$88,'330'!$H$90:$H$94,'330'!$H$96,'330'!$H$98,'330'!$H$100:$H$101,'330'!$H$103,'330'!$H$105,'330'!$H$107,'330'!$H$109,'330'!$H$111,'330'!$H$113,'330'!$H$115:$H$116,'330'!$H$118:$H$119,'330'!$H$121,'330'!$H$123:$H$125,'330'!$H$127,'330'!$H$129</definedName>
    <definedName name="OSRRefH22x_0" localSheetId="58">'331'!$H$73:$H$80,'331'!$H$82:$H$87,'331'!$H$89,'331'!$H$91,'331'!$H$93,'331'!$H$95:$H$96,'331'!$H$98,'331'!$H$100,'331'!$H$102:$H$103,'331'!$H$105,'331'!$H$107,'331'!$H$109,'331'!$H$111,'331'!$H$113,'331'!$H$115:$H$117,'331'!$H$119:$H$120,'331'!$H$122:$H$124,'331'!$H$126:$H$127,'331'!$H$129:$H$134,'331'!$H$136,'331'!$H$138,'331'!$H$140:$H$141,'331'!$H$143</definedName>
    <definedName name="OSRRefH22x_0" localSheetId="61">'332'!$H$41:$H$48,'332'!$H$50:$H$53,'332'!$H$55,'332'!$H$57,'332'!$H$59,'332'!$H$61:$H$62,'332'!$H$64,'332'!$H$66,'332'!$H$68:$H$69,'332'!$H$71,'332'!$H$73:$H$77,'332'!$H$79,'332'!$H$81</definedName>
    <definedName name="OSRRefH22x_0" localSheetId="74">'335'!$H$20</definedName>
    <definedName name="OSRRefH22x_0" localSheetId="78">'405'!$H$24:$H$31,'405'!$H$33:$H$36,'405'!$H$38,'405'!$H$40,'405'!$H$42,'405'!$H$44:$H$45,'405'!$H$47,'405'!$H$49,'405'!$H$51,'405'!$H$53,'405'!$H$55:$H$56,'405'!$H$58,'405'!$H$60:$H$62,'405'!$H$64,'405'!$H$66:$H$72,'405'!$H$74,'405'!$H$76,'405'!$H$78</definedName>
    <definedName name="OSRRefH22x_0" localSheetId="79">'406'!$H$24:$H$31,'406'!$H$33:$H$37,'406'!$H$39,'406'!$H$41,'406'!$H$43,'406'!$H$45,'406'!$H$47,'406'!$H$49,'406'!$H$51,'406'!$H$53:$H$55,'406'!$H$57:$H$58,'406'!$H$60:$H$65,'406'!$H$67,'406'!$H$69</definedName>
    <definedName name="OSRRefH22x_0" localSheetId="80">'411'!$H$20:$H$28,'411'!$H$30:$H$35,'411'!$H$37,'411'!$H$39:$H$41,'411'!$H$43,'411'!$H$45,'411'!$H$47,'411'!$H$49,'411'!$H$51,'411'!$H$53,'411'!$H$55,'411'!$H$57:$H$59,'411'!$H$61:$H$65,'411'!$H$67:$H$73,'411'!$H$75,'411'!$H$77,'411'!$H$79:$H$81,'411'!$H$83</definedName>
    <definedName name="OSRRefH22x_0" localSheetId="81">'412'!$H$24:$H$31,'412'!$H$33:$H$38,'412'!$H$40,'412'!$H$42,'412'!$H$44,'412'!$H$46,'412'!$H$48,'412'!$H$50,'412'!$H$52:$H$53,'412'!$H$55,'412'!$H$57:$H$59,'412'!$H$61:$H$67,'412'!$H$69,'412'!$H$71</definedName>
    <definedName name="OSRRefH22x_0" localSheetId="83">'413'!$H$24:$H$31,'413'!$H$33:$H$37,'413'!$H$39,'413'!$H$41,'413'!$H$43,'413'!$H$45,'413'!$H$47,'413'!$H$49:$H$51,'413'!$H$53:$H$54,'413'!$H$56:$H$60,'413'!$H$62</definedName>
    <definedName name="OSRRefH22x_0" localSheetId="84">'414'!$H$24:$H$31,'414'!$H$33:$H$38,'414'!$H$40,'414'!$H$42,'414'!$H$44,'414'!$H$46,'414'!$H$48,'414'!$H$50,'414'!$H$52,'414'!$H$54:$H$55,'414'!$H$57,'414'!$H$59,'414'!$H$61,'414'!$H$63:$H$69,'414'!$H$71,'414'!$H$73</definedName>
    <definedName name="OSRRefH22x_0" localSheetId="85">'415'!$H$24:$H$31,'415'!$H$33:$H$38,'415'!$H$40,'415'!$H$42,'415'!$H$44,'415'!$H$46:$H$47,'415'!$H$49,'415'!$H$51,'415'!$H$53,'415'!$H$55,'415'!$H$57,'415'!$H$59:$H$61,'415'!$H$63:$H$67,'415'!$H$69,'415'!$H$71:$H$77,'415'!$H$79,'415'!$H$81,'415'!$H$83</definedName>
    <definedName name="OSRRefH22x_0" localSheetId="86">'418'!$H$24:$H$31,'418'!$H$33:$H$38,'418'!$H$40,'418'!$H$42,'418'!$H$44,'418'!$H$46:$H$47,'418'!$H$49,'418'!$H$51,'418'!$H$53,'418'!$H$55:$H$56,'418'!$H$58:$H$60,'418'!$H$62:$H$64,'418'!$H$66,'418'!$H$68:$H$74,'418'!$H$76,'418'!$H$78</definedName>
    <definedName name="OSRRefH22x_0" localSheetId="82">'420'!$H$22:$H$28,'420'!$H$30:$H$33,'420'!$H$35,'420'!$H$37,'420'!$H$39</definedName>
    <definedName name="OSRRefH22x_0" localSheetId="87">'423'!$H$21:$H$28,'423'!$H$30,'423'!$H$32,'423'!$H$34,'423'!$H$36,'423'!$H$38</definedName>
    <definedName name="OSRRefH22x_0" localSheetId="88">'424'!$H$24:$H$26,'424'!$H$28:$H$31,'424'!$H$33,'424'!$H$35,'424'!$H$37,'424'!$H$39,'424'!$H$41,'424'!$H$43:$H$44,'424'!$H$46,'424'!$H$48,'424'!$H$50:$H$54,'424'!$H$56</definedName>
    <definedName name="OSRRefH22x_0" localSheetId="89">'425'!$H$27:$H$34,'425'!$H$36:$H$40,'425'!$H$42,'425'!$H$44,'425'!$H$46,'425'!$H$48,'425'!$H$50,'425'!$H$52,'425'!$H$54,'425'!$H$56:$H$58,'425'!$H$60,'425'!$H$62:$H$63,'425'!$H$65:$H$71,'425'!$H$73,'425'!$H$75,'425'!$H$77</definedName>
    <definedName name="OSRRefH22x_0" localSheetId="92">'430'!$H$20:$H$27,'430'!$H$29,'430'!$H$31,'430'!$H$33,'430'!$H$35,'430'!$H$37,'430'!$H$39:$H$40,'430'!$H$42,'430'!$H$44,'430'!$H$46</definedName>
    <definedName name="OSRRefH22x_0" localSheetId="93">'433'!$H$26:$H$34,'433'!$H$36:$H$41,'433'!$H$43,'433'!$H$45,'433'!$H$47,'433'!$H$49,'433'!$H$51,'433'!$H$53,'433'!$H$55,'433'!$H$57,'433'!$H$59:$H$61,'433'!$H$63:$H$65,'433'!$H$67:$H$73,'433'!$H$75,'433'!$H$77,'433'!$H$79:$H$80</definedName>
    <definedName name="OSRRefH22x_0" localSheetId="94">'435'!$H$25:$H$27,'435'!$H$29:$H$30,'435'!$H$32,'435'!$H$34,'435'!$H$36,'435'!$H$38,'435'!$H$40,'435'!$H$42:$H$45,'435'!$H$47</definedName>
    <definedName name="OSRRefH22x_0" localSheetId="95">'444'!$H$25:$H$33,'444'!$H$35:$H$40,'444'!$H$42,'444'!$H$44,'444'!$H$46,'444'!$H$48,'444'!$H$50,'444'!$H$52,'444'!$H$54,'444'!$H$56,'444'!$H$58,'444'!$H$60:$H$62,'444'!$H$64:$H$66,'444'!$H$68:$H$75,'444'!$H$77,'444'!$H$79,'444'!$H$81</definedName>
    <definedName name="OSRRefH22x_0" localSheetId="96">'445'!$H$20</definedName>
    <definedName name="OSRRefH22x_0" localSheetId="97">'450'!$H$25:$H$33,'450'!$H$35:$H$40,'450'!$H$42,'450'!$H$44,'450'!$H$46,'450'!$H$48,'450'!$H$50,'450'!$H$52,'450'!$H$54,'450'!$H$56,'450'!$H$58,'450'!$H$60:$H$61,'450'!$H$63:$H$65,'450'!$H$67:$H$73,'450'!$H$75,'450'!$H$77,'450'!$H$79:$H$80</definedName>
    <definedName name="OSRRefH22x_0" localSheetId="90">'455'!$H$20:$H$26,'455'!$H$28:$H$29,'455'!$H$31</definedName>
    <definedName name="OSRRefH22x_0" localSheetId="77">'491'!$H$33:$H$41,'491'!$H$43:$H$49,'491'!$H$51,'491'!$H$53,'491'!$H$55,'491'!$H$57:$H$59,'491'!$H$61,'491'!$H$63,'491'!$H$65,'491'!$H$67,'491'!$H$69:$H$70,'491'!$H$72,'491'!$H$74,'491'!$H$76,'491'!$H$78,'491'!$H$80:$H$82,'491'!$H$84:$H$85,'491'!$H$87:$H$91,'491'!$H$93,'491'!$H$95:$H$102,'491'!$H$104,'491'!$H$106,'491'!$H$108:$H$110,'491'!$H$112</definedName>
    <definedName name="OSRRefH22x_0" localSheetId="91">'492'!$H$28:$H$36,'492'!$H$38:$H$44,'492'!$H$46,'492'!$H$48,'492'!$H$50,'492'!$H$52,'492'!$H$54,'492'!$H$56,'492'!$H$58,'492'!$H$60,'492'!$H$62,'492'!$H$64,'492'!$H$66:$H$68,'492'!$H$70:$H$72,'492'!$H$74:$H$81,'492'!$H$83,'492'!$H$85,'492'!$H$87:$H$88</definedName>
    <definedName name="OSRRefH22x_0" localSheetId="99">'501'!$H$21:$H$28,'501'!$H$30:$H$35,'501'!$H$37,'501'!$H$39,'501'!$H$41,'501'!$H$43,'501'!$H$45,'501'!$H$47,'501'!$H$49,'501'!$H$51,'501'!$H$53:$H$54,'501'!$H$56:$H$59,'501'!$H$61,'501'!$H$63</definedName>
    <definedName name="OSRRefH22x_0" localSheetId="39">'Div 2'!$H$20:$H$30,'Div 2'!$H$32:$H$38,'Div 2'!$H$40,'Div 2'!$H$42,'Div 2'!$H$44,'Div 2'!$H$46:$H$47,'Div 2'!$H$49,'Div 2'!$H$51,'Div 2'!$H$53,'Div 2'!$H$55,'Div 2'!$H$57,'Div 2'!$H$59,'Div 2'!$H$61:$H$64,'Div 2'!$H$66:$H$68,'Div 2'!$H$70:$H$71,'Div 2'!$H$73,'Div 2'!$H$75:$H$78,'Div 2'!$H$80:$H$81,'Div 2'!$H$83,'Div 2'!$H$85:$H$86</definedName>
    <definedName name="OSRRefH22x_0" localSheetId="47">'Div 3'!$H$167:$H$175,'Div 3'!$H$177:$H$183,'Div 3'!$H$185,'Div 3'!$H$187:$H$188,'Div 3'!$H$190,'Div 3'!$H$192:$H$193,'Div 3'!$H$195:$H$196,'Div 3'!$H$198,'Div 3'!$H$200,'Div 3'!$H$202,'Div 3'!$H$204:$H$205,'Div 3'!$H$207,'Div 3'!$H$209,'Div 3'!$H$211,'Div 3'!$H$213,'Div 3'!$H$215,'Div 3'!$H$217,'Div 3'!$H$219:$H$221,'Div 3'!$H$223:$H$225,'Div 3'!$H$227:$H$231,'Div 3'!$H$233:$H$234,'Div 3'!$H$236:$H$242,'Div 3'!$H$244:$H$245,'Div 3'!$H$247,'Div 3'!$H$249:$H$251,'Div 3'!$H$253</definedName>
    <definedName name="OSRRefH22x_0" localSheetId="75">'Div 4'!$H$34:$H$42,'Div 4'!$H$44:$H$50,'Div 4'!$H$52,'Div 4'!$H$54,'Div 4'!$H$56,'Div 4'!$H$58:$H$60,'Div 4'!$H$62,'Div 4'!$H$64,'Div 4'!$H$66,'Div 4'!$H$68,'Div 4'!$H$70:$H$71,'Div 4'!$H$73,'Div 4'!$H$75,'Div 4'!$H$77,'Div 4'!$H$79,'Div 4'!$H$81,'Div 4'!$H$83:$H$85,'Div 4'!$H$87:$H$88,'Div 4'!$H$90:$H$94,'Div 4'!$H$96,'Div 4'!$H$98:$H$105,'Div 4'!$H$107,'Div 4'!$H$109,'Div 4'!$H$111:$H$113,'Div 4'!$H$115</definedName>
    <definedName name="OSRRefH22x_0" localSheetId="98">'Div 5'!$H$21:$H$28,'Div 5'!$H$30:$H$35,'Div 5'!$H$37,'Div 5'!$H$39,'Div 5'!$H$41,'Div 5'!$H$43,'Div 5'!$H$45,'Div 5'!$H$47,'Div 5'!$H$49,'Div 5'!$H$51,'Div 5'!$H$53:$H$54,'Div 5'!$H$56:$H$59,'Div 5'!$H$61,'Div 5'!$H$63</definedName>
    <definedName name="OSRRefH22x_0" localSheetId="64">'Div 6'!$H$58:$H$66,'Div 6'!$H$68:$H$71,'Div 6'!$H$73,'Div 6'!$H$75,'Div 6'!$H$77,'Div 6'!$H$79,'Div 6'!$H$81,'Div 6'!$H$83,'Div 6'!$H$85,'Div 6'!$H$87:$H$88,'Div 6'!$H$90,'Div 6'!$H$92,'Div 6'!$H$94</definedName>
    <definedName name="OSRRefH22x_0" localSheetId="2">Summary!$H$201:$H$209,Summary!$H$211:$H$217,Summary!$H$219,Summary!$H$221:$H$222,Summary!$H$224,Summary!$H$226:$H$228,Summary!$H$230:$H$231,Summary!$H$233,Summary!$H$235,Summary!$H$237,Summary!$H$239:$H$240,Summary!$H$242:$H$243,Summary!$H$245,Summary!$H$247,Summary!$H$249,Summary!$H$251,Summary!$H$253,Summary!$H$255,Summary!$H$257:$H$259,Summary!$H$261:$H$263,Summary!$H$265:$H$269,Summary!$H$271:$H$272,Summary!$H$274:$H$281,Summary!$H$283:$H$284,Summary!$H$286,Summary!$H$288:$H$290,Summary!$H$292</definedName>
    <definedName name="OSRRefH25x_0" localSheetId="48">'300'!$H$248:$H$256</definedName>
    <definedName name="OSRRefH25x_0" localSheetId="49">'300 &amp; 317'!$H$273:$H$283</definedName>
    <definedName name="OSRRefH25x_0" localSheetId="50">'301'!$H$91:$H$93</definedName>
    <definedName name="OSRRefH25x_0" localSheetId="55">'308'!$H$114:$H$116</definedName>
    <definedName name="OSRRefH25x_0" localSheetId="76">'310 &amp; 491'!$H$126:$H$128</definedName>
    <definedName name="OSRRefH25x_0" localSheetId="56">'311'!$H$113:$H$115</definedName>
    <definedName name="OSRRefH25x_0" localSheetId="59">'315'!$H$108</definedName>
    <definedName name="OSRRefH25x_0" localSheetId="62">'316'!$H$71</definedName>
    <definedName name="OSRRefH25x_0" localSheetId="65">'317'!$H$97:$H$99</definedName>
    <definedName name="OSRRefH25x_0" localSheetId="63">'320'!$H$58:$H$62</definedName>
    <definedName name="OSRRefH25x_0" localSheetId="58">'331'!$H$146</definedName>
    <definedName name="OSRRefH25x_0" localSheetId="61">'332'!$H$84:$H$89</definedName>
    <definedName name="OSRRefH25x_0" localSheetId="80">'411'!$H$86:$H$87</definedName>
    <definedName name="OSRRefH25x_0" localSheetId="83">'413'!$H$65</definedName>
    <definedName name="OSRRefH25x_0" localSheetId="86">'418'!$H$81</definedName>
    <definedName name="OSRRefH25x_0" localSheetId="87">'423'!$H$41</definedName>
    <definedName name="OSRRefH25x_0" localSheetId="88">'424'!$H$59</definedName>
    <definedName name="OSRRefH25x_0" localSheetId="89">'425'!$H$80</definedName>
    <definedName name="OSRRefH25x_0" localSheetId="90">'455'!$H$34:$H$35</definedName>
    <definedName name="OSRRefH25x_0" localSheetId="77">'491'!$H$115:$H$117</definedName>
    <definedName name="OSRRefH25x_0" localSheetId="99">'501'!$H$66:$H$67</definedName>
    <definedName name="OSRRefH25x_0" localSheetId="47">'Div 3'!$H$256:$H$264</definedName>
    <definedName name="OSRRefH25x_0" localSheetId="75">'Div 4'!$H$118:$H$120</definedName>
    <definedName name="OSRRefH25x_0" localSheetId="98">'Div 5'!$H$66:$H$67</definedName>
    <definedName name="OSRRefH25x_0" localSheetId="64">'Div 6'!$H$97:$H$99</definedName>
    <definedName name="OSRRefH25x_0" localSheetId="2">Summary!$H$295:$H$306</definedName>
    <definedName name="OSRRefP13x_0" localSheetId="48">'300'!$P$13:$P$104</definedName>
    <definedName name="OSRRefP13x_0" localSheetId="49">'300 &amp; 317'!$P$13:$P$122</definedName>
    <definedName name="OSRRefP13x_0" localSheetId="53">'307'!$P$13:$P$46</definedName>
    <definedName name="OSRRefP13x_0" localSheetId="55">'308'!$P$13:$P$40</definedName>
    <definedName name="OSRRefP13x_0" localSheetId="67">'309'!$P$13:$P$14</definedName>
    <definedName name="OSRRefP13x_0" localSheetId="66">'310'!$P$13:$P$22</definedName>
    <definedName name="OSRRefP13x_0" localSheetId="76">'310 &amp; 491'!$P$13:$P$30</definedName>
    <definedName name="OSRRefP13x_0" localSheetId="56">'311'!$P$13:$P$39</definedName>
    <definedName name="OSRRefP13x_0" localSheetId="68">'313'!$P$13:$P$19</definedName>
    <definedName name="OSRRefP13x_0" localSheetId="54">'314'!$P$13:$P$33</definedName>
    <definedName name="OSRRefP13x_0" localSheetId="59">'315'!$P$13:$P$32</definedName>
    <definedName name="OSRRefP13x_0" localSheetId="62">'316'!$P$13:$P$24</definedName>
    <definedName name="OSRRefP13x_0" localSheetId="65">'317'!$P$13:$P$36</definedName>
    <definedName name="OSRRefP13x_0" localSheetId="63">'320'!$P$13:$P$16</definedName>
    <definedName name="OSRRefP13x_0" localSheetId="69">'321'!$P$13:$P$14</definedName>
    <definedName name="OSRRefP13x_0" localSheetId="70">'322'!$P$13:$P$14</definedName>
    <definedName name="OSRRefP13x_0" localSheetId="57">'324'!$P$13:$P$15</definedName>
    <definedName name="OSRRefP13x_0" localSheetId="72">'325'!$P$13:$P$14</definedName>
    <definedName name="OSRRefP13x_0" localSheetId="60">'326'!$P$13:$P$34</definedName>
    <definedName name="OSRRefP13x_0" localSheetId="73">'327'!$P$13</definedName>
    <definedName name="OSRRefP13x_0" localSheetId="52">'330'!$P$13:$P$50</definedName>
    <definedName name="OSRRefP13x_0" localSheetId="58">'331'!$P$13:$P$42</definedName>
    <definedName name="OSRRefP13x_0" localSheetId="61">'332'!$P$13:$P$28</definedName>
    <definedName name="OSRRefP13x_0" localSheetId="78">'405'!$P$13:$P$14</definedName>
    <definedName name="OSRRefP13x_0" localSheetId="79">'406'!$P$13:$P$14</definedName>
    <definedName name="OSRRefP13x_0" localSheetId="81">'412'!$P$13:$P$15</definedName>
    <definedName name="OSRRefP13x_0" localSheetId="83">'413'!$P$13:$P$14</definedName>
    <definedName name="OSRRefP13x_0" localSheetId="84">'414'!$P$13:$P$14</definedName>
    <definedName name="OSRRefP13x_0" localSheetId="85">'415'!$P$13:$P$14</definedName>
    <definedName name="OSRRefP13x_0" localSheetId="86">'418'!$P$13:$P$14</definedName>
    <definedName name="OSRRefP13x_0" localSheetId="82">'420'!$P$13:$P$14</definedName>
    <definedName name="OSRRefP13x_0" localSheetId="88">'424'!$P$13:$P$14</definedName>
    <definedName name="OSRRefP13x_0" localSheetId="89">'425'!$P$13:$P$17</definedName>
    <definedName name="OSRRefP13x_0" localSheetId="93">'433'!$P$13:$P$16</definedName>
    <definedName name="OSRRefP13x_0" localSheetId="94">'435'!$P$13:$P$15</definedName>
    <definedName name="OSRRefP13x_0" localSheetId="95">'444'!$P$13:$P$15</definedName>
    <definedName name="OSRRefP13x_0" localSheetId="97">'450'!$P$13:$P$15</definedName>
    <definedName name="OSRRefP13x_0" localSheetId="77">'491'!$P$13:$P$23</definedName>
    <definedName name="OSRRefP13x_0" localSheetId="91">'492'!$P$13:$P$18</definedName>
    <definedName name="OSRRefP13x_0" localSheetId="99">'501'!$P$13</definedName>
    <definedName name="OSRRefP13x_0" localSheetId="47">'Div 3'!$P$13:$P$107</definedName>
    <definedName name="OSRRefP13x_0" localSheetId="75">'Div 4'!$P$13:$P$24</definedName>
    <definedName name="OSRRefP13x_0" localSheetId="98">'Div 5'!$P$13</definedName>
    <definedName name="OSRRefP13x_0" localSheetId="64">'Div 6'!$P$13:$P$36</definedName>
    <definedName name="OSRRefP13x_0" localSheetId="2">Summary!$P$13:$P$134</definedName>
    <definedName name="OSRRefP16x_0" localSheetId="48">'300'!$P$107:$P$156</definedName>
    <definedName name="OSRRefP16x_0" localSheetId="49">'300 &amp; 317'!$P$125:$P$181</definedName>
    <definedName name="OSRRefP16x_0" localSheetId="53">'307'!$P$49:$P$67</definedName>
    <definedName name="OSRRefP16x_0" localSheetId="55">'308'!$P$43:$P$58</definedName>
    <definedName name="OSRRefP16x_0" localSheetId="67">'309'!$P$17:$P$18</definedName>
    <definedName name="OSRRefP16x_0" localSheetId="66">'310'!$P$25:$P$26</definedName>
    <definedName name="OSRRefP16x_0" localSheetId="76">'310 &amp; 491'!$P$33:$P$34</definedName>
    <definedName name="OSRRefP16x_0" localSheetId="56">'311'!$P$42:$P$57</definedName>
    <definedName name="OSRRefP16x_0" localSheetId="68">'313'!$P$22:$P$23</definedName>
    <definedName name="OSRRefP16x_0" localSheetId="54">'314'!$P$36:$P$50</definedName>
    <definedName name="OSRRefP16x_0" localSheetId="59">'315'!$P$35:$P$49</definedName>
    <definedName name="OSRRefP16x_0" localSheetId="65">'317'!$P$39:$P$52</definedName>
    <definedName name="OSRRefP16x_0" localSheetId="63">'320'!$P$19:$P$23</definedName>
    <definedName name="OSRRefP16x_0" localSheetId="69">'321'!$P$17:$P$18</definedName>
    <definedName name="OSRRefP16x_0" localSheetId="70">'322'!$P$17:$P$18</definedName>
    <definedName name="OSRRefP16x_0" localSheetId="57">'324'!$P$18:$P$19</definedName>
    <definedName name="OSRRefP16x_0" localSheetId="72">'325'!$P$17:$P$18</definedName>
    <definedName name="OSRRefP16x_0" localSheetId="60">'326'!$P$37:$P$54</definedName>
    <definedName name="OSRRefP16x_0" localSheetId="73">'327'!$P$16</definedName>
    <definedName name="OSRRefP16x_0" localSheetId="52">'330'!$P$53:$P$75</definedName>
    <definedName name="OSRRefP16x_0" localSheetId="58">'331'!$P$45:$P$67</definedName>
    <definedName name="OSRRefP16x_0" localSheetId="61">'332'!$P$31:$P$35</definedName>
    <definedName name="OSRRefP16x_0" localSheetId="78">'405'!$P$17:$P$18</definedName>
    <definedName name="OSRRefP16x_0" localSheetId="79">'406'!$P$17:$P$18</definedName>
    <definedName name="OSRRefP16x_0" localSheetId="81">'412'!$P$18</definedName>
    <definedName name="OSRRefP16x_0" localSheetId="83">'413'!$P$17:$P$18</definedName>
    <definedName name="OSRRefP16x_0" localSheetId="84">'414'!$P$17:$P$18</definedName>
    <definedName name="OSRRefP16x_0" localSheetId="85">'415'!$P$17:$P$18</definedName>
    <definedName name="OSRRefP16x_0" localSheetId="86">'418'!$P$17:$P$18</definedName>
    <definedName name="OSRRefP16x_0" localSheetId="87">'423'!$P$15</definedName>
    <definedName name="OSRRefP16x_0" localSheetId="88">'424'!$P$17:$P$18</definedName>
    <definedName name="OSRRefP16x_0" localSheetId="89">'425'!$P$20:$P$21</definedName>
    <definedName name="OSRRefP16x_0" localSheetId="93">'433'!$P$19:$P$20</definedName>
    <definedName name="OSRRefP16x_0" localSheetId="94">'435'!$P$18:$P$19</definedName>
    <definedName name="OSRRefP16x_0" localSheetId="95">'444'!$P$18:$P$19</definedName>
    <definedName name="OSRRefP16x_0" localSheetId="97">'450'!$P$18:$P$19</definedName>
    <definedName name="OSRRefP16x_0" localSheetId="77">'491'!$P$26:$P$27</definedName>
    <definedName name="OSRRefP16x_0" localSheetId="91">'492'!$P$21:$P$22</definedName>
    <definedName name="OSRRefP16x_0" localSheetId="47">'Div 3'!$P$110:$P$161</definedName>
    <definedName name="OSRRefP16x_0" localSheetId="75">'Div 4'!$P$27:$P$28</definedName>
    <definedName name="OSRRefP16x_0" localSheetId="64">'Div 6'!$P$39:$P$52</definedName>
    <definedName name="OSRRefP16x_0" localSheetId="2">Summary!$P$137:$P$195</definedName>
    <definedName name="OSRRefP22_0x_0" localSheetId="40">'200'!$P$20</definedName>
    <definedName name="OSRRefP22_0x_0" localSheetId="41">'201'!$P$20:$P$28</definedName>
    <definedName name="OSRRefP22_0x_0" localSheetId="42">'202'!$P$20:$P$27</definedName>
    <definedName name="OSRRefP22_0x_0" localSheetId="43">'203'!$P$20:$P$29</definedName>
    <definedName name="OSRRefP22_0x_0" localSheetId="44">'204'!$P$20:$P$28</definedName>
    <definedName name="OSRRefP22_0x_0" localSheetId="45">'205'!$P$20:$P$27</definedName>
    <definedName name="OSRRefP22_0x_0" localSheetId="46">'206'!$P$20:$P$27</definedName>
    <definedName name="OSRRefP22_0x_0" localSheetId="48">'300'!$P$162:$P$170</definedName>
    <definedName name="OSRRefP22_0x_0" localSheetId="49">'300 &amp; 317'!$P$187:$P$195</definedName>
    <definedName name="OSRRefP22_0x_0" localSheetId="50">'301'!$P$20:$P$27</definedName>
    <definedName name="OSRRefP22_0x_0" localSheetId="51">'306'!$P$20:$P$28</definedName>
    <definedName name="OSRRefP22_0x_0" localSheetId="53">'307'!$P$73:$P$80</definedName>
    <definedName name="OSRRefP22_0x_0" localSheetId="55">'308'!$P$64:$P$72</definedName>
    <definedName name="OSRRefP22_0x_0" localSheetId="67">'309'!$P$24:$P$31</definedName>
    <definedName name="OSRRefP22_0x_0" localSheetId="66">'310'!$P$32:$P$39</definedName>
    <definedName name="OSRRefP22_0x_0" localSheetId="76">'310 &amp; 491'!$P$40:$P$48</definedName>
    <definedName name="OSRRefP22_0x_0" localSheetId="56">'311'!$P$63:$P$71</definedName>
    <definedName name="OSRRefP22_0x_0" localSheetId="68">'313'!$P$29:$P$36</definedName>
    <definedName name="OSRRefP22_0x_0" localSheetId="54">'314'!$P$56:$P$62</definedName>
    <definedName name="OSRRefP22_0x_0" localSheetId="59">'315'!$P$55:$P$62</definedName>
    <definedName name="OSRRefP22_0x_0" localSheetId="62">'316'!$P$32:$P$39</definedName>
    <definedName name="OSRRefP22_0x_0" localSheetId="65">'317'!$P$58:$P$66</definedName>
    <definedName name="OSRRefP22_0x_0" localSheetId="63">'320'!$P$29:$P$35</definedName>
    <definedName name="OSRRefP22_0x_0" localSheetId="69">'321'!$P$24:$P$30</definedName>
    <definedName name="OSRRefP22_0x_0" localSheetId="70">'322'!$P$24:$P$31</definedName>
    <definedName name="OSRRefP22_0x_0" localSheetId="57">'324'!$P$25</definedName>
    <definedName name="OSRRefP22_0x_0" localSheetId="72">'325'!$P$24:$P$31</definedName>
    <definedName name="OSRRefP22_0x_0" localSheetId="60">'326'!$P$60:$P$67</definedName>
    <definedName name="OSRRefP22_0x_0" localSheetId="73">'327'!$P$22</definedName>
    <definedName name="OSRRefP22_0x_0" localSheetId="52">'330'!$P$81:$P$88</definedName>
    <definedName name="OSRRefP22_0x_0" localSheetId="58">'331'!$P$73:$P$80</definedName>
    <definedName name="OSRRefP22_0x_0" localSheetId="61">'332'!$P$41:$P$48</definedName>
    <definedName name="OSRRefP22_0x_0" localSheetId="74">'335'!$P$20</definedName>
    <definedName name="OSRRefP22_0x_0" localSheetId="78">'405'!$P$24:$P$31</definedName>
    <definedName name="OSRRefP22_0x_0" localSheetId="79">'406'!$P$24:$P$31</definedName>
    <definedName name="OSRRefP22_0x_0" localSheetId="80">'411'!$P$20:$P$28</definedName>
    <definedName name="OSRRefP22_0x_0" localSheetId="81">'412'!$P$24:$P$31</definedName>
    <definedName name="OSRRefP22_0x_0" localSheetId="83">'413'!$P$24:$P$31</definedName>
    <definedName name="OSRRefP22_0x_0" localSheetId="84">'414'!$P$24:$P$31</definedName>
    <definedName name="OSRRefP22_0x_0" localSheetId="85">'415'!$P$24:$P$31</definedName>
    <definedName name="OSRRefP22_0x_0" localSheetId="86">'418'!$P$24:$P$31</definedName>
    <definedName name="OSRRefP22_0x_0" localSheetId="82">'420'!$P$22:$P$28</definedName>
    <definedName name="OSRRefP22_0x_0" localSheetId="87">'423'!$P$21:$P$28</definedName>
    <definedName name="OSRRefP22_0x_0" localSheetId="88">'424'!$P$24:$P$26</definedName>
    <definedName name="OSRRefP22_0x_0" localSheetId="89">'425'!$P$27:$P$34</definedName>
    <definedName name="OSRRefP22_0x_0" localSheetId="92">'430'!$P$20:$P$27</definedName>
    <definedName name="OSRRefP22_0x_0" localSheetId="93">'433'!$P$26:$P$34</definedName>
    <definedName name="OSRRefP22_0x_0" localSheetId="94">'435'!$P$25:$P$27</definedName>
    <definedName name="OSRRefP22_0x_0" localSheetId="95">'444'!$P$25:$P$33</definedName>
    <definedName name="OSRRefP22_0x_0" localSheetId="96">'445'!$P$20</definedName>
    <definedName name="OSRRefP22_0x_0" localSheetId="97">'450'!$P$25:$P$33</definedName>
    <definedName name="OSRRefP22_0x_0" localSheetId="90">'455'!$P$20:$P$26</definedName>
    <definedName name="OSRRefP22_0x_0" localSheetId="77">'491'!$P$33:$P$41</definedName>
    <definedName name="OSRRefP22_0x_0" localSheetId="91">'492'!$P$28:$P$36</definedName>
    <definedName name="OSRRefP22_0x_0" localSheetId="99">'501'!$P$21:$P$28</definedName>
    <definedName name="OSRRefP22_0x_0" localSheetId="39">'Div 2'!$P$20:$P$30</definedName>
    <definedName name="OSRRefP22_0x_0" localSheetId="47">'Div 3'!$P$167:$P$175</definedName>
    <definedName name="OSRRefP22_0x_0" localSheetId="75">'Div 4'!$P$34:$P$42</definedName>
    <definedName name="OSRRefP22_0x_0" localSheetId="98">'Div 5'!$P$21:$P$28</definedName>
    <definedName name="OSRRefP22_0x_0" localSheetId="64">'Div 6'!$P$58:$P$66</definedName>
    <definedName name="OSRRefP22_0x_0" localSheetId="2">Summary!$P$201:$P$209</definedName>
    <definedName name="OSRRefP22_10x_0" localSheetId="41">'201'!$P$50:$P$52</definedName>
    <definedName name="OSRRefP22_10x_0" localSheetId="42">'202'!$P$52</definedName>
    <definedName name="OSRRefP22_10x_0" localSheetId="43">'203'!$P$54:$P$55</definedName>
    <definedName name="OSRRefP22_10x_0" localSheetId="44">'204'!$P$57:$P$58</definedName>
    <definedName name="OSRRefP22_10x_0" localSheetId="48">'300'!$P$199:$P$200</definedName>
    <definedName name="OSRRefP22_10x_0" localSheetId="49">'300 &amp; 317'!$P$224:$P$225</definedName>
    <definedName name="OSRRefP22_10x_0" localSheetId="50">'301'!$P$56</definedName>
    <definedName name="OSRRefP22_10x_0" localSheetId="51">'306'!$P$57</definedName>
    <definedName name="OSRRefP22_10x_0" localSheetId="53">'307'!$P$105:$P$106</definedName>
    <definedName name="OSRRefP22_10x_0" localSheetId="55">'308'!$P$99</definedName>
    <definedName name="OSRRefP22_10x_0" localSheetId="67">'309'!$P$58:$P$63</definedName>
    <definedName name="OSRRefP22_10x_0" localSheetId="66">'310'!$P$65</definedName>
    <definedName name="OSRRefP22_10x_0" localSheetId="76">'310 &amp; 491'!$P$76:$P$77</definedName>
    <definedName name="OSRRefP22_10x_0" localSheetId="56">'311'!$P$98</definedName>
    <definedName name="OSRRefP22_10x_0" localSheetId="68">'313'!$P$62</definedName>
    <definedName name="OSRRefP22_10x_0" localSheetId="59">'315'!$P$91:$P$92</definedName>
    <definedName name="OSRRefP22_10x_0" localSheetId="62">'316'!$P$66</definedName>
    <definedName name="OSRRefP22_10x_0" localSheetId="65">'317'!$P$90</definedName>
    <definedName name="OSRRefP22_10x_0" localSheetId="69">'321'!$P$62</definedName>
    <definedName name="OSRRefP22_10x_0" localSheetId="70">'322'!$P$56:$P$58</definedName>
    <definedName name="OSRRefP22_10x_0" localSheetId="72">'325'!$P$57</definedName>
    <definedName name="OSRRefP22_10x_0" localSheetId="60">'326'!$P$90</definedName>
    <definedName name="OSRRefP22_10x_0" localSheetId="52">'330'!$P$113</definedName>
    <definedName name="OSRRefP22_10x_0" localSheetId="58">'331'!$P$107</definedName>
    <definedName name="OSRRefP22_10x_0" localSheetId="61">'332'!$P$73:$P$77</definedName>
    <definedName name="OSRRefP22_10x_0" localSheetId="78">'405'!$P$55:$P$56</definedName>
    <definedName name="OSRRefP22_10x_0" localSheetId="79">'406'!$P$57:$P$58</definedName>
    <definedName name="OSRRefP22_10x_0" localSheetId="80">'411'!$P$55</definedName>
    <definedName name="OSRRefP22_10x_0" localSheetId="81">'412'!$P$57:$P$59</definedName>
    <definedName name="OSRRefP22_10x_0" localSheetId="83">'413'!$P$62</definedName>
    <definedName name="OSRRefP22_10x_0" localSheetId="84">'414'!$P$57</definedName>
    <definedName name="OSRRefP22_10x_0" localSheetId="85">'415'!$P$57</definedName>
    <definedName name="OSRRefP22_10x_0" localSheetId="86">'418'!$P$58:$P$60</definedName>
    <definedName name="OSRRefP22_10x_0" localSheetId="88">'424'!$P$50:$P$54</definedName>
    <definedName name="OSRRefP22_10x_0" localSheetId="89">'425'!$P$60</definedName>
    <definedName name="OSRRefP22_10x_0" localSheetId="93">'433'!$P$59:$P$61</definedName>
    <definedName name="OSRRefP22_10x_0" localSheetId="95">'444'!$P$58</definedName>
    <definedName name="OSRRefP22_10x_0" localSheetId="97">'450'!$P$58</definedName>
    <definedName name="OSRRefP22_10x_0" localSheetId="77">'491'!$P$69:$P$70</definedName>
    <definedName name="OSRRefP22_10x_0" localSheetId="91">'492'!$P$62</definedName>
    <definedName name="OSRRefP22_10x_0" localSheetId="99">'501'!$P$53:$P$54</definedName>
    <definedName name="OSRRefP22_10x_0" localSheetId="39">'Div 2'!$P$57</definedName>
    <definedName name="OSRRefP22_10x_0" localSheetId="47">'Div 3'!$P$204:$P$205</definedName>
    <definedName name="OSRRefP22_10x_0" localSheetId="75">'Div 4'!$P$70:$P$71</definedName>
    <definedName name="OSRRefP22_10x_0" localSheetId="98">'Div 5'!$P$53:$P$54</definedName>
    <definedName name="OSRRefP22_10x_0" localSheetId="64">'Div 6'!$P$90</definedName>
    <definedName name="OSRRefP22_10x_0" localSheetId="2">Summary!$P$239:$P$240</definedName>
    <definedName name="OSRRefP22_11x_0" localSheetId="41">'201'!$P$54:$P$56</definedName>
    <definedName name="OSRRefP22_11x_0" localSheetId="42">'202'!$P$54</definedName>
    <definedName name="OSRRefP22_11x_0" localSheetId="43">'203'!$P$57</definedName>
    <definedName name="OSRRefP22_11x_0" localSheetId="48">'300'!$P$202</definedName>
    <definedName name="OSRRefP22_11x_0" localSheetId="49">'300 &amp; 317'!$P$227</definedName>
    <definedName name="OSRRefP22_11x_0" localSheetId="50">'301'!$P$58</definedName>
    <definedName name="OSRRefP22_11x_0" localSheetId="53">'307'!$P$108:$P$109</definedName>
    <definedName name="OSRRefP22_11x_0" localSheetId="55">'308'!$P$101:$P$104</definedName>
    <definedName name="OSRRefP22_11x_0" localSheetId="67">'309'!$P$65</definedName>
    <definedName name="OSRRefP22_11x_0" localSheetId="66">'310'!$P$67</definedName>
    <definedName name="OSRRefP22_11x_0" localSheetId="76">'310 &amp; 491'!$P$79:$P$80</definedName>
    <definedName name="OSRRefP22_11x_0" localSheetId="56">'311'!$P$100:$P$103</definedName>
    <definedName name="OSRRefP22_11x_0" localSheetId="68">'313'!$P$64</definedName>
    <definedName name="OSRRefP22_11x_0" localSheetId="59">'315'!$P$94:$P$98</definedName>
    <definedName name="OSRRefP22_11x_0" localSheetId="62">'316'!$P$68</definedName>
    <definedName name="OSRRefP22_11x_0" localSheetId="65">'317'!$P$92</definedName>
    <definedName name="OSRRefP22_11x_0" localSheetId="69">'321'!$P$64</definedName>
    <definedName name="OSRRefP22_11x_0" localSheetId="70">'322'!$P$60</definedName>
    <definedName name="OSRRefP22_11x_0" localSheetId="72">'325'!$P$59:$P$61</definedName>
    <definedName name="OSRRefP22_11x_0" localSheetId="60">'326'!$P$92</definedName>
    <definedName name="OSRRefP22_11x_0" localSheetId="52">'330'!$P$115:$P$116</definedName>
    <definedName name="OSRRefP22_11x_0" localSheetId="58">'331'!$P$109</definedName>
    <definedName name="OSRRefP22_11x_0" localSheetId="61">'332'!$P$79</definedName>
    <definedName name="OSRRefP22_11x_0" localSheetId="78">'405'!$P$58</definedName>
    <definedName name="OSRRefP22_11x_0" localSheetId="79">'406'!$P$60:$P$65</definedName>
    <definedName name="OSRRefP22_11x_0" localSheetId="80">'411'!$P$57:$P$59</definedName>
    <definedName name="OSRRefP22_11x_0" localSheetId="81">'412'!$P$61:$P$67</definedName>
    <definedName name="OSRRefP22_11x_0" localSheetId="84">'414'!$P$59</definedName>
    <definedName name="OSRRefP22_11x_0" localSheetId="85">'415'!$P$59:$P$61</definedName>
    <definedName name="OSRRefP22_11x_0" localSheetId="86">'418'!$P$62:$P$64</definedName>
    <definedName name="OSRRefP22_11x_0" localSheetId="88">'424'!$P$56</definedName>
    <definedName name="OSRRefP22_11x_0" localSheetId="89">'425'!$P$62:$P$63</definedName>
    <definedName name="OSRRefP22_11x_0" localSheetId="93">'433'!$P$63:$P$65</definedName>
    <definedName name="OSRRefP22_11x_0" localSheetId="95">'444'!$P$60:$P$62</definedName>
    <definedName name="OSRRefP22_11x_0" localSheetId="97">'450'!$P$60:$P$61</definedName>
    <definedName name="OSRRefP22_11x_0" localSheetId="77">'491'!$P$72</definedName>
    <definedName name="OSRRefP22_11x_0" localSheetId="91">'492'!$P$64</definedName>
    <definedName name="OSRRefP22_11x_0" localSheetId="99">'501'!$P$56:$P$59</definedName>
    <definedName name="OSRRefP22_11x_0" localSheetId="39">'Div 2'!$P$59</definedName>
    <definedName name="OSRRefP22_11x_0" localSheetId="47">'Div 3'!$P$207</definedName>
    <definedName name="OSRRefP22_11x_0" localSheetId="75">'Div 4'!$P$73</definedName>
    <definedName name="OSRRefP22_11x_0" localSheetId="98">'Div 5'!$P$56:$P$59</definedName>
    <definedName name="OSRRefP22_11x_0" localSheetId="64">'Div 6'!$P$92</definedName>
    <definedName name="OSRRefP22_11x_0" localSheetId="2">Summary!$P$242:$P$243</definedName>
    <definedName name="OSRRefP22_12x_0" localSheetId="41">'201'!$P$58</definedName>
    <definedName name="OSRRefP22_12x_0" localSheetId="42">'202'!$P$56:$P$58</definedName>
    <definedName name="OSRRefP22_12x_0" localSheetId="43">'203'!$P$59:$P$61</definedName>
    <definedName name="OSRRefP22_12x_0" localSheetId="48">'300'!$P$204</definedName>
    <definedName name="OSRRefP22_12x_0" localSheetId="49">'300 &amp; 317'!$P$229</definedName>
    <definedName name="OSRRefP22_12x_0" localSheetId="50">'301'!$P$60</definedName>
    <definedName name="OSRRefP22_12x_0" localSheetId="53">'307'!$P$111</definedName>
    <definedName name="OSRRefP22_12x_0" localSheetId="55">'308'!$P$106:$P$107</definedName>
    <definedName name="OSRRefP22_12x_0" localSheetId="66">'310'!$P$69</definedName>
    <definedName name="OSRRefP22_12x_0" localSheetId="76">'310 &amp; 491'!$P$82</definedName>
    <definedName name="OSRRefP22_12x_0" localSheetId="56">'311'!$P$105:$P$106</definedName>
    <definedName name="OSRRefP22_12x_0" localSheetId="68">'313'!$P$66:$P$71</definedName>
    <definedName name="OSRRefP22_12x_0" localSheetId="59">'315'!$P$100</definedName>
    <definedName name="OSRRefP22_12x_0" localSheetId="65">'317'!$P$94</definedName>
    <definedName name="OSRRefP22_12x_0" localSheetId="69">'321'!$P$66</definedName>
    <definedName name="OSRRefP22_12x_0" localSheetId="70">'322'!$P$62:$P$67</definedName>
    <definedName name="OSRRefP22_12x_0" localSheetId="72">'325'!$P$63:$P$65</definedName>
    <definedName name="OSRRefP22_12x_0" localSheetId="60">'326'!$P$94</definedName>
    <definedName name="OSRRefP22_12x_0" localSheetId="52">'330'!$P$118:$P$119</definedName>
    <definedName name="OSRRefP22_12x_0" localSheetId="58">'331'!$P$111</definedName>
    <definedName name="OSRRefP22_12x_0" localSheetId="61">'332'!$P$81</definedName>
    <definedName name="OSRRefP22_12x_0" localSheetId="78">'405'!$P$60:$P$62</definedName>
    <definedName name="OSRRefP22_12x_0" localSheetId="79">'406'!$P$67</definedName>
    <definedName name="OSRRefP22_12x_0" localSheetId="80">'411'!$P$61:$P$65</definedName>
    <definedName name="OSRRefP22_12x_0" localSheetId="81">'412'!$P$69</definedName>
    <definedName name="OSRRefP22_12x_0" localSheetId="84">'414'!$P$61</definedName>
    <definedName name="OSRRefP22_12x_0" localSheetId="85">'415'!$P$63:$P$67</definedName>
    <definedName name="OSRRefP22_12x_0" localSheetId="86">'418'!$P$66</definedName>
    <definedName name="OSRRefP22_12x_0" localSheetId="89">'425'!$P$65:$P$71</definedName>
    <definedName name="OSRRefP22_12x_0" localSheetId="93">'433'!$P$67:$P$73</definedName>
    <definedName name="OSRRefP22_12x_0" localSheetId="95">'444'!$P$64:$P$66</definedName>
    <definedName name="OSRRefP22_12x_0" localSheetId="97">'450'!$P$63:$P$65</definedName>
    <definedName name="OSRRefP22_12x_0" localSheetId="77">'491'!$P$74</definedName>
    <definedName name="OSRRefP22_12x_0" localSheetId="91">'492'!$P$66:$P$68</definedName>
    <definedName name="OSRRefP22_12x_0" localSheetId="99">'501'!$P$61</definedName>
    <definedName name="OSRRefP22_12x_0" localSheetId="39">'Div 2'!$P$61:$P$64</definedName>
    <definedName name="OSRRefP22_12x_0" localSheetId="47">'Div 3'!$P$209</definedName>
    <definedName name="OSRRefP22_12x_0" localSheetId="75">'Div 4'!$P$75</definedName>
    <definedName name="OSRRefP22_12x_0" localSheetId="98">'Div 5'!$P$61</definedName>
    <definedName name="OSRRefP22_12x_0" localSheetId="64">'Div 6'!$P$94</definedName>
    <definedName name="OSRRefP22_12x_0" localSheetId="2">Summary!$P$245</definedName>
    <definedName name="OSRRefP22_13x_0" localSheetId="41">'201'!$P$60:$P$62</definedName>
    <definedName name="OSRRefP22_13x_0" localSheetId="42">'202'!$P$60</definedName>
    <definedName name="OSRRefP22_13x_0" localSheetId="43">'203'!$P$63</definedName>
    <definedName name="OSRRefP22_13x_0" localSheetId="48">'300'!$P$206</definedName>
    <definedName name="OSRRefP22_13x_0" localSheetId="49">'300 &amp; 317'!$P$231</definedName>
    <definedName name="OSRRefP22_13x_0" localSheetId="50">'301'!$P$62</definedName>
    <definedName name="OSRRefP22_13x_0" localSheetId="53">'307'!$P$113</definedName>
    <definedName name="OSRRefP22_13x_0" localSheetId="55">'308'!$P$109</definedName>
    <definedName name="OSRRefP22_13x_0" localSheetId="66">'310'!$P$71</definedName>
    <definedName name="OSRRefP22_13x_0" localSheetId="76">'310 &amp; 491'!$P$84</definedName>
    <definedName name="OSRRefP22_13x_0" localSheetId="56">'311'!$P$108</definedName>
    <definedName name="OSRRefP22_13x_0" localSheetId="68">'313'!$P$73</definedName>
    <definedName name="OSRRefP22_13x_0" localSheetId="59">'315'!$P$102</definedName>
    <definedName name="OSRRefP22_13x_0" localSheetId="70">'322'!$P$69</definedName>
    <definedName name="OSRRefP22_13x_0" localSheetId="72">'325'!$P$67</definedName>
    <definedName name="OSRRefP22_13x_0" localSheetId="60">'326'!$P$96:$P$97</definedName>
    <definedName name="OSRRefP22_13x_0" localSheetId="52">'330'!$P$121</definedName>
    <definedName name="OSRRefP22_13x_0" localSheetId="58">'331'!$P$113</definedName>
    <definedName name="OSRRefP22_13x_0" localSheetId="78">'405'!$P$64</definedName>
    <definedName name="OSRRefP22_13x_0" localSheetId="79">'406'!$P$69</definedName>
    <definedName name="OSRRefP22_13x_0" localSheetId="80">'411'!$P$67:$P$73</definedName>
    <definedName name="OSRRefP22_13x_0" localSheetId="81">'412'!$P$71</definedName>
    <definedName name="OSRRefP22_13x_0" localSheetId="84">'414'!$P$63:$P$69</definedName>
    <definedName name="OSRRefP22_13x_0" localSheetId="85">'415'!$P$69</definedName>
    <definedName name="OSRRefP22_13x_0" localSheetId="86">'418'!$P$68:$P$74</definedName>
    <definedName name="OSRRefP22_13x_0" localSheetId="89">'425'!$P$73</definedName>
    <definedName name="OSRRefP22_13x_0" localSheetId="93">'433'!$P$75</definedName>
    <definedName name="OSRRefP22_13x_0" localSheetId="95">'444'!$P$68:$P$75</definedName>
    <definedName name="OSRRefP22_13x_0" localSheetId="97">'450'!$P$67:$P$73</definedName>
    <definedName name="OSRRefP22_13x_0" localSheetId="77">'491'!$P$76</definedName>
    <definedName name="OSRRefP22_13x_0" localSheetId="91">'492'!$P$70:$P$72</definedName>
    <definedName name="OSRRefP22_13x_0" localSheetId="99">'501'!$P$63</definedName>
    <definedName name="OSRRefP22_13x_0" localSheetId="39">'Div 2'!$P$66:$P$68</definedName>
    <definedName name="OSRRefP22_13x_0" localSheetId="47">'Div 3'!$P$211</definedName>
    <definedName name="OSRRefP22_13x_0" localSheetId="75">'Div 4'!$P$77</definedName>
    <definedName name="OSRRefP22_13x_0" localSheetId="98">'Div 5'!$P$63</definedName>
    <definedName name="OSRRefP22_13x_0" localSheetId="2">Summary!$P$247</definedName>
    <definedName name="OSRRefP22_14x_0" localSheetId="41">'201'!$P$64</definedName>
    <definedName name="OSRRefP22_14x_0" localSheetId="42">'202'!$P$62</definedName>
    <definedName name="OSRRefP22_14x_0" localSheetId="43">'203'!$P$65</definedName>
    <definedName name="OSRRefP22_14x_0" localSheetId="48">'300'!$P$208</definedName>
    <definedName name="OSRRefP22_14x_0" localSheetId="49">'300 &amp; 317'!$P$233</definedName>
    <definedName name="OSRRefP22_14x_0" localSheetId="50">'301'!$P$64:$P$66</definedName>
    <definedName name="OSRRefP22_14x_0" localSheetId="55">'308'!$P$111</definedName>
    <definedName name="OSRRefP22_14x_0" localSheetId="66">'310'!$P$73:$P$75</definedName>
    <definedName name="OSRRefP22_14x_0" localSheetId="76">'310 &amp; 491'!$P$86</definedName>
    <definedName name="OSRRefP22_14x_0" localSheetId="56">'311'!$P$110</definedName>
    <definedName name="OSRRefP22_14x_0" localSheetId="68">'313'!$P$75</definedName>
    <definedName name="OSRRefP22_14x_0" localSheetId="59">'315'!$P$104:$P$105</definedName>
    <definedName name="OSRRefP22_14x_0" localSheetId="70">'322'!$P$71</definedName>
    <definedName name="OSRRefP22_14x_0" localSheetId="72">'325'!$P$69:$P$74</definedName>
    <definedName name="OSRRefP22_14x_0" localSheetId="60">'326'!$P$99:$P$101</definedName>
    <definedName name="OSRRefP22_14x_0" localSheetId="52">'330'!$P$123:$P$125</definedName>
    <definedName name="OSRRefP22_14x_0" localSheetId="58">'331'!$P$115:$P$117</definedName>
    <definedName name="OSRRefP22_14x_0" localSheetId="78">'405'!$P$66:$P$72</definedName>
    <definedName name="OSRRefP22_14x_0" localSheetId="80">'411'!$P$75</definedName>
    <definedName name="OSRRefP22_14x_0" localSheetId="84">'414'!$P$71</definedName>
    <definedName name="OSRRefP22_14x_0" localSheetId="85">'415'!$P$71:$P$77</definedName>
    <definedName name="OSRRefP22_14x_0" localSheetId="86">'418'!$P$76</definedName>
    <definedName name="OSRRefP22_14x_0" localSheetId="89">'425'!$P$75</definedName>
    <definedName name="OSRRefP22_14x_0" localSheetId="93">'433'!$P$77</definedName>
    <definedName name="OSRRefP22_14x_0" localSheetId="95">'444'!$P$77</definedName>
    <definedName name="OSRRefP22_14x_0" localSheetId="97">'450'!$P$75</definedName>
    <definedName name="OSRRefP22_14x_0" localSheetId="77">'491'!$P$78</definedName>
    <definedName name="OSRRefP22_14x_0" localSheetId="91">'492'!$P$74:$P$81</definedName>
    <definedName name="OSRRefP22_14x_0" localSheetId="39">'Div 2'!$P$70:$P$71</definedName>
    <definedName name="OSRRefP22_14x_0" localSheetId="47">'Div 3'!$P$213</definedName>
    <definedName name="OSRRefP22_14x_0" localSheetId="75">'Div 4'!$P$79</definedName>
    <definedName name="OSRRefP22_14x_0" localSheetId="2">Summary!$P$249</definedName>
    <definedName name="OSRRefP22_15x_0" localSheetId="41">'201'!$P$66</definedName>
    <definedName name="OSRRefP22_15x_0" localSheetId="43">'203'!$P$67</definedName>
    <definedName name="OSRRefP22_15x_0" localSheetId="48">'300'!$P$210</definedName>
    <definedName name="OSRRefP22_15x_0" localSheetId="49">'300 &amp; 317'!$P$235</definedName>
    <definedName name="OSRRefP22_15x_0" localSheetId="50">'301'!$P$68:$P$70</definedName>
    <definedName name="OSRRefP22_15x_0" localSheetId="66">'310'!$P$77</definedName>
    <definedName name="OSRRefP22_15x_0" localSheetId="76">'310 &amp; 491'!$P$88</definedName>
    <definedName name="OSRRefP22_15x_0" localSheetId="72">'325'!$P$76</definedName>
    <definedName name="OSRRefP22_15x_0" localSheetId="60">'326'!$P$103</definedName>
    <definedName name="OSRRefP22_15x_0" localSheetId="52">'330'!$P$127</definedName>
    <definedName name="OSRRefP22_15x_0" localSheetId="58">'331'!$P$119:$P$120</definedName>
    <definedName name="OSRRefP22_15x_0" localSheetId="78">'405'!$P$74</definedName>
    <definedName name="OSRRefP22_15x_0" localSheetId="80">'411'!$P$77</definedName>
    <definedName name="OSRRefP22_15x_0" localSheetId="84">'414'!$P$73</definedName>
    <definedName name="OSRRefP22_15x_0" localSheetId="85">'415'!$P$79</definedName>
    <definedName name="OSRRefP22_15x_0" localSheetId="86">'418'!$P$78</definedName>
    <definedName name="OSRRefP22_15x_0" localSheetId="89">'425'!$P$77</definedName>
    <definedName name="OSRRefP22_15x_0" localSheetId="93">'433'!$P$79:$P$80</definedName>
    <definedName name="OSRRefP22_15x_0" localSheetId="95">'444'!$P$79</definedName>
    <definedName name="OSRRefP22_15x_0" localSheetId="97">'450'!$P$77</definedName>
    <definedName name="OSRRefP22_15x_0" localSheetId="77">'491'!$P$80:$P$82</definedName>
    <definedName name="OSRRefP22_15x_0" localSheetId="91">'492'!$P$83</definedName>
    <definedName name="OSRRefP22_15x_0" localSheetId="39">'Div 2'!$P$73</definedName>
    <definedName name="OSRRefP22_15x_0" localSheetId="47">'Div 3'!$P$215</definedName>
    <definedName name="OSRRefP22_15x_0" localSheetId="75">'Div 4'!$P$81</definedName>
    <definedName name="OSRRefP22_15x_0" localSheetId="2">Summary!$P$251</definedName>
    <definedName name="OSRRefP22_16x_0" localSheetId="41">'201'!$P$68:$P$69</definedName>
    <definedName name="OSRRefP22_16x_0" localSheetId="48">'300'!$P$212:$P$214</definedName>
    <definedName name="OSRRefP22_16x_0" localSheetId="49">'300 &amp; 317'!$P$237:$P$239</definedName>
    <definedName name="OSRRefP22_16x_0" localSheetId="50">'301'!$P$72</definedName>
    <definedName name="OSRRefP22_16x_0" localSheetId="66">'310'!$P$79:$P$82</definedName>
    <definedName name="OSRRefP22_16x_0" localSheetId="76">'310 &amp; 491'!$P$90:$P$92</definedName>
    <definedName name="OSRRefP22_16x_0" localSheetId="72">'325'!$P$78</definedName>
    <definedName name="OSRRefP22_16x_0" localSheetId="60">'326'!$P$105:$P$109</definedName>
    <definedName name="OSRRefP22_16x_0" localSheetId="52">'330'!$P$129</definedName>
    <definedName name="OSRRefP22_16x_0" localSheetId="58">'331'!$P$122:$P$124</definedName>
    <definedName name="OSRRefP22_16x_0" localSheetId="78">'405'!$P$76</definedName>
    <definedName name="OSRRefP22_16x_0" localSheetId="80">'411'!$P$79:$P$81</definedName>
    <definedName name="OSRRefP22_16x_0" localSheetId="85">'415'!$P$81</definedName>
    <definedName name="OSRRefP22_16x_0" localSheetId="95">'444'!$P$81</definedName>
    <definedName name="OSRRefP22_16x_0" localSheetId="97">'450'!$P$79:$P$80</definedName>
    <definedName name="OSRRefP22_16x_0" localSheetId="77">'491'!$P$84:$P$85</definedName>
    <definedName name="OSRRefP22_16x_0" localSheetId="91">'492'!$P$85</definedName>
    <definedName name="OSRRefP22_16x_0" localSheetId="39">'Div 2'!$P$75:$P$78</definedName>
    <definedName name="OSRRefP22_16x_0" localSheetId="47">'Div 3'!$P$217</definedName>
    <definedName name="OSRRefP22_16x_0" localSheetId="75">'Div 4'!$P$83:$P$85</definedName>
    <definedName name="OSRRefP22_16x_0" localSheetId="2">Summary!$P$253</definedName>
    <definedName name="OSRRefP22_17x_0" localSheetId="48">'300'!$P$216:$P$218</definedName>
    <definedName name="OSRRefP22_17x_0" localSheetId="49">'300 &amp; 317'!$P$241:$P$243</definedName>
    <definedName name="OSRRefP22_17x_0" localSheetId="50">'301'!$P$74:$P$78</definedName>
    <definedName name="OSRRefP22_17x_0" localSheetId="66">'310'!$P$84:$P$85</definedName>
    <definedName name="OSRRefP22_17x_0" localSheetId="76">'310 &amp; 491'!$P$94:$P$95</definedName>
    <definedName name="OSRRefP22_17x_0" localSheetId="60">'326'!$P$111</definedName>
    <definedName name="OSRRefP22_17x_0" localSheetId="58">'331'!$P$126:$P$127</definedName>
    <definedName name="OSRRefP22_17x_0" localSheetId="78">'405'!$P$78</definedName>
    <definedName name="OSRRefP22_17x_0" localSheetId="80">'411'!$P$83</definedName>
    <definedName name="OSRRefP22_17x_0" localSheetId="85">'415'!$P$83</definedName>
    <definedName name="OSRRefP22_17x_0" localSheetId="77">'491'!$P$87:$P$91</definedName>
    <definedName name="OSRRefP22_17x_0" localSheetId="91">'492'!$P$87:$P$88</definedName>
    <definedName name="OSRRefP22_17x_0" localSheetId="39">'Div 2'!$P$80:$P$81</definedName>
    <definedName name="OSRRefP22_17x_0" localSheetId="47">'Div 3'!$P$219:$P$221</definedName>
    <definedName name="OSRRefP22_17x_0" localSheetId="75">'Div 4'!$P$87:$P$88</definedName>
    <definedName name="OSRRefP22_17x_0" localSheetId="2">Summary!$P$255</definedName>
    <definedName name="OSRRefP22_18x_0" localSheetId="48">'300'!$P$220:$P$223</definedName>
    <definedName name="OSRRefP22_18x_0" localSheetId="49">'300 &amp; 317'!$P$245:$P$248</definedName>
    <definedName name="OSRRefP22_18x_0" localSheetId="50">'301'!$P$80</definedName>
    <definedName name="OSRRefP22_18x_0" localSheetId="66">'310'!$P$87:$P$93</definedName>
    <definedName name="OSRRefP22_18x_0" localSheetId="76">'310 &amp; 491'!$P$97:$P$101</definedName>
    <definedName name="OSRRefP22_18x_0" localSheetId="60">'326'!$P$113</definedName>
    <definedName name="OSRRefP22_18x_0" localSheetId="58">'331'!$P$129:$P$134</definedName>
    <definedName name="OSRRefP22_18x_0" localSheetId="77">'491'!$P$93</definedName>
    <definedName name="OSRRefP22_18x_0" localSheetId="39">'Div 2'!$P$83</definedName>
    <definedName name="OSRRefP22_18x_0" localSheetId="47">'Div 3'!$P$223:$P$225</definedName>
    <definedName name="OSRRefP22_18x_0" localSheetId="75">'Div 4'!$P$90:$P$94</definedName>
    <definedName name="OSRRefP22_18x_0" localSheetId="2">Summary!$P$257:$P$259</definedName>
    <definedName name="OSRRefP22_19x_0" localSheetId="48">'300'!$P$225:$P$226</definedName>
    <definedName name="OSRRefP22_19x_0" localSheetId="49">'300 &amp; 317'!$P$250:$P$251</definedName>
    <definedName name="OSRRefP22_19x_0" localSheetId="50">'301'!$P$82</definedName>
    <definedName name="OSRRefP22_19x_0" localSheetId="66">'310'!$P$95</definedName>
    <definedName name="OSRRefP22_19x_0" localSheetId="76">'310 &amp; 491'!$P$103:$P$104</definedName>
    <definedName name="OSRRefP22_19x_0" localSheetId="60">'326'!$P$115</definedName>
    <definedName name="OSRRefP22_19x_0" localSheetId="58">'331'!$P$136</definedName>
    <definedName name="OSRRefP22_19x_0" localSheetId="77">'491'!$P$95:$P$102</definedName>
    <definedName name="OSRRefP22_19x_0" localSheetId="39">'Div 2'!$P$85:$P$86</definedName>
    <definedName name="OSRRefP22_19x_0" localSheetId="47">'Div 3'!$P$227:$P$231</definedName>
    <definedName name="OSRRefP22_19x_0" localSheetId="75">'Div 4'!$P$96</definedName>
    <definedName name="OSRRefP22_19x_0" localSheetId="2">Summary!$P$261:$P$263</definedName>
    <definedName name="OSRRefP22_1x_0" localSheetId="40">'200'!$P$22</definedName>
    <definedName name="OSRRefP22_1x_0" localSheetId="41">'201'!$P$30:$P$32</definedName>
    <definedName name="OSRRefP22_1x_0" localSheetId="42">'202'!$P$29:$P$32</definedName>
    <definedName name="OSRRefP22_1x_0" localSheetId="43">'203'!$P$31:$P$34</definedName>
    <definedName name="OSRRefP22_1x_0" localSheetId="44">'204'!$P$30:$P$34</definedName>
    <definedName name="OSRRefP22_1x_0" localSheetId="45">'205'!$P$29</definedName>
    <definedName name="OSRRefP22_1x_0" localSheetId="46">'206'!$P$29:$P$34</definedName>
    <definedName name="OSRRefP22_1x_0" localSheetId="48">'300'!$P$172:$P$178</definedName>
    <definedName name="OSRRefP22_1x_0" localSheetId="49">'300 &amp; 317'!$P$197:$P$203</definedName>
    <definedName name="OSRRefP22_1x_0" localSheetId="50">'301'!$P$29:$P$35</definedName>
    <definedName name="OSRRefP22_1x_0" localSheetId="51">'306'!$P$30:$P$34</definedName>
    <definedName name="OSRRefP22_1x_0" localSheetId="53">'307'!$P$82:$P$85</definedName>
    <definedName name="OSRRefP22_1x_0" localSheetId="55">'308'!$P$74:$P$78</definedName>
    <definedName name="OSRRefP22_1x_0" localSheetId="67">'309'!$P$33:$P$37</definedName>
    <definedName name="OSRRefP22_1x_0" localSheetId="66">'310'!$P$41:$P$46</definedName>
    <definedName name="OSRRefP22_1x_0" localSheetId="76">'310 &amp; 491'!$P$50:$P$56</definedName>
    <definedName name="OSRRefP22_1x_0" localSheetId="56">'311'!$P$73:$P$77</definedName>
    <definedName name="OSRRefP22_1x_0" localSheetId="68">'313'!$P$38:$P$42</definedName>
    <definedName name="OSRRefP22_1x_0" localSheetId="54">'314'!$P$64:$P$67</definedName>
    <definedName name="OSRRefP22_1x_0" localSheetId="59">'315'!$P$64:$P$69</definedName>
    <definedName name="OSRRefP22_1x_0" localSheetId="62">'316'!$P$41:$P$44</definedName>
    <definedName name="OSRRefP22_1x_0" localSheetId="65">'317'!$P$68:$P$71</definedName>
    <definedName name="OSRRefP22_1x_0" localSheetId="63">'320'!$P$37:$P$39</definedName>
    <definedName name="OSRRefP22_1x_0" localSheetId="69">'321'!$P$32:$P$36</definedName>
    <definedName name="OSRRefP22_1x_0" localSheetId="70">'322'!$P$33:$P$37</definedName>
    <definedName name="OSRRefP22_1x_0" localSheetId="72">'325'!$P$33:$P$38</definedName>
    <definedName name="OSRRefP22_1x_0" localSheetId="60">'326'!$P$69:$P$72</definedName>
    <definedName name="OSRRefP22_1x_0" localSheetId="73">'327'!$P$24</definedName>
    <definedName name="OSRRefP22_1x_0" localSheetId="52">'330'!$P$90:$P$94</definedName>
    <definedName name="OSRRefP22_1x_0" localSheetId="58">'331'!$P$82:$P$87</definedName>
    <definedName name="OSRRefP22_1x_0" localSheetId="61">'332'!$P$50:$P$53</definedName>
    <definedName name="OSRRefP22_1x_0" localSheetId="78">'405'!$P$33:$P$36</definedName>
    <definedName name="OSRRefP22_1x_0" localSheetId="79">'406'!$P$33:$P$37</definedName>
    <definedName name="OSRRefP22_1x_0" localSheetId="80">'411'!$P$30:$P$35</definedName>
    <definedName name="OSRRefP22_1x_0" localSheetId="81">'412'!$P$33:$P$38</definedName>
    <definedName name="OSRRefP22_1x_0" localSheetId="83">'413'!$P$33:$P$37</definedName>
    <definedName name="OSRRefP22_1x_0" localSheetId="84">'414'!$P$33:$P$38</definedName>
    <definedName name="OSRRefP22_1x_0" localSheetId="85">'415'!$P$33:$P$38</definedName>
    <definedName name="OSRRefP22_1x_0" localSheetId="86">'418'!$P$33:$P$38</definedName>
    <definedName name="OSRRefP22_1x_0" localSheetId="82">'420'!$P$30:$P$33</definedName>
    <definedName name="OSRRefP22_1x_0" localSheetId="87">'423'!$P$30</definedName>
    <definedName name="OSRRefP22_1x_0" localSheetId="88">'424'!$P$28:$P$31</definedName>
    <definedName name="OSRRefP22_1x_0" localSheetId="89">'425'!$P$36:$P$40</definedName>
    <definedName name="OSRRefP22_1x_0" localSheetId="92">'430'!$P$29</definedName>
    <definedName name="OSRRefP22_1x_0" localSheetId="93">'433'!$P$36:$P$41</definedName>
    <definedName name="OSRRefP22_1x_0" localSheetId="94">'435'!$P$29:$P$30</definedName>
    <definedName name="OSRRefP22_1x_0" localSheetId="95">'444'!$P$35:$P$40</definedName>
    <definedName name="OSRRefP22_1x_0" localSheetId="97">'450'!$P$35:$P$40</definedName>
    <definedName name="OSRRefP22_1x_0" localSheetId="90">'455'!$P$28:$P$29</definedName>
    <definedName name="OSRRefP22_1x_0" localSheetId="77">'491'!$P$43:$P$49</definedName>
    <definedName name="OSRRefP22_1x_0" localSheetId="91">'492'!$P$38:$P$44</definedName>
    <definedName name="OSRRefP22_1x_0" localSheetId="99">'501'!$P$30:$P$35</definedName>
    <definedName name="OSRRefP22_1x_0" localSheetId="39">'Div 2'!$P$32:$P$38</definedName>
    <definedName name="OSRRefP22_1x_0" localSheetId="47">'Div 3'!$P$177:$P$183</definedName>
    <definedName name="OSRRefP22_1x_0" localSheetId="75">'Div 4'!$P$44:$P$50</definedName>
    <definedName name="OSRRefP22_1x_0" localSheetId="98">'Div 5'!$P$30:$P$35</definedName>
    <definedName name="OSRRefP22_1x_0" localSheetId="64">'Div 6'!$P$68:$P$71</definedName>
    <definedName name="OSRRefP22_1x_0" localSheetId="2">Summary!$P$211:$P$217</definedName>
    <definedName name="OSRRefP22_20x_0" localSheetId="48">'300'!$P$228:$P$234</definedName>
    <definedName name="OSRRefP22_20x_0" localSheetId="49">'300 &amp; 317'!$P$253:$P$259</definedName>
    <definedName name="OSRRefP22_20x_0" localSheetId="50">'301'!$P$84:$P$86</definedName>
    <definedName name="OSRRefP22_20x_0" localSheetId="66">'310'!$P$97</definedName>
    <definedName name="OSRRefP22_20x_0" localSheetId="76">'310 &amp; 491'!$P$106:$P$113</definedName>
    <definedName name="OSRRefP22_20x_0" localSheetId="58">'331'!$P$138</definedName>
    <definedName name="OSRRefP22_20x_0" localSheetId="77">'491'!$P$104</definedName>
    <definedName name="OSRRefP22_20x_0" localSheetId="47">'Div 3'!$P$233:$P$234</definedName>
    <definedName name="OSRRefP22_20x_0" localSheetId="75">'Div 4'!$P$98:$P$105</definedName>
    <definedName name="OSRRefP22_20x_0" localSheetId="2">Summary!$P$265:$P$269</definedName>
    <definedName name="OSRRefP22_21x_0" localSheetId="48">'300'!$P$236:$P$237</definedName>
    <definedName name="OSRRefP22_21x_0" localSheetId="49">'300 &amp; 317'!$P$261:$P$262</definedName>
    <definedName name="OSRRefP22_21x_0" localSheetId="50">'301'!$P$88</definedName>
    <definedName name="OSRRefP22_21x_0" localSheetId="66">'310'!$P$99</definedName>
    <definedName name="OSRRefP22_21x_0" localSheetId="76">'310 &amp; 491'!$P$115</definedName>
    <definedName name="OSRRefP22_21x_0" localSheetId="58">'331'!$P$140:$P$141</definedName>
    <definedName name="OSRRefP22_21x_0" localSheetId="77">'491'!$P$106</definedName>
    <definedName name="OSRRefP22_21x_0" localSheetId="47">'Div 3'!$P$236:$P$242</definedName>
    <definedName name="OSRRefP22_21x_0" localSheetId="75">'Div 4'!$P$107</definedName>
    <definedName name="OSRRefP22_21x_0" localSheetId="2">Summary!$P$271:$P$272</definedName>
    <definedName name="OSRRefP22_22x_0" localSheetId="48">'300'!$P$239</definedName>
    <definedName name="OSRRefP22_22x_0" localSheetId="49">'300 &amp; 317'!$P$264</definedName>
    <definedName name="OSRRefP22_22x_0" localSheetId="76">'310 &amp; 491'!$P$117</definedName>
    <definedName name="OSRRefP22_22x_0" localSheetId="58">'331'!$P$143</definedName>
    <definedName name="OSRRefP22_22x_0" localSheetId="77">'491'!$P$108:$P$110</definedName>
    <definedName name="OSRRefP22_22x_0" localSheetId="47">'Div 3'!$P$244:$P$245</definedName>
    <definedName name="OSRRefP22_22x_0" localSheetId="75">'Div 4'!$P$109</definedName>
    <definedName name="OSRRefP22_22x_0" localSheetId="2">Summary!$P$274:$P$281</definedName>
    <definedName name="OSRRefP22_23x_0" localSheetId="48">'300'!$P$241:$P$243</definedName>
    <definedName name="OSRRefP22_23x_0" localSheetId="49">'300 &amp; 317'!$P$266:$P$268</definedName>
    <definedName name="OSRRefP22_23x_0" localSheetId="76">'310 &amp; 491'!$P$119:$P$121</definedName>
    <definedName name="OSRRefP22_23x_0" localSheetId="77">'491'!$P$112</definedName>
    <definedName name="OSRRefP22_23x_0" localSheetId="47">'Div 3'!$P$247</definedName>
    <definedName name="OSRRefP22_23x_0" localSheetId="75">'Div 4'!$P$111:$P$113</definedName>
    <definedName name="OSRRefP22_23x_0" localSheetId="2">Summary!$P$283:$P$284</definedName>
    <definedName name="OSRRefP22_24x_0" localSheetId="48">'300'!$P$245</definedName>
    <definedName name="OSRRefP22_24x_0" localSheetId="49">'300 &amp; 317'!$P$270</definedName>
    <definedName name="OSRRefP22_24x_0" localSheetId="76">'310 &amp; 491'!$P$123</definedName>
    <definedName name="OSRRefP22_24x_0" localSheetId="47">'Div 3'!$P$249:$P$251</definedName>
    <definedName name="OSRRefP22_24x_0" localSheetId="75">'Div 4'!$P$115</definedName>
    <definedName name="OSRRefP22_24x_0" localSheetId="2">Summary!$P$286</definedName>
    <definedName name="OSRRefP22_25x_0" localSheetId="47">'Div 3'!$P$253</definedName>
    <definedName name="OSRRefP22_25x_0" localSheetId="2">Summary!$P$288:$P$290</definedName>
    <definedName name="OSRRefP22_26x_0" localSheetId="2">Summary!$P$292</definedName>
    <definedName name="OSRRefP22_2x_0" localSheetId="40">'200'!$P$24</definedName>
    <definedName name="OSRRefP22_2x_0" localSheetId="41">'201'!$P$34</definedName>
    <definedName name="OSRRefP22_2x_0" localSheetId="42">'202'!$P$34</definedName>
    <definedName name="OSRRefP22_2x_0" localSheetId="43">'203'!$P$36</definedName>
    <definedName name="OSRRefP22_2x_0" localSheetId="44">'204'!$P$36</definedName>
    <definedName name="OSRRefP22_2x_0" localSheetId="45">'205'!$P$31</definedName>
    <definedName name="OSRRefP22_2x_0" localSheetId="46">'206'!$P$36</definedName>
    <definedName name="OSRRefP22_2x_0" localSheetId="48">'300'!$P$180</definedName>
    <definedName name="OSRRefP22_2x_0" localSheetId="49">'300 &amp; 317'!$P$205</definedName>
    <definedName name="OSRRefP22_2x_0" localSheetId="50">'301'!$P$37</definedName>
    <definedName name="OSRRefP22_2x_0" localSheetId="51">'306'!$P$36</definedName>
    <definedName name="OSRRefP22_2x_0" localSheetId="53">'307'!$P$87</definedName>
    <definedName name="OSRRefP22_2x_0" localSheetId="55">'308'!$P$80</definedName>
    <definedName name="OSRRefP22_2x_0" localSheetId="67">'309'!$P$39</definedName>
    <definedName name="OSRRefP22_2x_0" localSheetId="66">'310'!$P$48</definedName>
    <definedName name="OSRRefP22_2x_0" localSheetId="76">'310 &amp; 491'!$P$58</definedName>
    <definedName name="OSRRefP22_2x_0" localSheetId="56">'311'!$P$79</definedName>
    <definedName name="OSRRefP22_2x_0" localSheetId="68">'313'!$P$44</definedName>
    <definedName name="OSRRefP22_2x_0" localSheetId="54">'314'!$P$69</definedName>
    <definedName name="OSRRefP22_2x_0" localSheetId="59">'315'!$P$71</definedName>
    <definedName name="OSRRefP22_2x_0" localSheetId="62">'316'!$P$46</definedName>
    <definedName name="OSRRefP22_2x_0" localSheetId="65">'317'!$P$73</definedName>
    <definedName name="OSRRefP22_2x_0" localSheetId="63">'320'!$P$41</definedName>
    <definedName name="OSRRefP22_2x_0" localSheetId="69">'321'!$P$38</definedName>
    <definedName name="OSRRefP22_2x_0" localSheetId="70">'322'!$P$39</definedName>
    <definedName name="OSRRefP22_2x_0" localSheetId="72">'325'!$P$40</definedName>
    <definedName name="OSRRefP22_2x_0" localSheetId="60">'326'!$P$74</definedName>
    <definedName name="OSRRefP22_2x_0" localSheetId="73">'327'!$P$26</definedName>
    <definedName name="OSRRefP22_2x_0" localSheetId="52">'330'!$P$96</definedName>
    <definedName name="OSRRefP22_2x_0" localSheetId="58">'331'!$P$89</definedName>
    <definedName name="OSRRefP22_2x_0" localSheetId="61">'332'!$P$55</definedName>
    <definedName name="OSRRefP22_2x_0" localSheetId="78">'405'!$P$38</definedName>
    <definedName name="OSRRefP22_2x_0" localSheetId="79">'406'!$P$39</definedName>
    <definedName name="OSRRefP22_2x_0" localSheetId="80">'411'!$P$37</definedName>
    <definedName name="OSRRefP22_2x_0" localSheetId="81">'412'!$P$40</definedName>
    <definedName name="OSRRefP22_2x_0" localSheetId="83">'413'!$P$39</definedName>
    <definedName name="OSRRefP22_2x_0" localSheetId="84">'414'!$P$40</definedName>
    <definedName name="OSRRefP22_2x_0" localSheetId="85">'415'!$P$40</definedName>
    <definedName name="OSRRefP22_2x_0" localSheetId="86">'418'!$P$40</definedName>
    <definedName name="OSRRefP22_2x_0" localSheetId="82">'420'!$P$35</definedName>
    <definedName name="OSRRefP22_2x_0" localSheetId="87">'423'!$P$32</definedName>
    <definedName name="OSRRefP22_2x_0" localSheetId="88">'424'!$P$33</definedName>
    <definedName name="OSRRefP22_2x_0" localSheetId="89">'425'!$P$42</definedName>
    <definedName name="OSRRefP22_2x_0" localSheetId="92">'430'!$P$31</definedName>
    <definedName name="OSRRefP22_2x_0" localSheetId="93">'433'!$P$43</definedName>
    <definedName name="OSRRefP22_2x_0" localSheetId="94">'435'!$P$32</definedName>
    <definedName name="OSRRefP22_2x_0" localSheetId="95">'444'!$P$42</definedName>
    <definedName name="OSRRefP22_2x_0" localSheetId="97">'450'!$P$42</definedName>
    <definedName name="OSRRefP22_2x_0" localSheetId="90">'455'!$P$31</definedName>
    <definedName name="OSRRefP22_2x_0" localSheetId="77">'491'!$P$51</definedName>
    <definedName name="OSRRefP22_2x_0" localSheetId="91">'492'!$P$46</definedName>
    <definedName name="OSRRefP22_2x_0" localSheetId="99">'501'!$P$37</definedName>
    <definedName name="OSRRefP22_2x_0" localSheetId="39">'Div 2'!$P$40</definedName>
    <definedName name="OSRRefP22_2x_0" localSheetId="47">'Div 3'!$P$185</definedName>
    <definedName name="OSRRefP22_2x_0" localSheetId="75">'Div 4'!$P$52</definedName>
    <definedName name="OSRRefP22_2x_0" localSheetId="98">'Div 5'!$P$37</definedName>
    <definedName name="OSRRefP22_2x_0" localSheetId="64">'Div 6'!$P$73</definedName>
    <definedName name="OSRRefP22_2x_0" localSheetId="2">Summary!$P$219</definedName>
    <definedName name="OSRRefP22_3x_0" localSheetId="40">'200'!$P$26</definedName>
    <definedName name="OSRRefP22_3x_0" localSheetId="41">'201'!$P$36</definedName>
    <definedName name="OSRRefP22_3x_0" localSheetId="42">'202'!$P$36</definedName>
    <definedName name="OSRRefP22_3x_0" localSheetId="43">'203'!$P$38</definedName>
    <definedName name="OSRRefP22_3x_0" localSheetId="44">'204'!$P$38:$P$39</definedName>
    <definedName name="OSRRefP22_3x_0" localSheetId="45">'205'!$P$33</definedName>
    <definedName name="OSRRefP22_3x_0" localSheetId="46">'206'!$P$38</definedName>
    <definedName name="OSRRefP22_3x_0" localSheetId="48">'300'!$P$182:$P$183</definedName>
    <definedName name="OSRRefP22_3x_0" localSheetId="49">'300 &amp; 317'!$P$207:$P$208</definedName>
    <definedName name="OSRRefP22_3x_0" localSheetId="50">'301'!$P$39:$P$40</definedName>
    <definedName name="OSRRefP22_3x_0" localSheetId="51">'306'!$P$38</definedName>
    <definedName name="OSRRefP22_3x_0" localSheetId="53">'307'!$P$89</definedName>
    <definedName name="OSRRefP22_3x_0" localSheetId="55">'308'!$P$82:$P$83</definedName>
    <definedName name="OSRRefP22_3x_0" localSheetId="67">'309'!$P$41</definedName>
    <definedName name="OSRRefP22_3x_0" localSheetId="66">'310'!$P$50</definedName>
    <definedName name="OSRRefP22_3x_0" localSheetId="76">'310 &amp; 491'!$P$60</definedName>
    <definedName name="OSRRefP22_3x_0" localSheetId="56">'311'!$P$81:$P$82</definedName>
    <definedName name="OSRRefP22_3x_0" localSheetId="68">'313'!$P$46</definedName>
    <definedName name="OSRRefP22_3x_0" localSheetId="54">'314'!$P$71:$P$72</definedName>
    <definedName name="OSRRefP22_3x_0" localSheetId="59">'315'!$P$73:$P$74</definedName>
    <definedName name="OSRRefP22_3x_0" localSheetId="62">'316'!$P$48</definedName>
    <definedName name="OSRRefP22_3x_0" localSheetId="65">'317'!$P$75</definedName>
    <definedName name="OSRRefP22_3x_0" localSheetId="63">'320'!$P$43</definedName>
    <definedName name="OSRRefP22_3x_0" localSheetId="69">'321'!$P$40</definedName>
    <definedName name="OSRRefP22_3x_0" localSheetId="70">'322'!$P$41</definedName>
    <definedName name="OSRRefP22_3x_0" localSheetId="72">'325'!$P$42</definedName>
    <definedName name="OSRRefP22_3x_0" localSheetId="60">'326'!$P$76</definedName>
    <definedName name="OSRRefP22_3x_0" localSheetId="52">'330'!$P$98</definedName>
    <definedName name="OSRRefP22_3x_0" localSheetId="58">'331'!$P$91</definedName>
    <definedName name="OSRRefP22_3x_0" localSheetId="61">'332'!$P$57</definedName>
    <definedName name="OSRRefP22_3x_0" localSheetId="78">'405'!$P$40</definedName>
    <definedName name="OSRRefP22_3x_0" localSheetId="79">'406'!$P$41</definedName>
    <definedName name="OSRRefP22_3x_0" localSheetId="80">'411'!$P$39:$P$41</definedName>
    <definedName name="OSRRefP22_3x_0" localSheetId="81">'412'!$P$42</definedName>
    <definedName name="OSRRefP22_3x_0" localSheetId="83">'413'!$P$41</definedName>
    <definedName name="OSRRefP22_3x_0" localSheetId="84">'414'!$P$42</definedName>
    <definedName name="OSRRefP22_3x_0" localSheetId="85">'415'!$P$42</definedName>
    <definedName name="OSRRefP22_3x_0" localSheetId="86">'418'!$P$42</definedName>
    <definedName name="OSRRefP22_3x_0" localSheetId="82">'420'!$P$37</definedName>
    <definedName name="OSRRefP22_3x_0" localSheetId="87">'423'!$P$34</definedName>
    <definedName name="OSRRefP22_3x_0" localSheetId="88">'424'!$P$35</definedName>
    <definedName name="OSRRefP22_3x_0" localSheetId="89">'425'!$P$44</definedName>
    <definedName name="OSRRefP22_3x_0" localSheetId="92">'430'!$P$33</definedName>
    <definedName name="OSRRefP22_3x_0" localSheetId="93">'433'!$P$45</definedName>
    <definedName name="OSRRefP22_3x_0" localSheetId="94">'435'!$P$34</definedName>
    <definedName name="OSRRefP22_3x_0" localSheetId="95">'444'!$P$44</definedName>
    <definedName name="OSRRefP22_3x_0" localSheetId="97">'450'!$P$44</definedName>
    <definedName name="OSRRefP22_3x_0" localSheetId="77">'491'!$P$53</definedName>
    <definedName name="OSRRefP22_3x_0" localSheetId="91">'492'!$P$48</definedName>
    <definedName name="OSRRefP22_3x_0" localSheetId="99">'501'!$P$39</definedName>
    <definedName name="OSRRefP22_3x_0" localSheetId="39">'Div 2'!$P$42</definedName>
    <definedName name="OSRRefP22_3x_0" localSheetId="47">'Div 3'!$P$187:$P$188</definedName>
    <definedName name="OSRRefP22_3x_0" localSheetId="75">'Div 4'!$P$54</definedName>
    <definedName name="OSRRefP22_3x_0" localSheetId="98">'Div 5'!$P$39</definedName>
    <definedName name="OSRRefP22_3x_0" localSheetId="64">'Div 6'!$P$75</definedName>
    <definedName name="OSRRefP22_3x_0" localSheetId="2">Summary!$P$221:$P$222</definedName>
    <definedName name="OSRRefP22_4x_0" localSheetId="40">'200'!$P$28:$P$29</definedName>
    <definedName name="OSRRefP22_4x_0" localSheetId="41">'201'!$P$38</definedName>
    <definedName name="OSRRefP22_4x_0" localSheetId="42">'202'!$P$38</definedName>
    <definedName name="OSRRefP22_4x_0" localSheetId="43">'203'!$P$40</definedName>
    <definedName name="OSRRefP22_4x_0" localSheetId="44">'204'!$P$41</definedName>
    <definedName name="OSRRefP22_4x_0" localSheetId="45">'205'!$P$35:$P$36</definedName>
    <definedName name="OSRRefP22_4x_0" localSheetId="46">'206'!$P$40</definedName>
    <definedName name="OSRRefP22_4x_0" localSheetId="48">'300'!$P$185</definedName>
    <definedName name="OSRRefP22_4x_0" localSheetId="49">'300 &amp; 317'!$P$210</definedName>
    <definedName name="OSRRefP22_4x_0" localSheetId="50">'301'!$P$42</definedName>
    <definedName name="OSRRefP22_4x_0" localSheetId="51">'306'!$P$40</definedName>
    <definedName name="OSRRefP22_4x_0" localSheetId="53">'307'!$P$91:$P$92</definedName>
    <definedName name="OSRRefP22_4x_0" localSheetId="55">'308'!$P$85</definedName>
    <definedName name="OSRRefP22_4x_0" localSheetId="67">'309'!$P$43</definedName>
    <definedName name="OSRRefP22_4x_0" localSheetId="66">'310'!$P$52</definedName>
    <definedName name="OSRRefP22_4x_0" localSheetId="76">'310 &amp; 491'!$P$62</definedName>
    <definedName name="OSRRefP22_4x_0" localSheetId="56">'311'!$P$84</definedName>
    <definedName name="OSRRefP22_4x_0" localSheetId="68">'313'!$P$48</definedName>
    <definedName name="OSRRefP22_4x_0" localSheetId="54">'314'!$P$74</definedName>
    <definedName name="OSRRefP22_4x_0" localSheetId="59">'315'!$P$76</definedName>
    <definedName name="OSRRefP22_4x_0" localSheetId="62">'316'!$P$50</definedName>
    <definedName name="OSRRefP22_4x_0" localSheetId="65">'317'!$P$77</definedName>
    <definedName name="OSRRefP22_4x_0" localSheetId="63">'320'!$P$45:$P$46</definedName>
    <definedName name="OSRRefP22_4x_0" localSheetId="69">'321'!$P$42</definedName>
    <definedName name="OSRRefP22_4x_0" localSheetId="70">'322'!$P$43</definedName>
    <definedName name="OSRRefP22_4x_0" localSheetId="72">'325'!$P$44</definedName>
    <definedName name="OSRRefP22_4x_0" localSheetId="60">'326'!$P$78</definedName>
    <definedName name="OSRRefP22_4x_0" localSheetId="52">'330'!$P$100:$P$101</definedName>
    <definedName name="OSRRefP22_4x_0" localSheetId="58">'331'!$P$93</definedName>
    <definedName name="OSRRefP22_4x_0" localSheetId="61">'332'!$P$59</definedName>
    <definedName name="OSRRefP22_4x_0" localSheetId="78">'405'!$P$42</definedName>
    <definedName name="OSRRefP22_4x_0" localSheetId="79">'406'!$P$43</definedName>
    <definedName name="OSRRefP22_4x_0" localSheetId="80">'411'!$P$43</definedName>
    <definedName name="OSRRefP22_4x_0" localSheetId="81">'412'!$P$44</definedName>
    <definedName name="OSRRefP22_4x_0" localSheetId="83">'413'!$P$43</definedName>
    <definedName name="OSRRefP22_4x_0" localSheetId="84">'414'!$P$44</definedName>
    <definedName name="OSRRefP22_4x_0" localSheetId="85">'415'!$P$44</definedName>
    <definedName name="OSRRefP22_4x_0" localSheetId="86">'418'!$P$44</definedName>
    <definedName name="OSRRefP22_4x_0" localSheetId="82">'420'!$P$39</definedName>
    <definedName name="OSRRefP22_4x_0" localSheetId="87">'423'!$P$36</definedName>
    <definedName name="OSRRefP22_4x_0" localSheetId="88">'424'!$P$37</definedName>
    <definedName name="OSRRefP22_4x_0" localSheetId="89">'425'!$P$46</definedName>
    <definedName name="OSRRefP22_4x_0" localSheetId="92">'430'!$P$35</definedName>
    <definedName name="OSRRefP22_4x_0" localSheetId="93">'433'!$P$47</definedName>
    <definedName name="OSRRefP22_4x_0" localSheetId="94">'435'!$P$36</definedName>
    <definedName name="OSRRefP22_4x_0" localSheetId="95">'444'!$P$46</definedName>
    <definedName name="OSRRefP22_4x_0" localSheetId="97">'450'!$P$46</definedName>
    <definedName name="OSRRefP22_4x_0" localSheetId="77">'491'!$P$55</definedName>
    <definedName name="OSRRefP22_4x_0" localSheetId="91">'492'!$P$50</definedName>
    <definedName name="OSRRefP22_4x_0" localSheetId="99">'501'!$P$41</definedName>
    <definedName name="OSRRefP22_4x_0" localSheetId="39">'Div 2'!$P$44</definedName>
    <definedName name="OSRRefP22_4x_0" localSheetId="47">'Div 3'!$P$190</definedName>
    <definedName name="OSRRefP22_4x_0" localSheetId="75">'Div 4'!$P$56</definedName>
    <definedName name="OSRRefP22_4x_0" localSheetId="98">'Div 5'!$P$41</definedName>
    <definedName name="OSRRefP22_4x_0" localSheetId="64">'Div 6'!$P$77</definedName>
    <definedName name="OSRRefP22_4x_0" localSheetId="2">Summary!$P$224</definedName>
    <definedName name="OSRRefP22_5x_0" localSheetId="41">'201'!$P$40</definedName>
    <definedName name="OSRRefP22_5x_0" localSheetId="42">'202'!$P$40</definedName>
    <definedName name="OSRRefP22_5x_0" localSheetId="43">'203'!$P$42</definedName>
    <definedName name="OSRRefP22_5x_0" localSheetId="44">'204'!$P$43</definedName>
    <definedName name="OSRRefP22_5x_0" localSheetId="45">'205'!$P$38</definedName>
    <definedName name="OSRRefP22_5x_0" localSheetId="46">'206'!$P$42:$P$43</definedName>
    <definedName name="OSRRefP22_5x_0" localSheetId="48">'300'!$P$187:$P$188</definedName>
    <definedName name="OSRRefP22_5x_0" localSheetId="49">'300 &amp; 317'!$P$212:$P$213</definedName>
    <definedName name="OSRRefP22_5x_0" localSheetId="50">'301'!$P$44:$P$45</definedName>
    <definedName name="OSRRefP22_5x_0" localSheetId="51">'306'!$P$42</definedName>
    <definedName name="OSRRefP22_5x_0" localSheetId="53">'307'!$P$94</definedName>
    <definedName name="OSRRefP22_5x_0" localSheetId="55">'308'!$P$87</definedName>
    <definedName name="OSRRefP22_5x_0" localSheetId="67">'309'!$P$45</definedName>
    <definedName name="OSRRefP22_5x_0" localSheetId="66">'310'!$P$54:$P$55</definedName>
    <definedName name="OSRRefP22_5x_0" localSheetId="76">'310 &amp; 491'!$P$64:$P$66</definedName>
    <definedName name="OSRRefP22_5x_0" localSheetId="56">'311'!$P$86</definedName>
    <definedName name="OSRRefP22_5x_0" localSheetId="68">'313'!$P$50</definedName>
    <definedName name="OSRRefP22_5x_0" localSheetId="54">'314'!$P$76</definedName>
    <definedName name="OSRRefP22_5x_0" localSheetId="59">'315'!$P$78:$P$79</definedName>
    <definedName name="OSRRefP22_5x_0" localSheetId="62">'316'!$P$52</definedName>
    <definedName name="OSRRefP22_5x_0" localSheetId="65">'317'!$P$79</definedName>
    <definedName name="OSRRefP22_5x_0" localSheetId="63">'320'!$P$48</definedName>
    <definedName name="OSRRefP22_5x_0" localSheetId="69">'321'!$P$44</definedName>
    <definedName name="OSRRefP22_5x_0" localSheetId="70">'322'!$P$45</definedName>
    <definedName name="OSRRefP22_5x_0" localSheetId="72">'325'!$P$46:$P$47</definedName>
    <definedName name="OSRRefP22_5x_0" localSheetId="60">'326'!$P$80</definedName>
    <definedName name="OSRRefP22_5x_0" localSheetId="52">'330'!$P$103</definedName>
    <definedName name="OSRRefP22_5x_0" localSheetId="58">'331'!$P$95:$P$96</definedName>
    <definedName name="OSRRefP22_5x_0" localSheetId="61">'332'!$P$61:$P$62</definedName>
    <definedName name="OSRRefP22_5x_0" localSheetId="78">'405'!$P$44:$P$45</definedName>
    <definedName name="OSRRefP22_5x_0" localSheetId="79">'406'!$P$45</definedName>
    <definedName name="OSRRefP22_5x_0" localSheetId="80">'411'!$P$45</definedName>
    <definedName name="OSRRefP22_5x_0" localSheetId="81">'412'!$P$46</definedName>
    <definedName name="OSRRefP22_5x_0" localSheetId="83">'413'!$P$45</definedName>
    <definedName name="OSRRefP22_5x_0" localSheetId="84">'414'!$P$46</definedName>
    <definedName name="OSRRefP22_5x_0" localSheetId="85">'415'!$P$46:$P$47</definedName>
    <definedName name="OSRRefP22_5x_0" localSheetId="86">'418'!$P$46:$P$47</definedName>
    <definedName name="OSRRefP22_5x_0" localSheetId="87">'423'!$P$38</definedName>
    <definedName name="OSRRefP22_5x_0" localSheetId="88">'424'!$P$39</definedName>
    <definedName name="OSRRefP22_5x_0" localSheetId="89">'425'!$P$48</definedName>
    <definedName name="OSRRefP22_5x_0" localSheetId="92">'430'!$P$37</definedName>
    <definedName name="OSRRefP22_5x_0" localSheetId="93">'433'!$P$49</definedName>
    <definedName name="OSRRefP22_5x_0" localSheetId="94">'435'!$P$38</definedName>
    <definedName name="OSRRefP22_5x_0" localSheetId="95">'444'!$P$48</definedName>
    <definedName name="OSRRefP22_5x_0" localSheetId="97">'450'!$P$48</definedName>
    <definedName name="OSRRefP22_5x_0" localSheetId="77">'491'!$P$57:$P$59</definedName>
    <definedName name="OSRRefP22_5x_0" localSheetId="91">'492'!$P$52</definedName>
    <definedName name="OSRRefP22_5x_0" localSheetId="99">'501'!$P$43</definedName>
    <definedName name="OSRRefP22_5x_0" localSheetId="39">'Div 2'!$P$46:$P$47</definedName>
    <definedName name="OSRRefP22_5x_0" localSheetId="47">'Div 3'!$P$192:$P$193</definedName>
    <definedName name="OSRRefP22_5x_0" localSheetId="75">'Div 4'!$P$58:$P$60</definedName>
    <definedName name="OSRRefP22_5x_0" localSheetId="98">'Div 5'!$P$43</definedName>
    <definedName name="OSRRefP22_5x_0" localSheetId="64">'Div 6'!$P$79</definedName>
    <definedName name="OSRRefP22_5x_0" localSheetId="2">Summary!$P$226:$P$228</definedName>
    <definedName name="OSRRefP22_6x_0" localSheetId="41">'201'!$P$42</definedName>
    <definedName name="OSRRefP22_6x_0" localSheetId="42">'202'!$P$42</definedName>
    <definedName name="OSRRefP22_6x_0" localSheetId="43">'203'!$P$44</definedName>
    <definedName name="OSRRefP22_6x_0" localSheetId="44">'204'!$P$45:$P$47</definedName>
    <definedName name="OSRRefP22_6x_0" localSheetId="45">'205'!$P$40:$P$41</definedName>
    <definedName name="OSRRefP22_6x_0" localSheetId="46">'206'!$P$45</definedName>
    <definedName name="OSRRefP22_6x_0" localSheetId="48">'300'!$P$190:$P$191</definedName>
    <definedName name="OSRRefP22_6x_0" localSheetId="49">'300 &amp; 317'!$P$215:$P$216</definedName>
    <definedName name="OSRRefP22_6x_0" localSheetId="50">'301'!$P$47:$P$48</definedName>
    <definedName name="OSRRefP22_6x_0" localSheetId="51">'306'!$P$44</definedName>
    <definedName name="OSRRefP22_6x_0" localSheetId="53">'307'!$P$96</definedName>
    <definedName name="OSRRefP22_6x_0" localSheetId="55">'308'!$P$89:$P$90</definedName>
    <definedName name="OSRRefP22_6x_0" localSheetId="67">'309'!$P$47</definedName>
    <definedName name="OSRRefP22_6x_0" localSheetId="66">'310'!$P$57</definedName>
    <definedName name="OSRRefP22_6x_0" localSheetId="76">'310 &amp; 491'!$P$68</definedName>
    <definedName name="OSRRefP22_6x_0" localSheetId="56">'311'!$P$88:$P$89</definedName>
    <definedName name="OSRRefP22_6x_0" localSheetId="68">'313'!$P$52</definedName>
    <definedName name="OSRRefP22_6x_0" localSheetId="54">'314'!$P$78</definedName>
    <definedName name="OSRRefP22_6x_0" localSheetId="59">'315'!$P$81</definedName>
    <definedName name="OSRRefP22_6x_0" localSheetId="62">'316'!$P$54</definedName>
    <definedName name="OSRRefP22_6x_0" localSheetId="65">'317'!$P$81</definedName>
    <definedName name="OSRRefP22_6x_0" localSheetId="63">'320'!$P$50</definedName>
    <definedName name="OSRRefP22_6x_0" localSheetId="69">'321'!$P$46:$P$48</definedName>
    <definedName name="OSRRefP22_6x_0" localSheetId="70">'322'!$P$47</definedName>
    <definedName name="OSRRefP22_6x_0" localSheetId="72">'325'!$P$49</definedName>
    <definedName name="OSRRefP22_6x_0" localSheetId="60">'326'!$P$82</definedName>
    <definedName name="OSRRefP22_6x_0" localSheetId="52">'330'!$P$105</definedName>
    <definedName name="OSRRefP22_6x_0" localSheetId="58">'331'!$P$98</definedName>
    <definedName name="OSRRefP22_6x_0" localSheetId="61">'332'!$P$64</definedName>
    <definedName name="OSRRefP22_6x_0" localSheetId="78">'405'!$P$47</definedName>
    <definedName name="OSRRefP22_6x_0" localSheetId="79">'406'!$P$47</definedName>
    <definedName name="OSRRefP22_6x_0" localSheetId="80">'411'!$P$47</definedName>
    <definedName name="OSRRefP22_6x_0" localSheetId="81">'412'!$P$48</definedName>
    <definedName name="OSRRefP22_6x_0" localSheetId="83">'413'!$P$47</definedName>
    <definedName name="OSRRefP22_6x_0" localSheetId="84">'414'!$P$48</definedName>
    <definedName name="OSRRefP22_6x_0" localSheetId="85">'415'!$P$49</definedName>
    <definedName name="OSRRefP22_6x_0" localSheetId="86">'418'!$P$49</definedName>
    <definedName name="OSRRefP22_6x_0" localSheetId="88">'424'!$P$41</definedName>
    <definedName name="OSRRefP22_6x_0" localSheetId="89">'425'!$P$50</definedName>
    <definedName name="OSRRefP22_6x_0" localSheetId="92">'430'!$P$39:$P$40</definedName>
    <definedName name="OSRRefP22_6x_0" localSheetId="93">'433'!$P$51</definedName>
    <definedName name="OSRRefP22_6x_0" localSheetId="94">'435'!$P$40</definedName>
    <definedName name="OSRRefP22_6x_0" localSheetId="95">'444'!$P$50</definedName>
    <definedName name="OSRRefP22_6x_0" localSheetId="97">'450'!$P$50</definedName>
    <definedName name="OSRRefP22_6x_0" localSheetId="77">'491'!$P$61</definedName>
    <definedName name="OSRRefP22_6x_0" localSheetId="91">'492'!$P$54</definedName>
    <definedName name="OSRRefP22_6x_0" localSheetId="99">'501'!$P$45</definedName>
    <definedName name="OSRRefP22_6x_0" localSheetId="39">'Div 2'!$P$49</definedName>
    <definedName name="OSRRefP22_6x_0" localSheetId="47">'Div 3'!$P$195:$P$196</definedName>
    <definedName name="OSRRefP22_6x_0" localSheetId="75">'Div 4'!$P$62</definedName>
    <definedName name="OSRRefP22_6x_0" localSheetId="98">'Div 5'!$P$45</definedName>
    <definedName name="OSRRefP22_6x_0" localSheetId="64">'Div 6'!$P$81</definedName>
    <definedName name="OSRRefP22_6x_0" localSheetId="2">Summary!$P$230:$P$231</definedName>
    <definedName name="OSRRefP22_7x_0" localSheetId="41">'201'!$P$44</definedName>
    <definedName name="OSRRefP22_7x_0" localSheetId="42">'202'!$P$44</definedName>
    <definedName name="OSRRefP22_7x_0" localSheetId="43">'203'!$P$46</definedName>
    <definedName name="OSRRefP22_7x_0" localSheetId="44">'204'!$P$49:$P$50</definedName>
    <definedName name="OSRRefP22_7x_0" localSheetId="45">'205'!$P$43</definedName>
    <definedName name="OSRRefP22_7x_0" localSheetId="46">'206'!$P$47</definedName>
    <definedName name="OSRRefP22_7x_0" localSheetId="48">'300'!$P$193</definedName>
    <definedName name="OSRRefP22_7x_0" localSheetId="49">'300 &amp; 317'!$P$218</definedName>
    <definedName name="OSRRefP22_7x_0" localSheetId="50">'301'!$P$50</definedName>
    <definedName name="OSRRefP22_7x_0" localSheetId="51">'306'!$P$46:$P$47</definedName>
    <definedName name="OSRRefP22_7x_0" localSheetId="53">'307'!$P$98</definedName>
    <definedName name="OSRRefP22_7x_0" localSheetId="55">'308'!$P$92</definedName>
    <definedName name="OSRRefP22_7x_0" localSheetId="67">'309'!$P$49:$P$50</definedName>
    <definedName name="OSRRefP22_7x_0" localSheetId="66">'310'!$P$59</definedName>
    <definedName name="OSRRefP22_7x_0" localSheetId="76">'310 &amp; 491'!$P$70</definedName>
    <definedName name="OSRRefP22_7x_0" localSheetId="56">'311'!$P$91</definedName>
    <definedName name="OSRRefP22_7x_0" localSheetId="68">'313'!$P$54</definedName>
    <definedName name="OSRRefP22_7x_0" localSheetId="54">'314'!$P$80:$P$81</definedName>
    <definedName name="OSRRefP22_7x_0" localSheetId="59">'315'!$P$83</definedName>
    <definedName name="OSRRefP22_7x_0" localSheetId="62">'316'!$P$56:$P$57</definedName>
    <definedName name="OSRRefP22_7x_0" localSheetId="65">'317'!$P$83</definedName>
    <definedName name="OSRRefP22_7x_0" localSheetId="63">'320'!$P$52:$P$53</definedName>
    <definedName name="OSRRefP22_7x_0" localSheetId="69">'321'!$P$50</definedName>
    <definedName name="OSRRefP22_7x_0" localSheetId="70">'322'!$P$49</definedName>
    <definedName name="OSRRefP22_7x_0" localSheetId="72">'325'!$P$51</definedName>
    <definedName name="OSRRefP22_7x_0" localSheetId="60">'326'!$P$84</definedName>
    <definedName name="OSRRefP22_7x_0" localSheetId="52">'330'!$P$107</definedName>
    <definedName name="OSRRefP22_7x_0" localSheetId="58">'331'!$P$100</definedName>
    <definedName name="OSRRefP22_7x_0" localSheetId="61">'332'!$P$66</definedName>
    <definedName name="OSRRefP22_7x_0" localSheetId="78">'405'!$P$49</definedName>
    <definedName name="OSRRefP22_7x_0" localSheetId="79">'406'!$P$49</definedName>
    <definedName name="OSRRefP22_7x_0" localSheetId="80">'411'!$P$49</definedName>
    <definedName name="OSRRefP22_7x_0" localSheetId="81">'412'!$P$50</definedName>
    <definedName name="OSRRefP22_7x_0" localSheetId="83">'413'!$P$49:$P$51</definedName>
    <definedName name="OSRRefP22_7x_0" localSheetId="84">'414'!$P$50</definedName>
    <definedName name="OSRRefP22_7x_0" localSheetId="85">'415'!$P$51</definedName>
    <definedName name="OSRRefP22_7x_0" localSheetId="86">'418'!$P$51</definedName>
    <definedName name="OSRRefP22_7x_0" localSheetId="88">'424'!$P$43:$P$44</definedName>
    <definedName name="OSRRefP22_7x_0" localSheetId="89">'425'!$P$52</definedName>
    <definedName name="OSRRefP22_7x_0" localSheetId="92">'430'!$P$42</definedName>
    <definedName name="OSRRefP22_7x_0" localSheetId="93">'433'!$P$53</definedName>
    <definedName name="OSRRefP22_7x_0" localSheetId="94">'435'!$P$42:$P$45</definedName>
    <definedName name="OSRRefP22_7x_0" localSheetId="95">'444'!$P$52</definedName>
    <definedName name="OSRRefP22_7x_0" localSheetId="97">'450'!$P$52</definedName>
    <definedName name="OSRRefP22_7x_0" localSheetId="77">'491'!$P$63</definedName>
    <definedName name="OSRRefP22_7x_0" localSheetId="91">'492'!$P$56</definedName>
    <definedName name="OSRRefP22_7x_0" localSheetId="99">'501'!$P$47</definedName>
    <definedName name="OSRRefP22_7x_0" localSheetId="39">'Div 2'!$P$51</definedName>
    <definedName name="OSRRefP22_7x_0" localSheetId="47">'Div 3'!$P$198</definedName>
    <definedName name="OSRRefP22_7x_0" localSheetId="75">'Div 4'!$P$64</definedName>
    <definedName name="OSRRefP22_7x_0" localSheetId="98">'Div 5'!$P$47</definedName>
    <definedName name="OSRRefP22_7x_0" localSheetId="64">'Div 6'!$P$83</definedName>
    <definedName name="OSRRefP22_7x_0" localSheetId="2">Summary!$P$233</definedName>
    <definedName name="OSRRefP22_8x_0" localSheetId="41">'201'!$P$46</definedName>
    <definedName name="OSRRefP22_8x_0" localSheetId="42">'202'!$P$46</definedName>
    <definedName name="OSRRefP22_8x_0" localSheetId="43">'203'!$P$48</definedName>
    <definedName name="OSRRefP22_8x_0" localSheetId="44">'204'!$P$52:$P$53</definedName>
    <definedName name="OSRRefP22_8x_0" localSheetId="45">'205'!$P$45</definedName>
    <definedName name="OSRRefP22_8x_0" localSheetId="48">'300'!$P$195</definedName>
    <definedName name="OSRRefP22_8x_0" localSheetId="49">'300 &amp; 317'!$P$220</definedName>
    <definedName name="OSRRefP22_8x_0" localSheetId="50">'301'!$P$52</definedName>
    <definedName name="OSRRefP22_8x_0" localSheetId="51">'306'!$P$49:$P$53</definedName>
    <definedName name="OSRRefP22_8x_0" localSheetId="53">'307'!$P$100</definedName>
    <definedName name="OSRRefP22_8x_0" localSheetId="55">'308'!$P$94</definedName>
    <definedName name="OSRRefP22_8x_0" localSheetId="67">'309'!$P$52:$P$54</definedName>
    <definedName name="OSRRefP22_8x_0" localSheetId="66">'310'!$P$61</definedName>
    <definedName name="OSRRefP22_8x_0" localSheetId="76">'310 &amp; 491'!$P$72</definedName>
    <definedName name="OSRRefP22_8x_0" localSheetId="56">'311'!$P$93</definedName>
    <definedName name="OSRRefP22_8x_0" localSheetId="68">'313'!$P$56</definedName>
    <definedName name="OSRRefP22_8x_0" localSheetId="54">'314'!$P$83</definedName>
    <definedName name="OSRRefP22_8x_0" localSheetId="59">'315'!$P$85:$P$86</definedName>
    <definedName name="OSRRefP22_8x_0" localSheetId="62">'316'!$P$59</definedName>
    <definedName name="OSRRefP22_8x_0" localSheetId="65">'317'!$P$85</definedName>
    <definedName name="OSRRefP22_8x_0" localSheetId="63">'320'!$P$55</definedName>
    <definedName name="OSRRefP22_8x_0" localSheetId="69">'321'!$P$52:$P$54</definedName>
    <definedName name="OSRRefP22_8x_0" localSheetId="70">'322'!$P$51</definedName>
    <definedName name="OSRRefP22_8x_0" localSheetId="72">'325'!$P$53</definedName>
    <definedName name="OSRRefP22_8x_0" localSheetId="60">'326'!$P$86</definedName>
    <definedName name="OSRRefP22_8x_0" localSheetId="52">'330'!$P$109</definedName>
    <definedName name="OSRRefP22_8x_0" localSheetId="58">'331'!$P$102:$P$103</definedName>
    <definedName name="OSRRefP22_8x_0" localSheetId="61">'332'!$P$68:$P$69</definedName>
    <definedName name="OSRRefP22_8x_0" localSheetId="78">'405'!$P$51</definedName>
    <definedName name="OSRRefP22_8x_0" localSheetId="79">'406'!$P$51</definedName>
    <definedName name="OSRRefP22_8x_0" localSheetId="80">'411'!$P$51</definedName>
    <definedName name="OSRRefP22_8x_0" localSheetId="81">'412'!$P$52:$P$53</definedName>
    <definedName name="OSRRefP22_8x_0" localSheetId="83">'413'!$P$53:$P$54</definedName>
    <definedName name="OSRRefP22_8x_0" localSheetId="84">'414'!$P$52</definedName>
    <definedName name="OSRRefP22_8x_0" localSheetId="85">'415'!$P$53</definedName>
    <definedName name="OSRRefP22_8x_0" localSheetId="86">'418'!$P$53</definedName>
    <definedName name="OSRRefP22_8x_0" localSheetId="88">'424'!$P$46</definedName>
    <definedName name="OSRRefP22_8x_0" localSheetId="89">'425'!$P$54</definedName>
    <definedName name="OSRRefP22_8x_0" localSheetId="92">'430'!$P$44</definedName>
    <definedName name="OSRRefP22_8x_0" localSheetId="93">'433'!$P$55</definedName>
    <definedName name="OSRRefP22_8x_0" localSheetId="94">'435'!$P$47</definedName>
    <definedName name="OSRRefP22_8x_0" localSheetId="95">'444'!$P$54</definedName>
    <definedName name="OSRRefP22_8x_0" localSheetId="97">'450'!$P$54</definedName>
    <definedName name="OSRRefP22_8x_0" localSheetId="77">'491'!$P$65</definedName>
    <definedName name="OSRRefP22_8x_0" localSheetId="91">'492'!$P$58</definedName>
    <definedName name="OSRRefP22_8x_0" localSheetId="99">'501'!$P$49</definedName>
    <definedName name="OSRRefP22_8x_0" localSheetId="39">'Div 2'!$P$53</definedName>
    <definedName name="OSRRefP22_8x_0" localSheetId="47">'Div 3'!$P$200</definedName>
    <definedName name="OSRRefP22_8x_0" localSheetId="75">'Div 4'!$P$66</definedName>
    <definedName name="OSRRefP22_8x_0" localSheetId="98">'Div 5'!$P$49</definedName>
    <definedName name="OSRRefP22_8x_0" localSheetId="64">'Div 6'!$P$85</definedName>
    <definedName name="OSRRefP22_8x_0" localSheetId="2">Summary!$P$235</definedName>
    <definedName name="OSRRefP22_9x_0" localSheetId="41">'201'!$P$48</definedName>
    <definedName name="OSRRefP22_9x_0" localSheetId="42">'202'!$P$48:$P$50</definedName>
    <definedName name="OSRRefP22_9x_0" localSheetId="43">'203'!$P$50:$P$52</definedName>
    <definedName name="OSRRefP22_9x_0" localSheetId="44">'204'!$P$55</definedName>
    <definedName name="OSRRefP22_9x_0" localSheetId="48">'300'!$P$197</definedName>
    <definedName name="OSRRefP22_9x_0" localSheetId="49">'300 &amp; 317'!$P$222</definedName>
    <definedName name="OSRRefP22_9x_0" localSheetId="50">'301'!$P$54</definedName>
    <definedName name="OSRRefP22_9x_0" localSheetId="51">'306'!$P$55</definedName>
    <definedName name="OSRRefP22_9x_0" localSheetId="53">'307'!$P$102:$P$103</definedName>
    <definedName name="OSRRefP22_9x_0" localSheetId="55">'308'!$P$96:$P$97</definedName>
    <definedName name="OSRRefP22_9x_0" localSheetId="67">'309'!$P$56</definedName>
    <definedName name="OSRRefP22_9x_0" localSheetId="66">'310'!$P$63</definedName>
    <definedName name="OSRRefP22_9x_0" localSheetId="76">'310 &amp; 491'!$P$74</definedName>
    <definedName name="OSRRefP22_9x_0" localSheetId="56">'311'!$P$95:$P$96</definedName>
    <definedName name="OSRRefP22_9x_0" localSheetId="68">'313'!$P$58:$P$60</definedName>
    <definedName name="OSRRefP22_9x_0" localSheetId="59">'315'!$P$88:$P$89</definedName>
    <definedName name="OSRRefP22_9x_0" localSheetId="62">'316'!$P$61:$P$64</definedName>
    <definedName name="OSRRefP22_9x_0" localSheetId="65">'317'!$P$87:$P$88</definedName>
    <definedName name="OSRRefP22_9x_0" localSheetId="69">'321'!$P$56:$P$60</definedName>
    <definedName name="OSRRefP22_9x_0" localSheetId="70">'322'!$P$53:$P$54</definedName>
    <definedName name="OSRRefP22_9x_0" localSheetId="72">'325'!$P$55</definedName>
    <definedName name="OSRRefP22_9x_0" localSheetId="60">'326'!$P$88</definedName>
    <definedName name="OSRRefP22_9x_0" localSheetId="52">'330'!$P$111</definedName>
    <definedName name="OSRRefP22_9x_0" localSheetId="58">'331'!$P$105</definedName>
    <definedName name="OSRRefP22_9x_0" localSheetId="61">'332'!$P$71</definedName>
    <definedName name="OSRRefP22_9x_0" localSheetId="78">'405'!$P$53</definedName>
    <definedName name="OSRRefP22_9x_0" localSheetId="79">'406'!$P$53:$P$55</definedName>
    <definedName name="OSRRefP22_9x_0" localSheetId="80">'411'!$P$53</definedName>
    <definedName name="OSRRefP22_9x_0" localSheetId="81">'412'!$P$55</definedName>
    <definedName name="OSRRefP22_9x_0" localSheetId="83">'413'!$P$56:$P$60</definedName>
    <definedName name="OSRRefP22_9x_0" localSheetId="84">'414'!$P$54:$P$55</definedName>
    <definedName name="OSRRefP22_9x_0" localSheetId="85">'415'!$P$55</definedName>
    <definedName name="OSRRefP22_9x_0" localSheetId="86">'418'!$P$55:$P$56</definedName>
    <definedName name="OSRRefP22_9x_0" localSheetId="88">'424'!$P$48</definedName>
    <definedName name="OSRRefP22_9x_0" localSheetId="89">'425'!$P$56:$P$58</definedName>
    <definedName name="OSRRefP22_9x_0" localSheetId="92">'430'!$P$46</definedName>
    <definedName name="OSRRefP22_9x_0" localSheetId="93">'433'!$P$57</definedName>
    <definedName name="OSRRefP22_9x_0" localSheetId="95">'444'!$P$56</definedName>
    <definedName name="OSRRefP22_9x_0" localSheetId="97">'450'!$P$56</definedName>
    <definedName name="OSRRefP22_9x_0" localSheetId="77">'491'!$P$67</definedName>
    <definedName name="OSRRefP22_9x_0" localSheetId="91">'492'!$P$60</definedName>
    <definedName name="OSRRefP22_9x_0" localSheetId="99">'501'!$P$51</definedName>
    <definedName name="OSRRefP22_9x_0" localSheetId="39">'Div 2'!$P$55</definedName>
    <definedName name="OSRRefP22_9x_0" localSheetId="47">'Div 3'!$P$202</definedName>
    <definedName name="OSRRefP22_9x_0" localSheetId="75">'Div 4'!$P$68</definedName>
    <definedName name="OSRRefP22_9x_0" localSheetId="98">'Div 5'!$P$51</definedName>
    <definedName name="OSRRefP22_9x_0" localSheetId="64">'Div 6'!$P$87:$P$88</definedName>
    <definedName name="OSRRefP22_9x_0" localSheetId="2">Summary!$P$237</definedName>
    <definedName name="OSRRefP22x_0" localSheetId="40">'200'!$P$20,'200'!$P$22,'200'!$P$24,'200'!$P$26,'200'!$P$28:$P$29</definedName>
    <definedName name="OSRRefP22x_0" localSheetId="41">'201'!$P$20:$P$28,'201'!$P$30:$P$32,'201'!$P$34,'201'!$P$36,'201'!$P$38,'201'!$P$40,'201'!$P$42,'201'!$P$44,'201'!$P$46,'201'!$P$48,'201'!$P$50:$P$52,'201'!$P$54:$P$56,'201'!$P$58,'201'!$P$60:$P$62,'201'!$P$64,'201'!$P$66,'201'!$P$68:$P$69</definedName>
    <definedName name="OSRRefP22x_0" localSheetId="42">'202'!$P$20:$P$27,'202'!$P$29:$P$32,'202'!$P$34,'202'!$P$36,'202'!$P$38,'202'!$P$40,'202'!$P$42,'202'!$P$44,'202'!$P$46,'202'!$P$48:$P$50,'202'!$P$52,'202'!$P$54,'202'!$P$56:$P$58,'202'!$P$60,'202'!$P$62</definedName>
    <definedName name="OSRRefP22x_0" localSheetId="43">'203'!$P$20:$P$29,'203'!$P$31:$P$34,'203'!$P$36,'203'!$P$38,'203'!$P$40,'203'!$P$42,'203'!$P$44,'203'!$P$46,'203'!$P$48,'203'!$P$50:$P$52,'203'!$P$54:$P$55,'203'!$P$57,'203'!$P$59:$P$61,'203'!$P$63,'203'!$P$65,'203'!$P$67</definedName>
    <definedName name="OSRRefP22x_0" localSheetId="44">'204'!$P$20:$P$28,'204'!$P$30:$P$34,'204'!$P$36,'204'!$P$38:$P$39,'204'!$P$41,'204'!$P$43,'204'!$P$45:$P$47,'204'!$P$49:$P$50,'204'!$P$52:$P$53,'204'!$P$55,'204'!$P$57:$P$58</definedName>
    <definedName name="OSRRefP22x_0" localSheetId="45">'205'!$P$20:$P$27,'205'!$P$29,'205'!$P$31,'205'!$P$33,'205'!$P$35:$P$36,'205'!$P$38,'205'!$P$40:$P$41,'205'!$P$43,'205'!$P$45</definedName>
    <definedName name="OSRRefP22x_0" localSheetId="46">'206'!$P$20:$P$27,'206'!$P$29:$P$34,'206'!$P$36,'206'!$P$38,'206'!$P$40,'206'!$P$42:$P$43,'206'!$P$45,'206'!$P$47</definedName>
    <definedName name="OSRRefP22x_0" localSheetId="48">'300'!$P$162:$P$170,'300'!$P$172:$P$178,'300'!$P$180,'300'!$P$182:$P$183,'300'!$P$185,'300'!$P$187:$P$188,'300'!$P$190:$P$191,'300'!$P$193,'300'!$P$195,'300'!$P$197,'300'!$P$199:$P$200,'300'!$P$202,'300'!$P$204,'300'!$P$206,'300'!$P$208,'300'!$P$210,'300'!$P$212:$P$214,'300'!$P$216:$P$218,'300'!$P$220:$P$223,'300'!$P$225:$P$226,'300'!$P$228:$P$234,'300'!$P$236:$P$237,'300'!$P$239,'300'!$P$241:$P$243,'300'!$P$245</definedName>
    <definedName name="OSRRefP22x_0" localSheetId="49">'300 &amp; 317'!$P$187:$P$195,'300 &amp; 317'!$P$197:$P$203,'300 &amp; 317'!$P$205,'300 &amp; 317'!$P$207:$P$208,'300 &amp; 317'!$P$210,'300 &amp; 317'!$P$212:$P$213,'300 &amp; 317'!$P$215:$P$216,'300 &amp; 317'!$P$218,'300 &amp; 317'!$P$220,'300 &amp; 317'!$P$222,'300 &amp; 317'!$P$224:$P$225,'300 &amp; 317'!$P$227,'300 &amp; 317'!$P$229,'300 &amp; 317'!$P$231,'300 &amp; 317'!$P$233,'300 &amp; 317'!$P$235,'300 &amp; 317'!$P$237:$P$239,'300 &amp; 317'!$P$241:$P$243,'300 &amp; 317'!$P$245:$P$248,'300 &amp; 317'!$P$250:$P$251,'300 &amp; 317'!$P$253:$P$259,'300 &amp; 317'!$P$261:$P$262,'300 &amp; 317'!$P$264,'300 &amp; 317'!$P$266:$P$268,'300 &amp; 317'!$P$270</definedName>
    <definedName name="OSRRefP22x_0" localSheetId="50">'301'!$P$20:$P$27,'301'!$P$29:$P$35,'301'!$P$37,'301'!$P$39:$P$40,'301'!$P$42,'301'!$P$44:$P$45,'301'!$P$47:$P$48,'301'!$P$50,'301'!$P$52,'301'!$P$54,'301'!$P$56,'301'!$P$58,'301'!$P$60,'301'!$P$62,'301'!$P$64:$P$66,'301'!$P$68:$P$70,'301'!$P$72,'301'!$P$74:$P$78,'301'!$P$80,'301'!$P$82,'301'!$P$84:$P$86,'301'!$P$88</definedName>
    <definedName name="OSRRefP22x_0" localSheetId="51">'306'!$P$20:$P$28,'306'!$P$30:$P$34,'306'!$P$36,'306'!$P$38,'306'!$P$40,'306'!$P$42,'306'!$P$44,'306'!$P$46:$P$47,'306'!$P$49:$P$53,'306'!$P$55,'306'!$P$57</definedName>
    <definedName name="OSRRefP22x_0" localSheetId="53">'307'!$P$73:$P$80,'307'!$P$82:$P$85,'307'!$P$87,'307'!$P$89,'307'!$P$91:$P$92,'307'!$P$94,'307'!$P$96,'307'!$P$98,'307'!$P$100,'307'!$P$102:$P$103,'307'!$P$105:$P$106,'307'!$P$108:$P$109,'307'!$P$111,'307'!$P$113</definedName>
    <definedName name="OSRRefP22x_0" localSheetId="55">'308'!$P$64:$P$72,'308'!$P$74:$P$78,'308'!$P$80,'308'!$P$82:$P$83,'308'!$P$85,'308'!$P$87,'308'!$P$89:$P$90,'308'!$P$92,'308'!$P$94,'308'!$P$96:$P$97,'308'!$P$99,'308'!$P$101:$P$104,'308'!$P$106:$P$107,'308'!$P$109,'308'!$P$111</definedName>
    <definedName name="OSRRefP22x_0" localSheetId="67">'309'!$P$24:$P$31,'309'!$P$33:$P$37,'309'!$P$39,'309'!$P$41,'309'!$P$43,'309'!$P$45,'309'!$P$47,'309'!$P$49:$P$50,'309'!$P$52:$P$54,'309'!$P$56,'309'!$P$58:$P$63,'309'!$P$65</definedName>
    <definedName name="OSRRefP22x_0" localSheetId="66">'310'!$P$32:$P$39,'310'!$P$41:$P$46,'310'!$P$48,'310'!$P$50,'310'!$P$52,'310'!$P$54:$P$55,'310'!$P$57,'310'!$P$59,'310'!$P$61,'310'!$P$63,'310'!$P$65,'310'!$P$67,'310'!$P$69,'310'!$P$71,'310'!$P$73:$P$75,'310'!$P$77,'310'!$P$79:$P$82,'310'!$P$84:$P$85,'310'!$P$87:$P$93,'310'!$P$95,'310'!$P$97,'310'!$P$99</definedName>
    <definedName name="OSRRefP22x_0" localSheetId="76">'310 &amp; 491'!$P$40:$P$48,'310 &amp; 491'!$P$50:$P$56,'310 &amp; 491'!$P$58,'310 &amp; 491'!$P$60,'310 &amp; 491'!$P$62,'310 &amp; 491'!$P$64:$P$66,'310 &amp; 491'!$P$68,'310 &amp; 491'!$P$70,'310 &amp; 491'!$P$72,'310 &amp; 491'!$P$74,'310 &amp; 491'!$P$76:$P$77,'310 &amp; 491'!$P$79:$P$80,'310 &amp; 491'!$P$82,'310 &amp; 491'!$P$84,'310 &amp; 491'!$P$86,'310 &amp; 491'!$P$88,'310 &amp; 491'!$P$90:$P$92,'310 &amp; 491'!$P$94:$P$95,'310 &amp; 491'!$P$97:$P$101,'310 &amp; 491'!$P$103:$P$104,'310 &amp; 491'!$P$106:$P$113,'310 &amp; 491'!$P$115,'310 &amp; 491'!$P$117,'310 &amp; 491'!$P$119:$P$121,'310 &amp; 491'!$P$123</definedName>
    <definedName name="OSRRefP22x_0" localSheetId="56">'311'!$P$63:$P$71,'311'!$P$73:$P$77,'311'!$P$79,'311'!$P$81:$P$82,'311'!$P$84,'311'!$P$86,'311'!$P$88:$P$89,'311'!$P$91,'311'!$P$93,'311'!$P$95:$P$96,'311'!$P$98,'311'!$P$100:$P$103,'311'!$P$105:$P$106,'311'!$P$108,'311'!$P$110</definedName>
    <definedName name="OSRRefP22x_0" localSheetId="68">'313'!$P$29:$P$36,'313'!$P$38:$P$42,'313'!$P$44,'313'!$P$46,'313'!$P$48,'313'!$P$50,'313'!$P$52,'313'!$P$54,'313'!$P$56,'313'!$P$58:$P$60,'313'!$P$62,'313'!$P$64,'313'!$P$66:$P$71,'313'!$P$73,'313'!$P$75</definedName>
    <definedName name="OSRRefP22x_0" localSheetId="54">'314'!$P$56:$P$62,'314'!$P$64:$P$67,'314'!$P$69,'314'!$P$71:$P$72,'314'!$P$74,'314'!$P$76,'314'!$P$78,'314'!$P$80:$P$81,'314'!$P$83</definedName>
    <definedName name="OSRRefP22x_0" localSheetId="59">'315'!$P$55:$P$62,'315'!$P$64:$P$69,'315'!$P$71,'315'!$P$73:$P$74,'315'!$P$76,'315'!$P$78:$P$79,'315'!$P$81,'315'!$P$83,'315'!$P$85:$P$86,'315'!$P$88:$P$89,'315'!$P$91:$P$92,'315'!$P$94:$P$98,'315'!$P$100,'315'!$P$102,'315'!$P$104:$P$105</definedName>
    <definedName name="OSRRefP22x_0" localSheetId="62">'316'!$P$32:$P$39,'316'!$P$41:$P$44,'316'!$P$46,'316'!$P$48,'316'!$P$50,'316'!$P$52,'316'!$P$54,'316'!$P$56:$P$57,'316'!$P$59,'316'!$P$61:$P$64,'316'!$P$66,'316'!$P$68</definedName>
    <definedName name="OSRRefP22x_0" localSheetId="65">'317'!$P$58:$P$66,'317'!$P$68:$P$71,'317'!$P$73,'317'!$P$75,'317'!$P$77,'317'!$P$79,'317'!$P$81,'317'!$P$83,'317'!$P$85,'317'!$P$87:$P$88,'317'!$P$90,'317'!$P$92,'317'!$P$94</definedName>
    <definedName name="OSRRefP22x_0" localSheetId="63">'320'!$P$29:$P$35,'320'!$P$37:$P$39,'320'!$P$41,'320'!$P$43,'320'!$P$45:$P$46,'320'!$P$48,'320'!$P$50,'320'!$P$52:$P$53,'320'!$P$55</definedName>
    <definedName name="OSRRefP22x_0" localSheetId="69">'321'!$P$24:$P$30,'321'!$P$32:$P$36,'321'!$P$38,'321'!$P$40,'321'!$P$42,'321'!$P$44,'321'!$P$46:$P$48,'321'!$P$50,'321'!$P$52:$P$54,'321'!$P$56:$P$60,'321'!$P$62,'321'!$P$64,'321'!$P$66</definedName>
    <definedName name="OSRRefP22x_0" localSheetId="70">'322'!$P$24:$P$31,'322'!$P$33:$P$37,'322'!$P$39,'322'!$P$41,'322'!$P$43,'322'!$P$45,'322'!$P$47,'322'!$P$49,'322'!$P$51,'322'!$P$53:$P$54,'322'!$P$56:$P$58,'322'!$P$60,'322'!$P$62:$P$67,'322'!$P$69,'322'!$P$71</definedName>
    <definedName name="OSRRefP22x_0" localSheetId="57">'324'!$P$25</definedName>
    <definedName name="OSRRefP22x_0" localSheetId="72">'325'!$P$24:$P$31,'325'!$P$33:$P$38,'325'!$P$40,'325'!$P$42,'325'!$P$44,'325'!$P$46:$P$47,'325'!$P$49,'325'!$P$51,'325'!$P$53,'325'!$P$55,'325'!$P$57,'325'!$P$59:$P$61,'325'!$P$63:$P$65,'325'!$P$67,'325'!$P$69:$P$74,'325'!$P$76,'325'!$P$78</definedName>
    <definedName name="OSRRefP22x_0" localSheetId="60">'326'!$P$60:$P$67,'326'!$P$69:$P$72,'326'!$P$74,'326'!$P$76,'326'!$P$78,'326'!$P$80,'326'!$P$82,'326'!$P$84,'326'!$P$86,'326'!$P$88,'326'!$P$90,'326'!$P$92,'326'!$P$94,'326'!$P$96:$P$97,'326'!$P$99:$P$101,'326'!$P$103,'326'!$P$105:$P$109,'326'!$P$111,'326'!$P$113,'326'!$P$115</definedName>
    <definedName name="OSRRefP22x_0" localSheetId="73">'327'!$P$22,'327'!$P$24,'327'!$P$26</definedName>
    <definedName name="OSRRefP22x_0" localSheetId="52">'330'!$P$81:$P$88,'330'!$P$90:$P$94,'330'!$P$96,'330'!$P$98,'330'!$P$100:$P$101,'330'!$P$103,'330'!$P$105,'330'!$P$107,'330'!$P$109,'330'!$P$111,'330'!$P$113,'330'!$P$115:$P$116,'330'!$P$118:$P$119,'330'!$P$121,'330'!$P$123:$P$125,'330'!$P$127,'330'!$P$129</definedName>
    <definedName name="OSRRefP22x_0" localSheetId="58">'331'!$P$73:$P$80,'331'!$P$82:$P$87,'331'!$P$89,'331'!$P$91,'331'!$P$93,'331'!$P$95:$P$96,'331'!$P$98,'331'!$P$100,'331'!$P$102:$P$103,'331'!$P$105,'331'!$P$107,'331'!$P$109,'331'!$P$111,'331'!$P$113,'331'!$P$115:$P$117,'331'!$P$119:$P$120,'331'!$P$122:$P$124,'331'!$P$126:$P$127,'331'!$P$129:$P$134,'331'!$P$136,'331'!$P$138,'331'!$P$140:$P$141,'331'!$P$143</definedName>
    <definedName name="OSRRefP22x_0" localSheetId="61">'332'!$P$41:$P$48,'332'!$P$50:$P$53,'332'!$P$55,'332'!$P$57,'332'!$P$59,'332'!$P$61:$P$62,'332'!$P$64,'332'!$P$66,'332'!$P$68:$P$69,'332'!$P$71,'332'!$P$73:$P$77,'332'!$P$79,'332'!$P$81</definedName>
    <definedName name="OSRRefP22x_0" localSheetId="74">'335'!$P$20</definedName>
    <definedName name="OSRRefP22x_0" localSheetId="78">'405'!$P$24:$P$31,'405'!$P$33:$P$36,'405'!$P$38,'405'!$P$40,'405'!$P$42,'405'!$P$44:$P$45,'405'!$P$47,'405'!$P$49,'405'!$P$51,'405'!$P$53,'405'!$P$55:$P$56,'405'!$P$58,'405'!$P$60:$P$62,'405'!$P$64,'405'!$P$66:$P$72,'405'!$P$74,'405'!$P$76,'405'!$P$78</definedName>
    <definedName name="OSRRefP22x_0" localSheetId="79">'406'!$P$24:$P$31,'406'!$P$33:$P$37,'406'!$P$39,'406'!$P$41,'406'!$P$43,'406'!$P$45,'406'!$P$47,'406'!$P$49,'406'!$P$51,'406'!$P$53:$P$55,'406'!$P$57:$P$58,'406'!$P$60:$P$65,'406'!$P$67,'406'!$P$69</definedName>
    <definedName name="OSRRefP22x_0" localSheetId="80">'411'!$P$20:$P$28,'411'!$P$30:$P$35,'411'!$P$37,'411'!$P$39:$P$41,'411'!$P$43,'411'!$P$45,'411'!$P$47,'411'!$P$49,'411'!$P$51,'411'!$P$53,'411'!$P$55,'411'!$P$57:$P$59,'411'!$P$61:$P$65,'411'!$P$67:$P$73,'411'!$P$75,'411'!$P$77,'411'!$P$79:$P$81,'411'!$P$83</definedName>
    <definedName name="OSRRefP22x_0" localSheetId="81">'412'!$P$24:$P$31,'412'!$P$33:$P$38,'412'!$P$40,'412'!$P$42,'412'!$P$44,'412'!$P$46,'412'!$P$48,'412'!$P$50,'412'!$P$52:$P$53,'412'!$P$55,'412'!$P$57:$P$59,'412'!$P$61:$P$67,'412'!$P$69,'412'!$P$71</definedName>
    <definedName name="OSRRefP22x_0" localSheetId="83">'413'!$P$24:$P$31,'413'!$P$33:$P$37,'413'!$P$39,'413'!$P$41,'413'!$P$43,'413'!$P$45,'413'!$P$47,'413'!$P$49:$P$51,'413'!$P$53:$P$54,'413'!$P$56:$P$60,'413'!$P$62</definedName>
    <definedName name="OSRRefP22x_0" localSheetId="84">'414'!$P$24:$P$31,'414'!$P$33:$P$38,'414'!$P$40,'414'!$P$42,'414'!$P$44,'414'!$P$46,'414'!$P$48,'414'!$P$50,'414'!$P$52,'414'!$P$54:$P$55,'414'!$P$57,'414'!$P$59,'414'!$P$61,'414'!$P$63:$P$69,'414'!$P$71,'414'!$P$73</definedName>
    <definedName name="OSRRefP22x_0" localSheetId="85">'415'!$P$24:$P$31,'415'!$P$33:$P$38,'415'!$P$40,'415'!$P$42,'415'!$P$44,'415'!$P$46:$P$47,'415'!$P$49,'415'!$P$51,'415'!$P$53,'415'!$P$55,'415'!$P$57,'415'!$P$59:$P$61,'415'!$P$63:$P$67,'415'!$P$69,'415'!$P$71:$P$77,'415'!$P$79,'415'!$P$81,'415'!$P$83</definedName>
    <definedName name="OSRRefP22x_0" localSheetId="86">'418'!$P$24:$P$31,'418'!$P$33:$P$38,'418'!$P$40,'418'!$P$42,'418'!$P$44,'418'!$P$46:$P$47,'418'!$P$49,'418'!$P$51,'418'!$P$53,'418'!$P$55:$P$56,'418'!$P$58:$P$60,'418'!$P$62:$P$64,'418'!$P$66,'418'!$P$68:$P$74,'418'!$P$76,'418'!$P$78</definedName>
    <definedName name="OSRRefP22x_0" localSheetId="82">'420'!$P$22:$P$28,'420'!$P$30:$P$33,'420'!$P$35,'420'!$P$37,'420'!$P$39</definedName>
    <definedName name="OSRRefP22x_0" localSheetId="87">'423'!$P$21:$P$28,'423'!$P$30,'423'!$P$32,'423'!$P$34,'423'!$P$36,'423'!$P$38</definedName>
    <definedName name="OSRRefP22x_0" localSheetId="88">'424'!$P$24:$P$26,'424'!$P$28:$P$31,'424'!$P$33,'424'!$P$35,'424'!$P$37,'424'!$P$39,'424'!$P$41,'424'!$P$43:$P$44,'424'!$P$46,'424'!$P$48,'424'!$P$50:$P$54,'424'!$P$56</definedName>
    <definedName name="OSRRefP22x_0" localSheetId="89">'425'!$P$27:$P$34,'425'!$P$36:$P$40,'425'!$P$42,'425'!$P$44,'425'!$P$46,'425'!$P$48,'425'!$P$50,'425'!$P$52,'425'!$P$54,'425'!$P$56:$P$58,'425'!$P$60,'425'!$P$62:$P$63,'425'!$P$65:$P$71,'425'!$P$73,'425'!$P$75,'425'!$P$77</definedName>
    <definedName name="OSRRefP22x_0" localSheetId="92">'430'!$P$20:$P$27,'430'!$P$29,'430'!$P$31,'430'!$P$33,'430'!$P$35,'430'!$P$37,'430'!$P$39:$P$40,'430'!$P$42,'430'!$P$44,'430'!$P$46</definedName>
    <definedName name="OSRRefP22x_0" localSheetId="93">'433'!$P$26:$P$34,'433'!$P$36:$P$41,'433'!$P$43,'433'!$P$45,'433'!$P$47,'433'!$P$49,'433'!$P$51,'433'!$P$53,'433'!$P$55,'433'!$P$57,'433'!$P$59:$P$61,'433'!$P$63:$P$65,'433'!$P$67:$P$73,'433'!$P$75,'433'!$P$77,'433'!$P$79:$P$80</definedName>
    <definedName name="OSRRefP22x_0" localSheetId="94">'435'!$P$25:$P$27,'435'!$P$29:$P$30,'435'!$P$32,'435'!$P$34,'435'!$P$36,'435'!$P$38,'435'!$P$40,'435'!$P$42:$P$45,'435'!$P$47</definedName>
    <definedName name="OSRRefP22x_0" localSheetId="95">'444'!$P$25:$P$33,'444'!$P$35:$P$40,'444'!$P$42,'444'!$P$44,'444'!$P$46,'444'!$P$48,'444'!$P$50,'444'!$P$52,'444'!$P$54,'444'!$P$56,'444'!$P$58,'444'!$P$60:$P$62,'444'!$P$64:$P$66,'444'!$P$68:$P$75,'444'!$P$77,'444'!$P$79,'444'!$P$81</definedName>
    <definedName name="OSRRefP22x_0" localSheetId="96">'445'!$P$20</definedName>
    <definedName name="OSRRefP22x_0" localSheetId="97">'450'!$P$25:$P$33,'450'!$P$35:$P$40,'450'!$P$42,'450'!$P$44,'450'!$P$46,'450'!$P$48,'450'!$P$50,'450'!$P$52,'450'!$P$54,'450'!$P$56,'450'!$P$58,'450'!$P$60:$P$61,'450'!$P$63:$P$65,'450'!$P$67:$P$73,'450'!$P$75,'450'!$P$77,'450'!$P$79:$P$80</definedName>
    <definedName name="OSRRefP22x_0" localSheetId="90">'455'!$P$20:$P$26,'455'!$P$28:$P$29,'455'!$P$31</definedName>
    <definedName name="OSRRefP22x_0" localSheetId="77">'491'!$P$33:$P$41,'491'!$P$43:$P$49,'491'!$P$51,'491'!$P$53,'491'!$P$55,'491'!$P$57:$P$59,'491'!$P$61,'491'!$P$63,'491'!$P$65,'491'!$P$67,'491'!$P$69:$P$70,'491'!$P$72,'491'!$P$74,'491'!$P$76,'491'!$P$78,'491'!$P$80:$P$82,'491'!$P$84:$P$85,'491'!$P$87:$P$91,'491'!$P$93,'491'!$P$95:$P$102,'491'!$P$104,'491'!$P$106,'491'!$P$108:$P$110,'491'!$P$112</definedName>
    <definedName name="OSRRefP22x_0" localSheetId="91">'492'!$P$28:$P$36,'492'!$P$38:$P$44,'492'!$P$46,'492'!$P$48,'492'!$P$50,'492'!$P$52,'492'!$P$54,'492'!$P$56,'492'!$P$58,'492'!$P$60,'492'!$P$62,'492'!$P$64,'492'!$P$66:$P$68,'492'!$P$70:$P$72,'492'!$P$74:$P$81,'492'!$P$83,'492'!$P$85,'492'!$P$87:$P$88</definedName>
    <definedName name="OSRRefP22x_0" localSheetId="99">'501'!$P$21:$P$28,'501'!$P$30:$P$35,'501'!$P$37,'501'!$P$39,'501'!$P$41,'501'!$P$43,'501'!$P$45,'501'!$P$47,'501'!$P$49,'501'!$P$51,'501'!$P$53:$P$54,'501'!$P$56:$P$59,'501'!$P$61,'501'!$P$63</definedName>
    <definedName name="OSRRefP22x_0" localSheetId="39">'Div 2'!$P$20:$P$30,'Div 2'!$P$32:$P$38,'Div 2'!$P$40,'Div 2'!$P$42,'Div 2'!$P$44,'Div 2'!$P$46:$P$47,'Div 2'!$P$49,'Div 2'!$P$51,'Div 2'!$P$53,'Div 2'!$P$55,'Div 2'!$P$57,'Div 2'!$P$59,'Div 2'!$P$61:$P$64,'Div 2'!$P$66:$P$68,'Div 2'!$P$70:$P$71,'Div 2'!$P$73,'Div 2'!$P$75:$P$78,'Div 2'!$P$80:$P$81,'Div 2'!$P$83,'Div 2'!$P$85:$P$86</definedName>
    <definedName name="OSRRefP22x_0" localSheetId="47">'Div 3'!$P$167:$P$175,'Div 3'!$P$177:$P$183,'Div 3'!$P$185,'Div 3'!$P$187:$P$188,'Div 3'!$P$190,'Div 3'!$P$192:$P$193,'Div 3'!$P$195:$P$196,'Div 3'!$P$198,'Div 3'!$P$200,'Div 3'!$P$202,'Div 3'!$P$204:$P$205,'Div 3'!$P$207,'Div 3'!$P$209,'Div 3'!$P$211,'Div 3'!$P$213,'Div 3'!$P$215,'Div 3'!$P$217,'Div 3'!$P$219:$P$221,'Div 3'!$P$223:$P$225,'Div 3'!$P$227:$P$231,'Div 3'!$P$233:$P$234,'Div 3'!$P$236:$P$242,'Div 3'!$P$244:$P$245,'Div 3'!$P$247,'Div 3'!$P$249:$P$251,'Div 3'!$P$253</definedName>
    <definedName name="OSRRefP22x_0" localSheetId="75">'Div 4'!$P$34:$P$42,'Div 4'!$P$44:$P$50,'Div 4'!$P$52,'Div 4'!$P$54,'Div 4'!$P$56,'Div 4'!$P$58:$P$60,'Div 4'!$P$62,'Div 4'!$P$64,'Div 4'!$P$66,'Div 4'!$P$68,'Div 4'!$P$70:$P$71,'Div 4'!$P$73,'Div 4'!$P$75,'Div 4'!$P$77,'Div 4'!$P$79,'Div 4'!$P$81,'Div 4'!$P$83:$P$85,'Div 4'!$P$87:$P$88,'Div 4'!$P$90:$P$94,'Div 4'!$P$96,'Div 4'!$P$98:$P$105,'Div 4'!$P$107,'Div 4'!$P$109,'Div 4'!$P$111:$P$113,'Div 4'!$P$115</definedName>
    <definedName name="OSRRefP22x_0" localSheetId="98">'Div 5'!$P$21:$P$28,'Div 5'!$P$30:$P$35,'Div 5'!$P$37,'Div 5'!$P$39,'Div 5'!$P$41,'Div 5'!$P$43,'Div 5'!$P$45,'Div 5'!$P$47,'Div 5'!$P$49,'Div 5'!$P$51,'Div 5'!$P$53:$P$54,'Div 5'!$P$56:$P$59,'Div 5'!$P$61,'Div 5'!$P$63</definedName>
    <definedName name="OSRRefP22x_0" localSheetId="64">'Div 6'!$P$58:$P$66,'Div 6'!$P$68:$P$71,'Div 6'!$P$73,'Div 6'!$P$75,'Div 6'!$P$77,'Div 6'!$P$79,'Div 6'!$P$81,'Div 6'!$P$83,'Div 6'!$P$85,'Div 6'!$P$87:$P$88,'Div 6'!$P$90,'Div 6'!$P$92,'Div 6'!$P$94</definedName>
    <definedName name="OSRRefP22x_0" localSheetId="2">Summary!$P$201:$P$209,Summary!$P$211:$P$217,Summary!$P$219,Summary!$P$221:$P$222,Summary!$P$224,Summary!$P$226:$P$228,Summary!$P$230:$P$231,Summary!$P$233,Summary!$P$235,Summary!$P$237,Summary!$P$239:$P$240,Summary!$P$242:$P$243,Summary!$P$245,Summary!$P$247,Summary!$P$249,Summary!$P$251,Summary!$P$253,Summary!$P$255,Summary!$P$257:$P$259,Summary!$P$261:$P$263,Summary!$P$265:$P$269,Summary!$P$271:$P$272,Summary!$P$274:$P$281,Summary!$P$283:$P$284,Summary!$P$286,Summary!$P$288:$P$290,Summary!$P$292</definedName>
    <definedName name="OSRRefP25x_0" localSheetId="48">'300'!$P$248:$P$256</definedName>
    <definedName name="OSRRefP25x_0" localSheetId="49">'300 &amp; 317'!$P$273:$P$283</definedName>
    <definedName name="OSRRefP25x_0" localSheetId="50">'301'!$P$91:$P$93</definedName>
    <definedName name="OSRRefP25x_0" localSheetId="55">'308'!$P$114:$P$116</definedName>
    <definedName name="OSRRefP25x_0" localSheetId="76">'310 &amp; 491'!$P$126:$P$128</definedName>
    <definedName name="OSRRefP25x_0" localSheetId="56">'311'!$P$113:$P$115</definedName>
    <definedName name="OSRRefP25x_0" localSheetId="59">'315'!$P$108</definedName>
    <definedName name="OSRRefP25x_0" localSheetId="62">'316'!$P$71</definedName>
    <definedName name="OSRRefP25x_0" localSheetId="65">'317'!$P$97:$P$99</definedName>
    <definedName name="OSRRefP25x_0" localSheetId="63">'320'!$P$58:$P$62</definedName>
    <definedName name="OSRRefP25x_0" localSheetId="58">'331'!$P$146</definedName>
    <definedName name="OSRRefP25x_0" localSheetId="61">'332'!$P$84:$P$89</definedName>
    <definedName name="OSRRefP25x_0" localSheetId="80">'411'!$P$86:$P$87</definedName>
    <definedName name="OSRRefP25x_0" localSheetId="83">'413'!$P$65</definedName>
    <definedName name="OSRRefP25x_0" localSheetId="86">'418'!$P$81</definedName>
    <definedName name="OSRRefP25x_0" localSheetId="87">'423'!$P$41</definedName>
    <definedName name="OSRRefP25x_0" localSheetId="88">'424'!$P$59</definedName>
    <definedName name="OSRRefP25x_0" localSheetId="89">'425'!$P$80</definedName>
    <definedName name="OSRRefP25x_0" localSheetId="90">'455'!$P$34:$P$35</definedName>
    <definedName name="OSRRefP25x_0" localSheetId="77">'491'!$P$115:$P$117</definedName>
    <definedName name="OSRRefP25x_0" localSheetId="99">'501'!$P$66:$P$67</definedName>
    <definedName name="OSRRefP25x_0" localSheetId="47">'Div 3'!$P$256:$P$264</definedName>
    <definedName name="OSRRefP25x_0" localSheetId="75">'Div 4'!$P$118:$P$120</definedName>
    <definedName name="OSRRefP25x_0" localSheetId="98">'Div 5'!$P$66:$P$67</definedName>
    <definedName name="OSRRefP25x_0" localSheetId="64">'Div 6'!$P$97:$P$99</definedName>
    <definedName name="OSRRefP25x_0" localSheetId="2">Summary!$P$295:$P$306</definedName>
    <definedName name="OSRRefT13x_0" localSheetId="48">'300'!$T$13:$T$104</definedName>
    <definedName name="OSRRefT13x_0" localSheetId="49">'300 &amp; 317'!$T$13:$T$122</definedName>
    <definedName name="OSRRefT13x_0" localSheetId="53">'307'!$T$13:$T$46</definedName>
    <definedName name="OSRRefT13x_0" localSheetId="55">'308'!$T$13:$T$40</definedName>
    <definedName name="OSRRefT13x_0" localSheetId="67">'309'!$T$13:$T$14</definedName>
    <definedName name="OSRRefT13x_0" localSheetId="66">'310'!$T$13:$T$22</definedName>
    <definedName name="OSRRefT13x_0" localSheetId="76">'310 &amp; 491'!$T$13:$T$30</definedName>
    <definedName name="OSRRefT13x_0" localSheetId="56">'311'!$T$13:$T$39</definedName>
    <definedName name="OSRRefT13x_0" localSheetId="68">'313'!$T$13:$T$19</definedName>
    <definedName name="OSRRefT13x_0" localSheetId="54">'314'!$T$13:$T$33</definedName>
    <definedName name="OSRRefT13x_0" localSheetId="59">'315'!$T$13:$T$32</definedName>
    <definedName name="OSRRefT13x_0" localSheetId="62">'316'!$T$13:$T$24</definedName>
    <definedName name="OSRRefT13x_0" localSheetId="65">'317'!$T$13:$T$36</definedName>
    <definedName name="OSRRefT13x_0" localSheetId="63">'320'!$T$13:$T$16</definedName>
    <definedName name="OSRRefT13x_0" localSheetId="69">'321'!$T$13:$T$14</definedName>
    <definedName name="OSRRefT13x_0" localSheetId="70">'322'!$T$13:$T$14</definedName>
    <definedName name="OSRRefT13x_0" localSheetId="57">'324'!$T$13:$T$15</definedName>
    <definedName name="OSRRefT13x_0" localSheetId="72">'325'!$T$13:$T$14</definedName>
    <definedName name="OSRRefT13x_0" localSheetId="60">'326'!$T$13:$T$34</definedName>
    <definedName name="OSRRefT13x_0" localSheetId="73">'327'!$T$13</definedName>
    <definedName name="OSRRefT13x_0" localSheetId="52">'330'!$T$13:$T$50</definedName>
    <definedName name="OSRRefT13x_0" localSheetId="58">'331'!$T$13:$T$42</definedName>
    <definedName name="OSRRefT13x_0" localSheetId="61">'332'!$T$13:$T$28</definedName>
    <definedName name="OSRRefT13x_0" localSheetId="78">'405'!$T$13:$T$14</definedName>
    <definedName name="OSRRefT13x_0" localSheetId="79">'406'!$T$13:$T$14</definedName>
    <definedName name="OSRRefT13x_0" localSheetId="81">'412'!$T$13:$T$15</definedName>
    <definedName name="OSRRefT13x_0" localSheetId="83">'413'!$T$13:$T$14</definedName>
    <definedName name="OSRRefT13x_0" localSheetId="84">'414'!$T$13:$T$14</definedName>
    <definedName name="OSRRefT13x_0" localSheetId="85">'415'!$T$13:$T$14</definedName>
    <definedName name="OSRRefT13x_0" localSheetId="86">'418'!$T$13:$T$14</definedName>
    <definedName name="OSRRefT13x_0" localSheetId="82">'420'!$T$13:$T$14</definedName>
    <definedName name="OSRRefT13x_0" localSheetId="88">'424'!$T$13:$T$14</definedName>
    <definedName name="OSRRefT13x_0" localSheetId="89">'425'!$T$13:$T$17</definedName>
    <definedName name="OSRRefT13x_0" localSheetId="93">'433'!$T$13:$T$16</definedName>
    <definedName name="OSRRefT13x_0" localSheetId="94">'435'!$T$13:$T$15</definedName>
    <definedName name="OSRRefT13x_0" localSheetId="95">'444'!$T$13:$T$15</definedName>
    <definedName name="OSRRefT13x_0" localSheetId="97">'450'!$T$13:$T$15</definedName>
    <definedName name="OSRRefT13x_0" localSheetId="77">'491'!$T$13:$T$23</definedName>
    <definedName name="OSRRefT13x_0" localSheetId="91">'492'!$T$13:$T$18</definedName>
    <definedName name="OSRRefT13x_0" localSheetId="99">'501'!$T$13</definedName>
    <definedName name="OSRRefT13x_0" localSheetId="47">'Div 3'!$T$13:$T$107</definedName>
    <definedName name="OSRRefT13x_0" localSheetId="75">'Div 4'!$T$13:$T$24</definedName>
    <definedName name="OSRRefT13x_0" localSheetId="98">'Div 5'!$T$13</definedName>
    <definedName name="OSRRefT13x_0" localSheetId="64">'Div 6'!$T$13:$T$36</definedName>
    <definedName name="OSRRefT13x_0" localSheetId="2">Summary!$T$13:$T$134</definedName>
    <definedName name="OSRRefT16x_0" localSheetId="48">'300'!$T$107:$T$156</definedName>
    <definedName name="OSRRefT16x_0" localSheetId="49">'300 &amp; 317'!$T$125:$T$181</definedName>
    <definedName name="OSRRefT16x_0" localSheetId="53">'307'!$T$49:$T$67</definedName>
    <definedName name="OSRRefT16x_0" localSheetId="55">'308'!$T$43:$T$58</definedName>
    <definedName name="OSRRefT16x_0" localSheetId="67">'309'!$T$17:$T$18</definedName>
    <definedName name="OSRRefT16x_0" localSheetId="66">'310'!$T$25:$T$26</definedName>
    <definedName name="OSRRefT16x_0" localSheetId="76">'310 &amp; 491'!$T$33:$T$34</definedName>
    <definedName name="OSRRefT16x_0" localSheetId="56">'311'!$T$42:$T$57</definedName>
    <definedName name="OSRRefT16x_0" localSheetId="68">'313'!$T$22:$T$23</definedName>
    <definedName name="OSRRefT16x_0" localSheetId="54">'314'!$T$36:$T$50</definedName>
    <definedName name="OSRRefT16x_0" localSheetId="59">'315'!$T$35:$T$49</definedName>
    <definedName name="OSRRefT16x_0" localSheetId="65">'317'!$T$39:$T$52</definedName>
    <definedName name="OSRRefT16x_0" localSheetId="63">'320'!$T$19:$T$23</definedName>
    <definedName name="OSRRefT16x_0" localSheetId="69">'321'!$T$17:$T$18</definedName>
    <definedName name="OSRRefT16x_0" localSheetId="70">'322'!$T$17:$T$18</definedName>
    <definedName name="OSRRefT16x_0" localSheetId="57">'324'!$T$18:$T$19</definedName>
    <definedName name="OSRRefT16x_0" localSheetId="72">'325'!$T$17:$T$18</definedName>
    <definedName name="OSRRefT16x_0" localSheetId="60">'326'!$T$37:$T$54</definedName>
    <definedName name="OSRRefT16x_0" localSheetId="73">'327'!$T$16</definedName>
    <definedName name="OSRRefT16x_0" localSheetId="52">'330'!$T$53:$T$75</definedName>
    <definedName name="OSRRefT16x_0" localSheetId="58">'331'!$T$45:$T$67</definedName>
    <definedName name="OSRRefT16x_0" localSheetId="61">'332'!$T$31:$T$35</definedName>
    <definedName name="OSRRefT16x_0" localSheetId="78">'405'!$T$17:$T$18</definedName>
    <definedName name="OSRRefT16x_0" localSheetId="79">'406'!$T$17:$T$18</definedName>
    <definedName name="OSRRefT16x_0" localSheetId="81">'412'!$T$18</definedName>
    <definedName name="OSRRefT16x_0" localSheetId="83">'413'!$T$17:$T$18</definedName>
    <definedName name="OSRRefT16x_0" localSheetId="84">'414'!$T$17:$T$18</definedName>
    <definedName name="OSRRefT16x_0" localSheetId="85">'415'!$T$17:$T$18</definedName>
    <definedName name="OSRRefT16x_0" localSheetId="86">'418'!$T$17:$T$18</definedName>
    <definedName name="OSRRefT16x_0" localSheetId="87">'423'!$T$15</definedName>
    <definedName name="OSRRefT16x_0" localSheetId="88">'424'!$T$17:$T$18</definedName>
    <definedName name="OSRRefT16x_0" localSheetId="89">'425'!$T$20:$T$21</definedName>
    <definedName name="OSRRefT16x_0" localSheetId="93">'433'!$T$19:$T$20</definedName>
    <definedName name="OSRRefT16x_0" localSheetId="94">'435'!$T$18:$T$19</definedName>
    <definedName name="OSRRefT16x_0" localSheetId="95">'444'!$T$18:$T$19</definedName>
    <definedName name="OSRRefT16x_0" localSheetId="97">'450'!$T$18:$T$19</definedName>
    <definedName name="OSRRefT16x_0" localSheetId="77">'491'!$T$26:$T$27</definedName>
    <definedName name="OSRRefT16x_0" localSheetId="91">'492'!$T$21:$T$22</definedName>
    <definedName name="OSRRefT16x_0" localSheetId="47">'Div 3'!$T$110:$T$161</definedName>
    <definedName name="OSRRefT16x_0" localSheetId="75">'Div 4'!$T$27:$T$28</definedName>
    <definedName name="OSRRefT16x_0" localSheetId="64">'Div 6'!$T$39:$T$52</definedName>
    <definedName name="OSRRefT16x_0" localSheetId="2">Summary!$T$137:$T$195</definedName>
    <definedName name="OSRRefT22_0x_0" localSheetId="40">'200'!$T$20</definedName>
    <definedName name="OSRRefT22_0x_0" localSheetId="41">'201'!$T$20:$T$28</definedName>
    <definedName name="OSRRefT22_0x_0" localSheetId="42">'202'!$T$20:$T$27</definedName>
    <definedName name="OSRRefT22_0x_0" localSheetId="43">'203'!$T$20:$T$29</definedName>
    <definedName name="OSRRefT22_0x_0" localSheetId="44">'204'!$T$20:$T$28</definedName>
    <definedName name="OSRRefT22_0x_0" localSheetId="45">'205'!$T$20:$T$27</definedName>
    <definedName name="OSRRefT22_0x_0" localSheetId="46">'206'!$T$20:$T$27</definedName>
    <definedName name="OSRRefT22_0x_0" localSheetId="48">'300'!$T$162:$T$170</definedName>
    <definedName name="OSRRefT22_0x_0" localSheetId="49">'300 &amp; 317'!$T$187:$T$195</definedName>
    <definedName name="OSRRefT22_0x_0" localSheetId="50">'301'!$T$20:$T$27</definedName>
    <definedName name="OSRRefT22_0x_0" localSheetId="51">'306'!$T$20:$T$28</definedName>
    <definedName name="OSRRefT22_0x_0" localSheetId="53">'307'!$T$73:$T$80</definedName>
    <definedName name="OSRRefT22_0x_0" localSheetId="55">'308'!$T$64:$T$72</definedName>
    <definedName name="OSRRefT22_0x_0" localSheetId="67">'309'!$T$24:$T$31</definedName>
    <definedName name="OSRRefT22_0x_0" localSheetId="66">'310'!$T$32:$T$39</definedName>
    <definedName name="OSRRefT22_0x_0" localSheetId="76">'310 &amp; 491'!$T$40:$T$48</definedName>
    <definedName name="OSRRefT22_0x_0" localSheetId="56">'311'!$T$63:$T$71</definedName>
    <definedName name="OSRRefT22_0x_0" localSheetId="68">'313'!$T$29:$T$36</definedName>
    <definedName name="OSRRefT22_0x_0" localSheetId="54">'314'!$T$56:$T$62</definedName>
    <definedName name="OSRRefT22_0x_0" localSheetId="59">'315'!$T$55:$T$62</definedName>
    <definedName name="OSRRefT22_0x_0" localSheetId="62">'316'!$T$32:$T$39</definedName>
    <definedName name="OSRRefT22_0x_0" localSheetId="65">'317'!$T$58:$T$66</definedName>
    <definedName name="OSRRefT22_0x_0" localSheetId="63">'320'!$T$29:$T$35</definedName>
    <definedName name="OSRRefT22_0x_0" localSheetId="69">'321'!$T$24:$T$30</definedName>
    <definedName name="OSRRefT22_0x_0" localSheetId="70">'322'!$T$24:$T$31</definedName>
    <definedName name="OSRRefT22_0x_0" localSheetId="57">'324'!$T$25</definedName>
    <definedName name="OSRRefT22_0x_0" localSheetId="72">'325'!$T$24:$T$31</definedName>
    <definedName name="OSRRefT22_0x_0" localSheetId="60">'326'!$T$60:$T$67</definedName>
    <definedName name="OSRRefT22_0x_0" localSheetId="73">'327'!$T$22</definedName>
    <definedName name="OSRRefT22_0x_0" localSheetId="52">'330'!$T$81:$T$88</definedName>
    <definedName name="OSRRefT22_0x_0" localSheetId="58">'331'!$T$73:$T$80</definedName>
    <definedName name="OSRRefT22_0x_0" localSheetId="61">'332'!$T$41:$T$48</definedName>
    <definedName name="OSRRefT22_0x_0" localSheetId="74">'335'!$T$20</definedName>
    <definedName name="OSRRefT22_0x_0" localSheetId="78">'405'!$T$24:$T$31</definedName>
    <definedName name="OSRRefT22_0x_0" localSheetId="79">'406'!$T$24:$T$31</definedName>
    <definedName name="OSRRefT22_0x_0" localSheetId="80">'411'!$T$20:$T$28</definedName>
    <definedName name="OSRRefT22_0x_0" localSheetId="81">'412'!$T$24:$T$31</definedName>
    <definedName name="OSRRefT22_0x_0" localSheetId="83">'413'!$T$24:$T$31</definedName>
    <definedName name="OSRRefT22_0x_0" localSheetId="84">'414'!$T$24:$T$31</definedName>
    <definedName name="OSRRefT22_0x_0" localSheetId="85">'415'!$T$24:$T$31</definedName>
    <definedName name="OSRRefT22_0x_0" localSheetId="86">'418'!$T$24:$T$31</definedName>
    <definedName name="OSRRefT22_0x_0" localSheetId="82">'420'!$T$22:$T$28</definedName>
    <definedName name="OSRRefT22_0x_0" localSheetId="87">'423'!$T$21:$T$28</definedName>
    <definedName name="OSRRefT22_0x_0" localSheetId="88">'424'!$T$24:$T$26</definedName>
    <definedName name="OSRRefT22_0x_0" localSheetId="89">'425'!$T$27:$T$34</definedName>
    <definedName name="OSRRefT22_0x_0" localSheetId="92">'430'!$T$20:$T$27</definedName>
    <definedName name="OSRRefT22_0x_0" localSheetId="93">'433'!$T$26:$T$34</definedName>
    <definedName name="OSRRefT22_0x_0" localSheetId="94">'435'!$T$25:$T$27</definedName>
    <definedName name="OSRRefT22_0x_0" localSheetId="95">'444'!$T$25:$T$33</definedName>
    <definedName name="OSRRefT22_0x_0" localSheetId="96">'445'!$T$20</definedName>
    <definedName name="OSRRefT22_0x_0" localSheetId="97">'450'!$T$25:$T$33</definedName>
    <definedName name="OSRRefT22_0x_0" localSheetId="90">'455'!$T$20:$T$26</definedName>
    <definedName name="OSRRefT22_0x_0" localSheetId="77">'491'!$T$33:$T$41</definedName>
    <definedName name="OSRRefT22_0x_0" localSheetId="91">'492'!$T$28:$T$36</definedName>
    <definedName name="OSRRefT22_0x_0" localSheetId="99">'501'!$T$21:$T$28</definedName>
    <definedName name="OSRRefT22_0x_0" localSheetId="39">'Div 2'!$T$20:$T$30</definedName>
    <definedName name="OSRRefT22_0x_0" localSheetId="47">'Div 3'!$T$167:$T$175</definedName>
    <definedName name="OSRRefT22_0x_0" localSheetId="75">'Div 4'!$T$34:$T$42</definedName>
    <definedName name="OSRRefT22_0x_0" localSheetId="98">'Div 5'!$T$21:$T$28</definedName>
    <definedName name="OSRRefT22_0x_0" localSheetId="64">'Div 6'!$T$58:$T$66</definedName>
    <definedName name="OSRRefT22_0x_0" localSheetId="2">Summary!$T$201:$T$209</definedName>
    <definedName name="OSRRefT22_10x_0" localSheetId="41">'201'!$T$50:$T$52</definedName>
    <definedName name="OSRRefT22_10x_0" localSheetId="42">'202'!$T$52</definedName>
    <definedName name="OSRRefT22_10x_0" localSheetId="43">'203'!$T$54:$T$55</definedName>
    <definedName name="OSRRefT22_10x_0" localSheetId="44">'204'!$T$57:$T$58</definedName>
    <definedName name="OSRRefT22_10x_0" localSheetId="48">'300'!$T$199:$T$200</definedName>
    <definedName name="OSRRefT22_10x_0" localSheetId="49">'300 &amp; 317'!$T$224:$T$225</definedName>
    <definedName name="OSRRefT22_10x_0" localSheetId="50">'301'!$T$56</definedName>
    <definedName name="OSRRefT22_10x_0" localSheetId="51">'306'!$T$57</definedName>
    <definedName name="OSRRefT22_10x_0" localSheetId="53">'307'!$T$105:$T$106</definedName>
    <definedName name="OSRRefT22_10x_0" localSheetId="55">'308'!$T$99</definedName>
    <definedName name="OSRRefT22_10x_0" localSheetId="67">'309'!$T$58:$T$63</definedName>
    <definedName name="OSRRefT22_10x_0" localSheetId="66">'310'!$T$65</definedName>
    <definedName name="OSRRefT22_10x_0" localSheetId="76">'310 &amp; 491'!$T$76:$T$77</definedName>
    <definedName name="OSRRefT22_10x_0" localSheetId="56">'311'!$T$98</definedName>
    <definedName name="OSRRefT22_10x_0" localSheetId="68">'313'!$T$62</definedName>
    <definedName name="OSRRefT22_10x_0" localSheetId="59">'315'!$T$91:$T$92</definedName>
    <definedName name="OSRRefT22_10x_0" localSheetId="62">'316'!$T$66</definedName>
    <definedName name="OSRRefT22_10x_0" localSheetId="65">'317'!$T$90</definedName>
    <definedName name="OSRRefT22_10x_0" localSheetId="69">'321'!$T$62</definedName>
    <definedName name="OSRRefT22_10x_0" localSheetId="70">'322'!$T$56:$T$58</definedName>
    <definedName name="OSRRefT22_10x_0" localSheetId="72">'325'!$T$57</definedName>
    <definedName name="OSRRefT22_10x_0" localSheetId="60">'326'!$T$90</definedName>
    <definedName name="OSRRefT22_10x_0" localSheetId="52">'330'!$T$113</definedName>
    <definedName name="OSRRefT22_10x_0" localSheetId="58">'331'!$T$107</definedName>
    <definedName name="OSRRefT22_10x_0" localSheetId="61">'332'!$T$73:$T$77</definedName>
    <definedName name="OSRRefT22_10x_0" localSheetId="78">'405'!$T$55:$T$56</definedName>
    <definedName name="OSRRefT22_10x_0" localSheetId="79">'406'!$T$57:$T$58</definedName>
    <definedName name="OSRRefT22_10x_0" localSheetId="80">'411'!$T$55</definedName>
    <definedName name="OSRRefT22_10x_0" localSheetId="81">'412'!$T$57:$T$59</definedName>
    <definedName name="OSRRefT22_10x_0" localSheetId="83">'413'!$T$62</definedName>
    <definedName name="OSRRefT22_10x_0" localSheetId="84">'414'!$T$57</definedName>
    <definedName name="OSRRefT22_10x_0" localSheetId="85">'415'!$T$57</definedName>
    <definedName name="OSRRefT22_10x_0" localSheetId="86">'418'!$T$58:$T$60</definedName>
    <definedName name="OSRRefT22_10x_0" localSheetId="88">'424'!$T$50:$T$54</definedName>
    <definedName name="OSRRefT22_10x_0" localSheetId="89">'425'!$T$60</definedName>
    <definedName name="OSRRefT22_10x_0" localSheetId="93">'433'!$T$59:$T$61</definedName>
    <definedName name="OSRRefT22_10x_0" localSheetId="95">'444'!$T$58</definedName>
    <definedName name="OSRRefT22_10x_0" localSheetId="97">'450'!$T$58</definedName>
    <definedName name="OSRRefT22_10x_0" localSheetId="77">'491'!$T$69:$T$70</definedName>
    <definedName name="OSRRefT22_10x_0" localSheetId="91">'492'!$T$62</definedName>
    <definedName name="OSRRefT22_10x_0" localSheetId="99">'501'!$T$53:$T$54</definedName>
    <definedName name="OSRRefT22_10x_0" localSheetId="39">'Div 2'!$T$57</definedName>
    <definedName name="OSRRefT22_10x_0" localSheetId="47">'Div 3'!$T$204:$T$205</definedName>
    <definedName name="OSRRefT22_10x_0" localSheetId="75">'Div 4'!$T$70:$T$71</definedName>
    <definedName name="OSRRefT22_10x_0" localSheetId="98">'Div 5'!$T$53:$T$54</definedName>
    <definedName name="OSRRefT22_10x_0" localSheetId="64">'Div 6'!$T$90</definedName>
    <definedName name="OSRRefT22_10x_0" localSheetId="2">Summary!$T$239:$T$240</definedName>
    <definedName name="OSRRefT22_11x_0" localSheetId="41">'201'!$T$54:$T$56</definedName>
    <definedName name="OSRRefT22_11x_0" localSheetId="42">'202'!$T$54</definedName>
    <definedName name="OSRRefT22_11x_0" localSheetId="43">'203'!$T$57</definedName>
    <definedName name="OSRRefT22_11x_0" localSheetId="48">'300'!$T$202</definedName>
    <definedName name="OSRRefT22_11x_0" localSheetId="49">'300 &amp; 317'!$T$227</definedName>
    <definedName name="OSRRefT22_11x_0" localSheetId="50">'301'!$T$58</definedName>
    <definedName name="OSRRefT22_11x_0" localSheetId="53">'307'!$T$108:$T$109</definedName>
    <definedName name="OSRRefT22_11x_0" localSheetId="55">'308'!$T$101:$T$104</definedName>
    <definedName name="OSRRefT22_11x_0" localSheetId="67">'309'!$T$65</definedName>
    <definedName name="OSRRefT22_11x_0" localSheetId="66">'310'!$T$67</definedName>
    <definedName name="OSRRefT22_11x_0" localSheetId="76">'310 &amp; 491'!$T$79:$T$80</definedName>
    <definedName name="OSRRefT22_11x_0" localSheetId="56">'311'!$T$100:$T$103</definedName>
    <definedName name="OSRRefT22_11x_0" localSheetId="68">'313'!$T$64</definedName>
    <definedName name="OSRRefT22_11x_0" localSheetId="59">'315'!$T$94:$T$98</definedName>
    <definedName name="OSRRefT22_11x_0" localSheetId="62">'316'!$T$68</definedName>
    <definedName name="OSRRefT22_11x_0" localSheetId="65">'317'!$T$92</definedName>
    <definedName name="OSRRefT22_11x_0" localSheetId="69">'321'!$T$64</definedName>
    <definedName name="OSRRefT22_11x_0" localSheetId="70">'322'!$T$60</definedName>
    <definedName name="OSRRefT22_11x_0" localSheetId="72">'325'!$T$59:$T$61</definedName>
    <definedName name="OSRRefT22_11x_0" localSheetId="60">'326'!$T$92</definedName>
    <definedName name="OSRRefT22_11x_0" localSheetId="52">'330'!$T$115:$T$116</definedName>
    <definedName name="OSRRefT22_11x_0" localSheetId="58">'331'!$T$109</definedName>
    <definedName name="OSRRefT22_11x_0" localSheetId="61">'332'!$T$79</definedName>
    <definedName name="OSRRefT22_11x_0" localSheetId="78">'405'!$T$58</definedName>
    <definedName name="OSRRefT22_11x_0" localSheetId="79">'406'!$T$60:$T$65</definedName>
    <definedName name="OSRRefT22_11x_0" localSheetId="80">'411'!$T$57:$T$59</definedName>
    <definedName name="OSRRefT22_11x_0" localSheetId="81">'412'!$T$61:$T$67</definedName>
    <definedName name="OSRRefT22_11x_0" localSheetId="84">'414'!$T$59</definedName>
    <definedName name="OSRRefT22_11x_0" localSheetId="85">'415'!$T$59:$T$61</definedName>
    <definedName name="OSRRefT22_11x_0" localSheetId="86">'418'!$T$62:$T$64</definedName>
    <definedName name="OSRRefT22_11x_0" localSheetId="88">'424'!$T$56</definedName>
    <definedName name="OSRRefT22_11x_0" localSheetId="89">'425'!$T$62:$T$63</definedName>
    <definedName name="OSRRefT22_11x_0" localSheetId="93">'433'!$T$63:$T$65</definedName>
    <definedName name="OSRRefT22_11x_0" localSheetId="95">'444'!$T$60:$T$62</definedName>
    <definedName name="OSRRefT22_11x_0" localSheetId="97">'450'!$T$60:$T$61</definedName>
    <definedName name="OSRRefT22_11x_0" localSheetId="77">'491'!$T$72</definedName>
    <definedName name="OSRRefT22_11x_0" localSheetId="91">'492'!$T$64</definedName>
    <definedName name="OSRRefT22_11x_0" localSheetId="99">'501'!$T$56:$T$59</definedName>
    <definedName name="OSRRefT22_11x_0" localSheetId="39">'Div 2'!$T$59</definedName>
    <definedName name="OSRRefT22_11x_0" localSheetId="47">'Div 3'!$T$207</definedName>
    <definedName name="OSRRefT22_11x_0" localSheetId="75">'Div 4'!$T$73</definedName>
    <definedName name="OSRRefT22_11x_0" localSheetId="98">'Div 5'!$T$56:$T$59</definedName>
    <definedName name="OSRRefT22_11x_0" localSheetId="64">'Div 6'!$T$92</definedName>
    <definedName name="OSRRefT22_11x_0" localSheetId="2">Summary!$T$242:$T$243</definedName>
    <definedName name="OSRRefT22_12x_0" localSheetId="41">'201'!$T$58</definedName>
    <definedName name="OSRRefT22_12x_0" localSheetId="42">'202'!$T$56:$T$58</definedName>
    <definedName name="OSRRefT22_12x_0" localSheetId="43">'203'!$T$59:$T$61</definedName>
    <definedName name="OSRRefT22_12x_0" localSheetId="48">'300'!$T$204</definedName>
    <definedName name="OSRRefT22_12x_0" localSheetId="49">'300 &amp; 317'!$T$229</definedName>
    <definedName name="OSRRefT22_12x_0" localSheetId="50">'301'!$T$60</definedName>
    <definedName name="OSRRefT22_12x_0" localSheetId="53">'307'!$T$111</definedName>
    <definedName name="OSRRefT22_12x_0" localSheetId="55">'308'!$T$106:$T$107</definedName>
    <definedName name="OSRRefT22_12x_0" localSheetId="66">'310'!$T$69</definedName>
    <definedName name="OSRRefT22_12x_0" localSheetId="76">'310 &amp; 491'!$T$82</definedName>
    <definedName name="OSRRefT22_12x_0" localSheetId="56">'311'!$T$105:$T$106</definedName>
    <definedName name="OSRRefT22_12x_0" localSheetId="68">'313'!$T$66:$T$71</definedName>
    <definedName name="OSRRefT22_12x_0" localSheetId="59">'315'!$T$100</definedName>
    <definedName name="OSRRefT22_12x_0" localSheetId="65">'317'!$T$94</definedName>
    <definedName name="OSRRefT22_12x_0" localSheetId="69">'321'!$T$66</definedName>
    <definedName name="OSRRefT22_12x_0" localSheetId="70">'322'!$T$62:$T$67</definedName>
    <definedName name="OSRRefT22_12x_0" localSheetId="72">'325'!$T$63:$T$65</definedName>
    <definedName name="OSRRefT22_12x_0" localSheetId="60">'326'!$T$94</definedName>
    <definedName name="OSRRefT22_12x_0" localSheetId="52">'330'!$T$118:$T$119</definedName>
    <definedName name="OSRRefT22_12x_0" localSheetId="58">'331'!$T$111</definedName>
    <definedName name="OSRRefT22_12x_0" localSheetId="61">'332'!$T$81</definedName>
    <definedName name="OSRRefT22_12x_0" localSheetId="78">'405'!$T$60:$T$62</definedName>
    <definedName name="OSRRefT22_12x_0" localSheetId="79">'406'!$T$67</definedName>
    <definedName name="OSRRefT22_12x_0" localSheetId="80">'411'!$T$61:$T$65</definedName>
    <definedName name="OSRRefT22_12x_0" localSheetId="81">'412'!$T$69</definedName>
    <definedName name="OSRRefT22_12x_0" localSheetId="84">'414'!$T$61</definedName>
    <definedName name="OSRRefT22_12x_0" localSheetId="85">'415'!$T$63:$T$67</definedName>
    <definedName name="OSRRefT22_12x_0" localSheetId="86">'418'!$T$66</definedName>
    <definedName name="OSRRefT22_12x_0" localSheetId="89">'425'!$T$65:$T$71</definedName>
    <definedName name="OSRRefT22_12x_0" localSheetId="93">'433'!$T$67:$T$73</definedName>
    <definedName name="OSRRefT22_12x_0" localSheetId="95">'444'!$T$64:$T$66</definedName>
    <definedName name="OSRRefT22_12x_0" localSheetId="97">'450'!$T$63:$T$65</definedName>
    <definedName name="OSRRefT22_12x_0" localSheetId="77">'491'!$T$74</definedName>
    <definedName name="OSRRefT22_12x_0" localSheetId="91">'492'!$T$66:$T$68</definedName>
    <definedName name="OSRRefT22_12x_0" localSheetId="99">'501'!$T$61</definedName>
    <definedName name="OSRRefT22_12x_0" localSheetId="39">'Div 2'!$T$61:$T$64</definedName>
    <definedName name="OSRRefT22_12x_0" localSheetId="47">'Div 3'!$T$209</definedName>
    <definedName name="OSRRefT22_12x_0" localSheetId="75">'Div 4'!$T$75</definedName>
    <definedName name="OSRRefT22_12x_0" localSheetId="98">'Div 5'!$T$61</definedName>
    <definedName name="OSRRefT22_12x_0" localSheetId="64">'Div 6'!$T$94</definedName>
    <definedName name="OSRRefT22_12x_0" localSheetId="2">Summary!$T$245</definedName>
    <definedName name="OSRRefT22_13x_0" localSheetId="41">'201'!$T$60:$T$62</definedName>
    <definedName name="OSRRefT22_13x_0" localSheetId="42">'202'!$T$60</definedName>
    <definedName name="OSRRefT22_13x_0" localSheetId="43">'203'!$T$63</definedName>
    <definedName name="OSRRefT22_13x_0" localSheetId="48">'300'!$T$206</definedName>
    <definedName name="OSRRefT22_13x_0" localSheetId="49">'300 &amp; 317'!$T$231</definedName>
    <definedName name="OSRRefT22_13x_0" localSheetId="50">'301'!$T$62</definedName>
    <definedName name="OSRRefT22_13x_0" localSheetId="53">'307'!$T$113</definedName>
    <definedName name="OSRRefT22_13x_0" localSheetId="55">'308'!$T$109</definedName>
    <definedName name="OSRRefT22_13x_0" localSheetId="66">'310'!$T$71</definedName>
    <definedName name="OSRRefT22_13x_0" localSheetId="76">'310 &amp; 491'!$T$84</definedName>
    <definedName name="OSRRefT22_13x_0" localSheetId="56">'311'!$T$108</definedName>
    <definedName name="OSRRefT22_13x_0" localSheetId="68">'313'!$T$73</definedName>
    <definedName name="OSRRefT22_13x_0" localSheetId="59">'315'!$T$102</definedName>
    <definedName name="OSRRefT22_13x_0" localSheetId="70">'322'!$T$69</definedName>
    <definedName name="OSRRefT22_13x_0" localSheetId="72">'325'!$T$67</definedName>
    <definedName name="OSRRefT22_13x_0" localSheetId="60">'326'!$T$96:$T$97</definedName>
    <definedName name="OSRRefT22_13x_0" localSheetId="52">'330'!$T$121</definedName>
    <definedName name="OSRRefT22_13x_0" localSheetId="58">'331'!$T$113</definedName>
    <definedName name="OSRRefT22_13x_0" localSheetId="78">'405'!$T$64</definedName>
    <definedName name="OSRRefT22_13x_0" localSheetId="79">'406'!$T$69</definedName>
    <definedName name="OSRRefT22_13x_0" localSheetId="80">'411'!$T$67:$T$73</definedName>
    <definedName name="OSRRefT22_13x_0" localSheetId="81">'412'!$T$71</definedName>
    <definedName name="OSRRefT22_13x_0" localSheetId="84">'414'!$T$63:$T$69</definedName>
    <definedName name="OSRRefT22_13x_0" localSheetId="85">'415'!$T$69</definedName>
    <definedName name="OSRRefT22_13x_0" localSheetId="86">'418'!$T$68:$T$74</definedName>
    <definedName name="OSRRefT22_13x_0" localSheetId="89">'425'!$T$73</definedName>
    <definedName name="OSRRefT22_13x_0" localSheetId="93">'433'!$T$75</definedName>
    <definedName name="OSRRefT22_13x_0" localSheetId="95">'444'!$T$68:$T$75</definedName>
    <definedName name="OSRRefT22_13x_0" localSheetId="97">'450'!$T$67:$T$73</definedName>
    <definedName name="OSRRefT22_13x_0" localSheetId="77">'491'!$T$76</definedName>
    <definedName name="OSRRefT22_13x_0" localSheetId="91">'492'!$T$70:$T$72</definedName>
    <definedName name="OSRRefT22_13x_0" localSheetId="99">'501'!$T$63</definedName>
    <definedName name="OSRRefT22_13x_0" localSheetId="39">'Div 2'!$T$66:$T$68</definedName>
    <definedName name="OSRRefT22_13x_0" localSheetId="47">'Div 3'!$T$211</definedName>
    <definedName name="OSRRefT22_13x_0" localSheetId="75">'Div 4'!$T$77</definedName>
    <definedName name="OSRRefT22_13x_0" localSheetId="98">'Div 5'!$T$63</definedName>
    <definedName name="OSRRefT22_13x_0" localSheetId="2">Summary!$T$247</definedName>
    <definedName name="OSRRefT22_14x_0" localSheetId="41">'201'!$T$64</definedName>
    <definedName name="OSRRefT22_14x_0" localSheetId="42">'202'!$T$62</definedName>
    <definedName name="OSRRefT22_14x_0" localSheetId="43">'203'!$T$65</definedName>
    <definedName name="OSRRefT22_14x_0" localSheetId="48">'300'!$T$208</definedName>
    <definedName name="OSRRefT22_14x_0" localSheetId="49">'300 &amp; 317'!$T$233</definedName>
    <definedName name="OSRRefT22_14x_0" localSheetId="50">'301'!$T$64:$T$66</definedName>
    <definedName name="OSRRefT22_14x_0" localSheetId="55">'308'!$T$111</definedName>
    <definedName name="OSRRefT22_14x_0" localSheetId="66">'310'!$T$73:$T$75</definedName>
    <definedName name="OSRRefT22_14x_0" localSheetId="76">'310 &amp; 491'!$T$86</definedName>
    <definedName name="OSRRefT22_14x_0" localSheetId="56">'311'!$T$110</definedName>
    <definedName name="OSRRefT22_14x_0" localSheetId="68">'313'!$T$75</definedName>
    <definedName name="OSRRefT22_14x_0" localSheetId="59">'315'!$T$104:$T$105</definedName>
    <definedName name="OSRRefT22_14x_0" localSheetId="70">'322'!$T$71</definedName>
    <definedName name="OSRRefT22_14x_0" localSheetId="72">'325'!$T$69:$T$74</definedName>
    <definedName name="OSRRefT22_14x_0" localSheetId="60">'326'!$T$99:$T$101</definedName>
    <definedName name="OSRRefT22_14x_0" localSheetId="52">'330'!$T$123:$T$125</definedName>
    <definedName name="OSRRefT22_14x_0" localSheetId="58">'331'!$T$115:$T$117</definedName>
    <definedName name="OSRRefT22_14x_0" localSheetId="78">'405'!$T$66:$T$72</definedName>
    <definedName name="OSRRefT22_14x_0" localSheetId="80">'411'!$T$75</definedName>
    <definedName name="OSRRefT22_14x_0" localSheetId="84">'414'!$T$71</definedName>
    <definedName name="OSRRefT22_14x_0" localSheetId="85">'415'!$T$71:$T$77</definedName>
    <definedName name="OSRRefT22_14x_0" localSheetId="86">'418'!$T$76</definedName>
    <definedName name="OSRRefT22_14x_0" localSheetId="89">'425'!$T$75</definedName>
    <definedName name="OSRRefT22_14x_0" localSheetId="93">'433'!$T$77</definedName>
    <definedName name="OSRRefT22_14x_0" localSheetId="95">'444'!$T$77</definedName>
    <definedName name="OSRRefT22_14x_0" localSheetId="97">'450'!$T$75</definedName>
    <definedName name="OSRRefT22_14x_0" localSheetId="77">'491'!$T$78</definedName>
    <definedName name="OSRRefT22_14x_0" localSheetId="91">'492'!$T$74:$T$81</definedName>
    <definedName name="OSRRefT22_14x_0" localSheetId="39">'Div 2'!$T$70:$T$71</definedName>
    <definedName name="OSRRefT22_14x_0" localSheetId="47">'Div 3'!$T$213</definedName>
    <definedName name="OSRRefT22_14x_0" localSheetId="75">'Div 4'!$T$79</definedName>
    <definedName name="OSRRefT22_14x_0" localSheetId="2">Summary!$T$249</definedName>
    <definedName name="OSRRefT22_15x_0" localSheetId="41">'201'!$T$66</definedName>
    <definedName name="OSRRefT22_15x_0" localSheetId="43">'203'!$T$67</definedName>
    <definedName name="OSRRefT22_15x_0" localSheetId="48">'300'!$T$210</definedName>
    <definedName name="OSRRefT22_15x_0" localSheetId="49">'300 &amp; 317'!$T$235</definedName>
    <definedName name="OSRRefT22_15x_0" localSheetId="50">'301'!$T$68:$T$70</definedName>
    <definedName name="OSRRefT22_15x_0" localSheetId="66">'310'!$T$77</definedName>
    <definedName name="OSRRefT22_15x_0" localSheetId="76">'310 &amp; 491'!$T$88</definedName>
    <definedName name="OSRRefT22_15x_0" localSheetId="72">'325'!$T$76</definedName>
    <definedName name="OSRRefT22_15x_0" localSheetId="60">'326'!$T$103</definedName>
    <definedName name="OSRRefT22_15x_0" localSheetId="52">'330'!$T$127</definedName>
    <definedName name="OSRRefT22_15x_0" localSheetId="58">'331'!$T$119:$T$120</definedName>
    <definedName name="OSRRefT22_15x_0" localSheetId="78">'405'!$T$74</definedName>
    <definedName name="OSRRefT22_15x_0" localSheetId="80">'411'!$T$77</definedName>
    <definedName name="OSRRefT22_15x_0" localSheetId="84">'414'!$T$73</definedName>
    <definedName name="OSRRefT22_15x_0" localSheetId="85">'415'!$T$79</definedName>
    <definedName name="OSRRefT22_15x_0" localSheetId="86">'418'!$T$78</definedName>
    <definedName name="OSRRefT22_15x_0" localSheetId="89">'425'!$T$77</definedName>
    <definedName name="OSRRefT22_15x_0" localSheetId="93">'433'!$T$79:$T$80</definedName>
    <definedName name="OSRRefT22_15x_0" localSheetId="95">'444'!$T$79</definedName>
    <definedName name="OSRRefT22_15x_0" localSheetId="97">'450'!$T$77</definedName>
    <definedName name="OSRRefT22_15x_0" localSheetId="77">'491'!$T$80:$T$82</definedName>
    <definedName name="OSRRefT22_15x_0" localSheetId="91">'492'!$T$83</definedName>
    <definedName name="OSRRefT22_15x_0" localSheetId="39">'Div 2'!$T$73</definedName>
    <definedName name="OSRRefT22_15x_0" localSheetId="47">'Div 3'!$T$215</definedName>
    <definedName name="OSRRefT22_15x_0" localSheetId="75">'Div 4'!$T$81</definedName>
    <definedName name="OSRRefT22_15x_0" localSheetId="2">Summary!$T$251</definedName>
    <definedName name="OSRRefT22_16x_0" localSheetId="41">'201'!$T$68:$T$69</definedName>
    <definedName name="OSRRefT22_16x_0" localSheetId="48">'300'!$T$212:$T$214</definedName>
    <definedName name="OSRRefT22_16x_0" localSheetId="49">'300 &amp; 317'!$T$237:$T$239</definedName>
    <definedName name="OSRRefT22_16x_0" localSheetId="50">'301'!$T$72</definedName>
    <definedName name="OSRRefT22_16x_0" localSheetId="66">'310'!$T$79:$T$82</definedName>
    <definedName name="OSRRefT22_16x_0" localSheetId="76">'310 &amp; 491'!$T$90:$T$92</definedName>
    <definedName name="OSRRefT22_16x_0" localSheetId="72">'325'!$T$78</definedName>
    <definedName name="OSRRefT22_16x_0" localSheetId="60">'326'!$T$105:$T$109</definedName>
    <definedName name="OSRRefT22_16x_0" localSheetId="52">'330'!$T$129</definedName>
    <definedName name="OSRRefT22_16x_0" localSheetId="58">'331'!$T$122:$T$124</definedName>
    <definedName name="OSRRefT22_16x_0" localSheetId="78">'405'!$T$76</definedName>
    <definedName name="OSRRefT22_16x_0" localSheetId="80">'411'!$T$79:$T$81</definedName>
    <definedName name="OSRRefT22_16x_0" localSheetId="85">'415'!$T$81</definedName>
    <definedName name="OSRRefT22_16x_0" localSheetId="95">'444'!$T$81</definedName>
    <definedName name="OSRRefT22_16x_0" localSheetId="97">'450'!$T$79:$T$80</definedName>
    <definedName name="OSRRefT22_16x_0" localSheetId="77">'491'!$T$84:$T$85</definedName>
    <definedName name="OSRRefT22_16x_0" localSheetId="91">'492'!$T$85</definedName>
    <definedName name="OSRRefT22_16x_0" localSheetId="39">'Div 2'!$T$75:$T$78</definedName>
    <definedName name="OSRRefT22_16x_0" localSheetId="47">'Div 3'!$T$217</definedName>
    <definedName name="OSRRefT22_16x_0" localSheetId="75">'Div 4'!$T$83:$T$85</definedName>
    <definedName name="OSRRefT22_16x_0" localSheetId="2">Summary!$T$253</definedName>
    <definedName name="OSRRefT22_17x_0" localSheetId="48">'300'!$T$216:$T$218</definedName>
    <definedName name="OSRRefT22_17x_0" localSheetId="49">'300 &amp; 317'!$T$241:$T$243</definedName>
    <definedName name="OSRRefT22_17x_0" localSheetId="50">'301'!$T$74:$T$78</definedName>
    <definedName name="OSRRefT22_17x_0" localSheetId="66">'310'!$T$84:$T$85</definedName>
    <definedName name="OSRRefT22_17x_0" localSheetId="76">'310 &amp; 491'!$T$94:$T$95</definedName>
    <definedName name="OSRRefT22_17x_0" localSheetId="60">'326'!$T$111</definedName>
    <definedName name="OSRRefT22_17x_0" localSheetId="58">'331'!$T$126:$T$127</definedName>
    <definedName name="OSRRefT22_17x_0" localSheetId="78">'405'!$T$78</definedName>
    <definedName name="OSRRefT22_17x_0" localSheetId="80">'411'!$T$83</definedName>
    <definedName name="OSRRefT22_17x_0" localSheetId="85">'415'!$T$83</definedName>
    <definedName name="OSRRefT22_17x_0" localSheetId="77">'491'!$T$87:$T$91</definedName>
    <definedName name="OSRRefT22_17x_0" localSheetId="91">'492'!$T$87:$T$88</definedName>
    <definedName name="OSRRefT22_17x_0" localSheetId="39">'Div 2'!$T$80:$T$81</definedName>
    <definedName name="OSRRefT22_17x_0" localSheetId="47">'Div 3'!$T$219:$T$221</definedName>
    <definedName name="OSRRefT22_17x_0" localSheetId="75">'Div 4'!$T$87:$T$88</definedName>
    <definedName name="OSRRefT22_17x_0" localSheetId="2">Summary!$T$255</definedName>
    <definedName name="OSRRefT22_18x_0" localSheetId="48">'300'!$T$220:$T$223</definedName>
    <definedName name="OSRRefT22_18x_0" localSheetId="49">'300 &amp; 317'!$T$245:$T$248</definedName>
    <definedName name="OSRRefT22_18x_0" localSheetId="50">'301'!$T$80</definedName>
    <definedName name="OSRRefT22_18x_0" localSheetId="66">'310'!$T$87:$T$93</definedName>
    <definedName name="OSRRefT22_18x_0" localSheetId="76">'310 &amp; 491'!$T$97:$T$101</definedName>
    <definedName name="OSRRefT22_18x_0" localSheetId="60">'326'!$T$113</definedName>
    <definedName name="OSRRefT22_18x_0" localSheetId="58">'331'!$T$129:$T$134</definedName>
    <definedName name="OSRRefT22_18x_0" localSheetId="77">'491'!$T$93</definedName>
    <definedName name="OSRRefT22_18x_0" localSheetId="39">'Div 2'!$T$83</definedName>
    <definedName name="OSRRefT22_18x_0" localSheetId="47">'Div 3'!$T$223:$T$225</definedName>
    <definedName name="OSRRefT22_18x_0" localSheetId="75">'Div 4'!$T$90:$T$94</definedName>
    <definedName name="OSRRefT22_18x_0" localSheetId="2">Summary!$T$257:$T$259</definedName>
    <definedName name="OSRRefT22_19x_0" localSheetId="48">'300'!$T$225:$T$226</definedName>
    <definedName name="OSRRefT22_19x_0" localSheetId="49">'300 &amp; 317'!$T$250:$T$251</definedName>
    <definedName name="OSRRefT22_19x_0" localSheetId="50">'301'!$T$82</definedName>
    <definedName name="OSRRefT22_19x_0" localSheetId="66">'310'!$T$95</definedName>
    <definedName name="OSRRefT22_19x_0" localSheetId="76">'310 &amp; 491'!$T$103:$T$104</definedName>
    <definedName name="OSRRefT22_19x_0" localSheetId="60">'326'!$T$115</definedName>
    <definedName name="OSRRefT22_19x_0" localSheetId="58">'331'!$T$136</definedName>
    <definedName name="OSRRefT22_19x_0" localSheetId="77">'491'!$T$95:$T$102</definedName>
    <definedName name="OSRRefT22_19x_0" localSheetId="39">'Div 2'!$T$85:$T$86</definedName>
    <definedName name="OSRRefT22_19x_0" localSheetId="47">'Div 3'!$T$227:$T$231</definedName>
    <definedName name="OSRRefT22_19x_0" localSheetId="75">'Div 4'!$T$96</definedName>
    <definedName name="OSRRefT22_19x_0" localSheetId="2">Summary!$T$261:$T$263</definedName>
    <definedName name="OSRRefT22_1x_0" localSheetId="40">'200'!$T$22</definedName>
    <definedName name="OSRRefT22_1x_0" localSheetId="41">'201'!$T$30:$T$32</definedName>
    <definedName name="OSRRefT22_1x_0" localSheetId="42">'202'!$T$29:$T$32</definedName>
    <definedName name="OSRRefT22_1x_0" localSheetId="43">'203'!$T$31:$T$34</definedName>
    <definedName name="OSRRefT22_1x_0" localSheetId="44">'204'!$T$30:$T$34</definedName>
    <definedName name="OSRRefT22_1x_0" localSheetId="45">'205'!$T$29</definedName>
    <definedName name="OSRRefT22_1x_0" localSheetId="46">'206'!$T$29:$T$34</definedName>
    <definedName name="OSRRefT22_1x_0" localSheetId="48">'300'!$T$172:$T$178</definedName>
    <definedName name="OSRRefT22_1x_0" localSheetId="49">'300 &amp; 317'!$T$197:$T$203</definedName>
    <definedName name="OSRRefT22_1x_0" localSheetId="50">'301'!$T$29:$T$35</definedName>
    <definedName name="OSRRefT22_1x_0" localSheetId="51">'306'!$T$30:$T$34</definedName>
    <definedName name="OSRRefT22_1x_0" localSheetId="53">'307'!$T$82:$T$85</definedName>
    <definedName name="OSRRefT22_1x_0" localSheetId="55">'308'!$T$74:$T$78</definedName>
    <definedName name="OSRRefT22_1x_0" localSheetId="67">'309'!$T$33:$T$37</definedName>
    <definedName name="OSRRefT22_1x_0" localSheetId="66">'310'!$T$41:$T$46</definedName>
    <definedName name="OSRRefT22_1x_0" localSheetId="76">'310 &amp; 491'!$T$50:$T$56</definedName>
    <definedName name="OSRRefT22_1x_0" localSheetId="56">'311'!$T$73:$T$77</definedName>
    <definedName name="OSRRefT22_1x_0" localSheetId="68">'313'!$T$38:$T$42</definedName>
    <definedName name="OSRRefT22_1x_0" localSheetId="54">'314'!$T$64:$T$67</definedName>
    <definedName name="OSRRefT22_1x_0" localSheetId="59">'315'!$T$64:$T$69</definedName>
    <definedName name="OSRRefT22_1x_0" localSheetId="62">'316'!$T$41:$T$44</definedName>
    <definedName name="OSRRefT22_1x_0" localSheetId="65">'317'!$T$68:$T$71</definedName>
    <definedName name="OSRRefT22_1x_0" localSheetId="63">'320'!$T$37:$T$39</definedName>
    <definedName name="OSRRefT22_1x_0" localSheetId="69">'321'!$T$32:$T$36</definedName>
    <definedName name="OSRRefT22_1x_0" localSheetId="70">'322'!$T$33:$T$37</definedName>
    <definedName name="OSRRefT22_1x_0" localSheetId="72">'325'!$T$33:$T$38</definedName>
    <definedName name="OSRRefT22_1x_0" localSheetId="60">'326'!$T$69:$T$72</definedName>
    <definedName name="OSRRefT22_1x_0" localSheetId="73">'327'!$T$24</definedName>
    <definedName name="OSRRefT22_1x_0" localSheetId="52">'330'!$T$90:$T$94</definedName>
    <definedName name="OSRRefT22_1x_0" localSheetId="58">'331'!$T$82:$T$87</definedName>
    <definedName name="OSRRefT22_1x_0" localSheetId="61">'332'!$T$50:$T$53</definedName>
    <definedName name="OSRRefT22_1x_0" localSheetId="78">'405'!$T$33:$T$36</definedName>
    <definedName name="OSRRefT22_1x_0" localSheetId="79">'406'!$T$33:$T$37</definedName>
    <definedName name="OSRRefT22_1x_0" localSheetId="80">'411'!$T$30:$T$35</definedName>
    <definedName name="OSRRefT22_1x_0" localSheetId="81">'412'!$T$33:$T$38</definedName>
    <definedName name="OSRRefT22_1x_0" localSheetId="83">'413'!$T$33:$T$37</definedName>
    <definedName name="OSRRefT22_1x_0" localSheetId="84">'414'!$T$33:$T$38</definedName>
    <definedName name="OSRRefT22_1x_0" localSheetId="85">'415'!$T$33:$T$38</definedName>
    <definedName name="OSRRefT22_1x_0" localSheetId="86">'418'!$T$33:$T$38</definedName>
    <definedName name="OSRRefT22_1x_0" localSheetId="82">'420'!$T$30:$T$33</definedName>
    <definedName name="OSRRefT22_1x_0" localSheetId="87">'423'!$T$30</definedName>
    <definedName name="OSRRefT22_1x_0" localSheetId="88">'424'!$T$28:$T$31</definedName>
    <definedName name="OSRRefT22_1x_0" localSheetId="89">'425'!$T$36:$T$40</definedName>
    <definedName name="OSRRefT22_1x_0" localSheetId="92">'430'!$T$29</definedName>
    <definedName name="OSRRefT22_1x_0" localSheetId="93">'433'!$T$36:$T$41</definedName>
    <definedName name="OSRRefT22_1x_0" localSheetId="94">'435'!$T$29:$T$30</definedName>
    <definedName name="OSRRefT22_1x_0" localSheetId="95">'444'!$T$35:$T$40</definedName>
    <definedName name="OSRRefT22_1x_0" localSheetId="97">'450'!$T$35:$T$40</definedName>
    <definedName name="OSRRefT22_1x_0" localSheetId="90">'455'!$T$28:$T$29</definedName>
    <definedName name="OSRRefT22_1x_0" localSheetId="77">'491'!$T$43:$T$49</definedName>
    <definedName name="OSRRefT22_1x_0" localSheetId="91">'492'!$T$38:$T$44</definedName>
    <definedName name="OSRRefT22_1x_0" localSheetId="99">'501'!$T$30:$T$35</definedName>
    <definedName name="OSRRefT22_1x_0" localSheetId="39">'Div 2'!$T$32:$T$38</definedName>
    <definedName name="OSRRefT22_1x_0" localSheetId="47">'Div 3'!$T$177:$T$183</definedName>
    <definedName name="OSRRefT22_1x_0" localSheetId="75">'Div 4'!$T$44:$T$50</definedName>
    <definedName name="OSRRefT22_1x_0" localSheetId="98">'Div 5'!$T$30:$T$35</definedName>
    <definedName name="OSRRefT22_1x_0" localSheetId="64">'Div 6'!$T$68:$T$71</definedName>
    <definedName name="OSRRefT22_1x_0" localSheetId="2">Summary!$T$211:$T$217</definedName>
    <definedName name="OSRRefT22_20x_0" localSheetId="48">'300'!$T$228:$T$234</definedName>
    <definedName name="OSRRefT22_20x_0" localSheetId="49">'300 &amp; 317'!$T$253:$T$259</definedName>
    <definedName name="OSRRefT22_20x_0" localSheetId="50">'301'!$T$84:$T$86</definedName>
    <definedName name="OSRRefT22_20x_0" localSheetId="66">'310'!$T$97</definedName>
    <definedName name="OSRRefT22_20x_0" localSheetId="76">'310 &amp; 491'!$T$106:$T$113</definedName>
    <definedName name="OSRRefT22_20x_0" localSheetId="58">'331'!$T$138</definedName>
    <definedName name="OSRRefT22_20x_0" localSheetId="77">'491'!$T$104</definedName>
    <definedName name="OSRRefT22_20x_0" localSheetId="47">'Div 3'!$T$233:$T$234</definedName>
    <definedName name="OSRRefT22_20x_0" localSheetId="75">'Div 4'!$T$98:$T$105</definedName>
    <definedName name="OSRRefT22_20x_0" localSheetId="2">Summary!$T$265:$T$269</definedName>
    <definedName name="OSRRefT22_21x_0" localSheetId="48">'300'!$T$236:$T$237</definedName>
    <definedName name="OSRRefT22_21x_0" localSheetId="49">'300 &amp; 317'!$T$261:$T$262</definedName>
    <definedName name="OSRRefT22_21x_0" localSheetId="50">'301'!$T$88</definedName>
    <definedName name="OSRRefT22_21x_0" localSheetId="66">'310'!$T$99</definedName>
    <definedName name="OSRRefT22_21x_0" localSheetId="76">'310 &amp; 491'!$T$115</definedName>
    <definedName name="OSRRefT22_21x_0" localSheetId="58">'331'!$T$140:$T$141</definedName>
    <definedName name="OSRRefT22_21x_0" localSheetId="77">'491'!$T$106</definedName>
    <definedName name="OSRRefT22_21x_0" localSheetId="47">'Div 3'!$T$236:$T$242</definedName>
    <definedName name="OSRRefT22_21x_0" localSheetId="75">'Div 4'!$T$107</definedName>
    <definedName name="OSRRefT22_21x_0" localSheetId="2">Summary!$T$271:$T$272</definedName>
    <definedName name="OSRRefT22_22x_0" localSheetId="48">'300'!$T$239</definedName>
    <definedName name="OSRRefT22_22x_0" localSheetId="49">'300 &amp; 317'!$T$264</definedName>
    <definedName name="OSRRefT22_22x_0" localSheetId="76">'310 &amp; 491'!$T$117</definedName>
    <definedName name="OSRRefT22_22x_0" localSheetId="58">'331'!$T$143</definedName>
    <definedName name="OSRRefT22_22x_0" localSheetId="77">'491'!$T$108:$T$110</definedName>
    <definedName name="OSRRefT22_22x_0" localSheetId="47">'Div 3'!$T$244:$T$245</definedName>
    <definedName name="OSRRefT22_22x_0" localSheetId="75">'Div 4'!$T$109</definedName>
    <definedName name="OSRRefT22_22x_0" localSheetId="2">Summary!$T$274:$T$281</definedName>
    <definedName name="OSRRefT22_23x_0" localSheetId="48">'300'!$T$241:$T$243</definedName>
    <definedName name="OSRRefT22_23x_0" localSheetId="49">'300 &amp; 317'!$T$266:$T$268</definedName>
    <definedName name="OSRRefT22_23x_0" localSheetId="76">'310 &amp; 491'!$T$119:$T$121</definedName>
    <definedName name="OSRRefT22_23x_0" localSheetId="77">'491'!$T$112</definedName>
    <definedName name="OSRRefT22_23x_0" localSheetId="47">'Div 3'!$T$247</definedName>
    <definedName name="OSRRefT22_23x_0" localSheetId="75">'Div 4'!$T$111:$T$113</definedName>
    <definedName name="OSRRefT22_23x_0" localSheetId="2">Summary!$T$283:$T$284</definedName>
    <definedName name="OSRRefT22_24x_0" localSheetId="48">'300'!$T$245</definedName>
    <definedName name="OSRRefT22_24x_0" localSheetId="49">'300 &amp; 317'!$T$270</definedName>
    <definedName name="OSRRefT22_24x_0" localSheetId="76">'310 &amp; 491'!$T$123</definedName>
    <definedName name="OSRRefT22_24x_0" localSheetId="47">'Div 3'!$T$249:$T$251</definedName>
    <definedName name="OSRRefT22_24x_0" localSheetId="75">'Div 4'!$T$115</definedName>
    <definedName name="OSRRefT22_24x_0" localSheetId="2">Summary!$T$286</definedName>
    <definedName name="OSRRefT22_25x_0" localSheetId="47">'Div 3'!$T$253</definedName>
    <definedName name="OSRRefT22_25x_0" localSheetId="2">Summary!$T$288:$T$290</definedName>
    <definedName name="OSRRefT22_26x_0" localSheetId="2">Summary!$T$292</definedName>
    <definedName name="OSRRefT22_2x_0" localSheetId="40">'200'!$T$24</definedName>
    <definedName name="OSRRefT22_2x_0" localSheetId="41">'201'!$T$34</definedName>
    <definedName name="OSRRefT22_2x_0" localSheetId="42">'202'!$T$34</definedName>
    <definedName name="OSRRefT22_2x_0" localSheetId="43">'203'!$T$36</definedName>
    <definedName name="OSRRefT22_2x_0" localSheetId="44">'204'!$T$36</definedName>
    <definedName name="OSRRefT22_2x_0" localSheetId="45">'205'!$T$31</definedName>
    <definedName name="OSRRefT22_2x_0" localSheetId="46">'206'!$T$36</definedName>
    <definedName name="OSRRefT22_2x_0" localSheetId="48">'300'!$T$180</definedName>
    <definedName name="OSRRefT22_2x_0" localSheetId="49">'300 &amp; 317'!$T$205</definedName>
    <definedName name="OSRRefT22_2x_0" localSheetId="50">'301'!$T$37</definedName>
    <definedName name="OSRRefT22_2x_0" localSheetId="51">'306'!$T$36</definedName>
    <definedName name="OSRRefT22_2x_0" localSheetId="53">'307'!$T$87</definedName>
    <definedName name="OSRRefT22_2x_0" localSheetId="55">'308'!$T$80</definedName>
    <definedName name="OSRRefT22_2x_0" localSheetId="67">'309'!$T$39</definedName>
    <definedName name="OSRRefT22_2x_0" localSheetId="66">'310'!$T$48</definedName>
    <definedName name="OSRRefT22_2x_0" localSheetId="76">'310 &amp; 491'!$T$58</definedName>
    <definedName name="OSRRefT22_2x_0" localSheetId="56">'311'!$T$79</definedName>
    <definedName name="OSRRefT22_2x_0" localSheetId="68">'313'!$T$44</definedName>
    <definedName name="OSRRefT22_2x_0" localSheetId="54">'314'!$T$69</definedName>
    <definedName name="OSRRefT22_2x_0" localSheetId="59">'315'!$T$71</definedName>
    <definedName name="OSRRefT22_2x_0" localSheetId="62">'316'!$T$46</definedName>
    <definedName name="OSRRefT22_2x_0" localSheetId="65">'317'!$T$73</definedName>
    <definedName name="OSRRefT22_2x_0" localSheetId="63">'320'!$T$41</definedName>
    <definedName name="OSRRefT22_2x_0" localSheetId="69">'321'!$T$38</definedName>
    <definedName name="OSRRefT22_2x_0" localSheetId="70">'322'!$T$39</definedName>
    <definedName name="OSRRefT22_2x_0" localSheetId="72">'325'!$T$40</definedName>
    <definedName name="OSRRefT22_2x_0" localSheetId="60">'326'!$T$74</definedName>
    <definedName name="OSRRefT22_2x_0" localSheetId="73">'327'!$T$26</definedName>
    <definedName name="OSRRefT22_2x_0" localSheetId="52">'330'!$T$96</definedName>
    <definedName name="OSRRefT22_2x_0" localSheetId="58">'331'!$T$89</definedName>
    <definedName name="OSRRefT22_2x_0" localSheetId="61">'332'!$T$55</definedName>
    <definedName name="OSRRefT22_2x_0" localSheetId="78">'405'!$T$38</definedName>
    <definedName name="OSRRefT22_2x_0" localSheetId="79">'406'!$T$39</definedName>
    <definedName name="OSRRefT22_2x_0" localSheetId="80">'411'!$T$37</definedName>
    <definedName name="OSRRefT22_2x_0" localSheetId="81">'412'!$T$40</definedName>
    <definedName name="OSRRefT22_2x_0" localSheetId="83">'413'!$T$39</definedName>
    <definedName name="OSRRefT22_2x_0" localSheetId="84">'414'!$T$40</definedName>
    <definedName name="OSRRefT22_2x_0" localSheetId="85">'415'!$T$40</definedName>
    <definedName name="OSRRefT22_2x_0" localSheetId="86">'418'!$T$40</definedName>
    <definedName name="OSRRefT22_2x_0" localSheetId="82">'420'!$T$35</definedName>
    <definedName name="OSRRefT22_2x_0" localSheetId="87">'423'!$T$32</definedName>
    <definedName name="OSRRefT22_2x_0" localSheetId="88">'424'!$T$33</definedName>
    <definedName name="OSRRefT22_2x_0" localSheetId="89">'425'!$T$42</definedName>
    <definedName name="OSRRefT22_2x_0" localSheetId="92">'430'!$T$31</definedName>
    <definedName name="OSRRefT22_2x_0" localSheetId="93">'433'!$T$43</definedName>
    <definedName name="OSRRefT22_2x_0" localSheetId="94">'435'!$T$32</definedName>
    <definedName name="OSRRefT22_2x_0" localSheetId="95">'444'!$T$42</definedName>
    <definedName name="OSRRefT22_2x_0" localSheetId="97">'450'!$T$42</definedName>
    <definedName name="OSRRefT22_2x_0" localSheetId="90">'455'!$T$31</definedName>
    <definedName name="OSRRefT22_2x_0" localSheetId="77">'491'!$T$51</definedName>
    <definedName name="OSRRefT22_2x_0" localSheetId="91">'492'!$T$46</definedName>
    <definedName name="OSRRefT22_2x_0" localSheetId="99">'501'!$T$37</definedName>
    <definedName name="OSRRefT22_2x_0" localSheetId="39">'Div 2'!$T$40</definedName>
    <definedName name="OSRRefT22_2x_0" localSheetId="47">'Div 3'!$T$185</definedName>
    <definedName name="OSRRefT22_2x_0" localSheetId="75">'Div 4'!$T$52</definedName>
    <definedName name="OSRRefT22_2x_0" localSheetId="98">'Div 5'!$T$37</definedName>
    <definedName name="OSRRefT22_2x_0" localSheetId="64">'Div 6'!$T$73</definedName>
    <definedName name="OSRRefT22_2x_0" localSheetId="2">Summary!$T$219</definedName>
    <definedName name="OSRRefT22_3x_0" localSheetId="40">'200'!$T$26</definedName>
    <definedName name="OSRRefT22_3x_0" localSheetId="41">'201'!$T$36</definedName>
    <definedName name="OSRRefT22_3x_0" localSheetId="42">'202'!$T$36</definedName>
    <definedName name="OSRRefT22_3x_0" localSheetId="43">'203'!$T$38</definedName>
    <definedName name="OSRRefT22_3x_0" localSheetId="44">'204'!$T$38:$T$39</definedName>
    <definedName name="OSRRefT22_3x_0" localSheetId="45">'205'!$T$33</definedName>
    <definedName name="OSRRefT22_3x_0" localSheetId="46">'206'!$T$38</definedName>
    <definedName name="OSRRefT22_3x_0" localSheetId="48">'300'!$T$182:$T$183</definedName>
    <definedName name="OSRRefT22_3x_0" localSheetId="49">'300 &amp; 317'!$T$207:$T$208</definedName>
    <definedName name="OSRRefT22_3x_0" localSheetId="50">'301'!$T$39:$T$40</definedName>
    <definedName name="OSRRefT22_3x_0" localSheetId="51">'306'!$T$38</definedName>
    <definedName name="OSRRefT22_3x_0" localSheetId="53">'307'!$T$89</definedName>
    <definedName name="OSRRefT22_3x_0" localSheetId="55">'308'!$T$82:$T$83</definedName>
    <definedName name="OSRRefT22_3x_0" localSheetId="67">'309'!$T$41</definedName>
    <definedName name="OSRRefT22_3x_0" localSheetId="66">'310'!$T$50</definedName>
    <definedName name="OSRRefT22_3x_0" localSheetId="76">'310 &amp; 491'!$T$60</definedName>
    <definedName name="OSRRefT22_3x_0" localSheetId="56">'311'!$T$81:$T$82</definedName>
    <definedName name="OSRRefT22_3x_0" localSheetId="68">'313'!$T$46</definedName>
    <definedName name="OSRRefT22_3x_0" localSheetId="54">'314'!$T$71:$T$72</definedName>
    <definedName name="OSRRefT22_3x_0" localSheetId="59">'315'!$T$73:$T$74</definedName>
    <definedName name="OSRRefT22_3x_0" localSheetId="62">'316'!$T$48</definedName>
    <definedName name="OSRRefT22_3x_0" localSheetId="65">'317'!$T$75</definedName>
    <definedName name="OSRRefT22_3x_0" localSheetId="63">'320'!$T$43</definedName>
    <definedName name="OSRRefT22_3x_0" localSheetId="69">'321'!$T$40</definedName>
    <definedName name="OSRRefT22_3x_0" localSheetId="70">'322'!$T$41</definedName>
    <definedName name="OSRRefT22_3x_0" localSheetId="72">'325'!$T$42</definedName>
    <definedName name="OSRRefT22_3x_0" localSheetId="60">'326'!$T$76</definedName>
    <definedName name="OSRRefT22_3x_0" localSheetId="52">'330'!$T$98</definedName>
    <definedName name="OSRRefT22_3x_0" localSheetId="58">'331'!$T$91</definedName>
    <definedName name="OSRRefT22_3x_0" localSheetId="61">'332'!$T$57</definedName>
    <definedName name="OSRRefT22_3x_0" localSheetId="78">'405'!$T$40</definedName>
    <definedName name="OSRRefT22_3x_0" localSheetId="79">'406'!$T$41</definedName>
    <definedName name="OSRRefT22_3x_0" localSheetId="80">'411'!$T$39:$T$41</definedName>
    <definedName name="OSRRefT22_3x_0" localSheetId="81">'412'!$T$42</definedName>
    <definedName name="OSRRefT22_3x_0" localSheetId="83">'413'!$T$41</definedName>
    <definedName name="OSRRefT22_3x_0" localSheetId="84">'414'!$T$42</definedName>
    <definedName name="OSRRefT22_3x_0" localSheetId="85">'415'!$T$42</definedName>
    <definedName name="OSRRefT22_3x_0" localSheetId="86">'418'!$T$42</definedName>
    <definedName name="OSRRefT22_3x_0" localSheetId="82">'420'!$T$37</definedName>
    <definedName name="OSRRefT22_3x_0" localSheetId="87">'423'!$T$34</definedName>
    <definedName name="OSRRefT22_3x_0" localSheetId="88">'424'!$T$35</definedName>
    <definedName name="OSRRefT22_3x_0" localSheetId="89">'425'!$T$44</definedName>
    <definedName name="OSRRefT22_3x_0" localSheetId="92">'430'!$T$33</definedName>
    <definedName name="OSRRefT22_3x_0" localSheetId="93">'433'!$T$45</definedName>
    <definedName name="OSRRefT22_3x_0" localSheetId="94">'435'!$T$34</definedName>
    <definedName name="OSRRefT22_3x_0" localSheetId="95">'444'!$T$44</definedName>
    <definedName name="OSRRefT22_3x_0" localSheetId="97">'450'!$T$44</definedName>
    <definedName name="OSRRefT22_3x_0" localSheetId="77">'491'!$T$53</definedName>
    <definedName name="OSRRefT22_3x_0" localSheetId="91">'492'!$T$48</definedName>
    <definedName name="OSRRefT22_3x_0" localSheetId="99">'501'!$T$39</definedName>
    <definedName name="OSRRefT22_3x_0" localSheetId="39">'Div 2'!$T$42</definedName>
    <definedName name="OSRRefT22_3x_0" localSheetId="47">'Div 3'!$T$187:$T$188</definedName>
    <definedName name="OSRRefT22_3x_0" localSheetId="75">'Div 4'!$T$54</definedName>
    <definedName name="OSRRefT22_3x_0" localSheetId="98">'Div 5'!$T$39</definedName>
    <definedName name="OSRRefT22_3x_0" localSheetId="64">'Div 6'!$T$75</definedName>
    <definedName name="OSRRefT22_3x_0" localSheetId="2">Summary!$T$221:$T$222</definedName>
    <definedName name="OSRRefT22_4x_0" localSheetId="40">'200'!$T$28:$T$29</definedName>
    <definedName name="OSRRefT22_4x_0" localSheetId="41">'201'!$T$38</definedName>
    <definedName name="OSRRefT22_4x_0" localSheetId="42">'202'!$T$38</definedName>
    <definedName name="OSRRefT22_4x_0" localSheetId="43">'203'!$T$40</definedName>
    <definedName name="OSRRefT22_4x_0" localSheetId="44">'204'!$T$41</definedName>
    <definedName name="OSRRefT22_4x_0" localSheetId="45">'205'!$T$35:$T$36</definedName>
    <definedName name="OSRRefT22_4x_0" localSheetId="46">'206'!$T$40</definedName>
    <definedName name="OSRRefT22_4x_0" localSheetId="48">'300'!$T$185</definedName>
    <definedName name="OSRRefT22_4x_0" localSheetId="49">'300 &amp; 317'!$T$210</definedName>
    <definedName name="OSRRefT22_4x_0" localSheetId="50">'301'!$T$42</definedName>
    <definedName name="OSRRefT22_4x_0" localSheetId="51">'306'!$T$40</definedName>
    <definedName name="OSRRefT22_4x_0" localSheetId="53">'307'!$T$91:$T$92</definedName>
    <definedName name="OSRRefT22_4x_0" localSheetId="55">'308'!$T$85</definedName>
    <definedName name="OSRRefT22_4x_0" localSheetId="67">'309'!$T$43</definedName>
    <definedName name="OSRRefT22_4x_0" localSheetId="66">'310'!$T$52</definedName>
    <definedName name="OSRRefT22_4x_0" localSheetId="76">'310 &amp; 491'!$T$62</definedName>
    <definedName name="OSRRefT22_4x_0" localSheetId="56">'311'!$T$84</definedName>
    <definedName name="OSRRefT22_4x_0" localSheetId="68">'313'!$T$48</definedName>
    <definedName name="OSRRefT22_4x_0" localSheetId="54">'314'!$T$74</definedName>
    <definedName name="OSRRefT22_4x_0" localSheetId="59">'315'!$T$76</definedName>
    <definedName name="OSRRefT22_4x_0" localSheetId="62">'316'!$T$50</definedName>
    <definedName name="OSRRefT22_4x_0" localSheetId="65">'317'!$T$77</definedName>
    <definedName name="OSRRefT22_4x_0" localSheetId="63">'320'!$T$45:$T$46</definedName>
    <definedName name="OSRRefT22_4x_0" localSheetId="69">'321'!$T$42</definedName>
    <definedName name="OSRRefT22_4x_0" localSheetId="70">'322'!$T$43</definedName>
    <definedName name="OSRRefT22_4x_0" localSheetId="72">'325'!$T$44</definedName>
    <definedName name="OSRRefT22_4x_0" localSheetId="60">'326'!$T$78</definedName>
    <definedName name="OSRRefT22_4x_0" localSheetId="52">'330'!$T$100:$T$101</definedName>
    <definedName name="OSRRefT22_4x_0" localSheetId="58">'331'!$T$93</definedName>
    <definedName name="OSRRefT22_4x_0" localSheetId="61">'332'!$T$59</definedName>
    <definedName name="OSRRefT22_4x_0" localSheetId="78">'405'!$T$42</definedName>
    <definedName name="OSRRefT22_4x_0" localSheetId="79">'406'!$T$43</definedName>
    <definedName name="OSRRefT22_4x_0" localSheetId="80">'411'!$T$43</definedName>
    <definedName name="OSRRefT22_4x_0" localSheetId="81">'412'!$T$44</definedName>
    <definedName name="OSRRefT22_4x_0" localSheetId="83">'413'!$T$43</definedName>
    <definedName name="OSRRefT22_4x_0" localSheetId="84">'414'!$T$44</definedName>
    <definedName name="OSRRefT22_4x_0" localSheetId="85">'415'!$T$44</definedName>
    <definedName name="OSRRefT22_4x_0" localSheetId="86">'418'!$T$44</definedName>
    <definedName name="OSRRefT22_4x_0" localSheetId="82">'420'!$T$39</definedName>
    <definedName name="OSRRefT22_4x_0" localSheetId="87">'423'!$T$36</definedName>
    <definedName name="OSRRefT22_4x_0" localSheetId="88">'424'!$T$37</definedName>
    <definedName name="OSRRefT22_4x_0" localSheetId="89">'425'!$T$46</definedName>
    <definedName name="OSRRefT22_4x_0" localSheetId="92">'430'!$T$35</definedName>
    <definedName name="OSRRefT22_4x_0" localSheetId="93">'433'!$T$47</definedName>
    <definedName name="OSRRefT22_4x_0" localSheetId="94">'435'!$T$36</definedName>
    <definedName name="OSRRefT22_4x_0" localSheetId="95">'444'!$T$46</definedName>
    <definedName name="OSRRefT22_4x_0" localSheetId="97">'450'!$T$46</definedName>
    <definedName name="OSRRefT22_4x_0" localSheetId="77">'491'!$T$55</definedName>
    <definedName name="OSRRefT22_4x_0" localSheetId="91">'492'!$T$50</definedName>
    <definedName name="OSRRefT22_4x_0" localSheetId="99">'501'!$T$41</definedName>
    <definedName name="OSRRefT22_4x_0" localSheetId="39">'Div 2'!$T$44</definedName>
    <definedName name="OSRRefT22_4x_0" localSheetId="47">'Div 3'!$T$190</definedName>
    <definedName name="OSRRefT22_4x_0" localSheetId="75">'Div 4'!$T$56</definedName>
    <definedName name="OSRRefT22_4x_0" localSheetId="98">'Div 5'!$T$41</definedName>
    <definedName name="OSRRefT22_4x_0" localSheetId="64">'Div 6'!$T$77</definedName>
    <definedName name="OSRRefT22_4x_0" localSheetId="2">Summary!$T$224</definedName>
    <definedName name="OSRRefT22_5x_0" localSheetId="41">'201'!$T$40</definedName>
    <definedName name="OSRRefT22_5x_0" localSheetId="42">'202'!$T$40</definedName>
    <definedName name="OSRRefT22_5x_0" localSheetId="43">'203'!$T$42</definedName>
    <definedName name="OSRRefT22_5x_0" localSheetId="44">'204'!$T$43</definedName>
    <definedName name="OSRRefT22_5x_0" localSheetId="45">'205'!$T$38</definedName>
    <definedName name="OSRRefT22_5x_0" localSheetId="46">'206'!$T$42:$T$43</definedName>
    <definedName name="OSRRefT22_5x_0" localSheetId="48">'300'!$T$187:$T$188</definedName>
    <definedName name="OSRRefT22_5x_0" localSheetId="49">'300 &amp; 317'!$T$212:$T$213</definedName>
    <definedName name="OSRRefT22_5x_0" localSheetId="50">'301'!$T$44:$T$45</definedName>
    <definedName name="OSRRefT22_5x_0" localSheetId="51">'306'!$T$42</definedName>
    <definedName name="OSRRefT22_5x_0" localSheetId="53">'307'!$T$94</definedName>
    <definedName name="OSRRefT22_5x_0" localSheetId="55">'308'!$T$87</definedName>
    <definedName name="OSRRefT22_5x_0" localSheetId="67">'309'!$T$45</definedName>
    <definedName name="OSRRefT22_5x_0" localSheetId="66">'310'!$T$54:$T$55</definedName>
    <definedName name="OSRRefT22_5x_0" localSheetId="76">'310 &amp; 491'!$T$64:$T$66</definedName>
    <definedName name="OSRRefT22_5x_0" localSheetId="56">'311'!$T$86</definedName>
    <definedName name="OSRRefT22_5x_0" localSheetId="68">'313'!$T$50</definedName>
    <definedName name="OSRRefT22_5x_0" localSheetId="54">'314'!$T$76</definedName>
    <definedName name="OSRRefT22_5x_0" localSheetId="59">'315'!$T$78:$T$79</definedName>
    <definedName name="OSRRefT22_5x_0" localSheetId="62">'316'!$T$52</definedName>
    <definedName name="OSRRefT22_5x_0" localSheetId="65">'317'!$T$79</definedName>
    <definedName name="OSRRefT22_5x_0" localSheetId="63">'320'!$T$48</definedName>
    <definedName name="OSRRefT22_5x_0" localSheetId="69">'321'!$T$44</definedName>
    <definedName name="OSRRefT22_5x_0" localSheetId="70">'322'!$T$45</definedName>
    <definedName name="OSRRefT22_5x_0" localSheetId="72">'325'!$T$46:$T$47</definedName>
    <definedName name="OSRRefT22_5x_0" localSheetId="60">'326'!$T$80</definedName>
    <definedName name="OSRRefT22_5x_0" localSheetId="52">'330'!$T$103</definedName>
    <definedName name="OSRRefT22_5x_0" localSheetId="58">'331'!$T$95:$T$96</definedName>
    <definedName name="OSRRefT22_5x_0" localSheetId="61">'332'!$T$61:$T$62</definedName>
    <definedName name="OSRRefT22_5x_0" localSheetId="78">'405'!$T$44:$T$45</definedName>
    <definedName name="OSRRefT22_5x_0" localSheetId="79">'406'!$T$45</definedName>
    <definedName name="OSRRefT22_5x_0" localSheetId="80">'411'!$T$45</definedName>
    <definedName name="OSRRefT22_5x_0" localSheetId="81">'412'!$T$46</definedName>
    <definedName name="OSRRefT22_5x_0" localSheetId="83">'413'!$T$45</definedName>
    <definedName name="OSRRefT22_5x_0" localSheetId="84">'414'!$T$46</definedName>
    <definedName name="OSRRefT22_5x_0" localSheetId="85">'415'!$T$46:$T$47</definedName>
    <definedName name="OSRRefT22_5x_0" localSheetId="86">'418'!$T$46:$T$47</definedName>
    <definedName name="OSRRefT22_5x_0" localSheetId="87">'423'!$T$38</definedName>
    <definedName name="OSRRefT22_5x_0" localSheetId="88">'424'!$T$39</definedName>
    <definedName name="OSRRefT22_5x_0" localSheetId="89">'425'!$T$48</definedName>
    <definedName name="OSRRefT22_5x_0" localSheetId="92">'430'!$T$37</definedName>
    <definedName name="OSRRefT22_5x_0" localSheetId="93">'433'!$T$49</definedName>
    <definedName name="OSRRefT22_5x_0" localSheetId="94">'435'!$T$38</definedName>
    <definedName name="OSRRefT22_5x_0" localSheetId="95">'444'!$T$48</definedName>
    <definedName name="OSRRefT22_5x_0" localSheetId="97">'450'!$T$48</definedName>
    <definedName name="OSRRefT22_5x_0" localSheetId="77">'491'!$T$57:$T$59</definedName>
    <definedName name="OSRRefT22_5x_0" localSheetId="91">'492'!$T$52</definedName>
    <definedName name="OSRRefT22_5x_0" localSheetId="99">'501'!$T$43</definedName>
    <definedName name="OSRRefT22_5x_0" localSheetId="39">'Div 2'!$T$46:$T$47</definedName>
    <definedName name="OSRRefT22_5x_0" localSheetId="47">'Div 3'!$T$192:$T$193</definedName>
    <definedName name="OSRRefT22_5x_0" localSheetId="75">'Div 4'!$T$58:$T$60</definedName>
    <definedName name="OSRRefT22_5x_0" localSheetId="98">'Div 5'!$T$43</definedName>
    <definedName name="OSRRefT22_5x_0" localSheetId="64">'Div 6'!$T$79</definedName>
    <definedName name="OSRRefT22_5x_0" localSheetId="2">Summary!$T$226:$T$228</definedName>
    <definedName name="OSRRefT22_6x_0" localSheetId="41">'201'!$T$42</definedName>
    <definedName name="OSRRefT22_6x_0" localSheetId="42">'202'!$T$42</definedName>
    <definedName name="OSRRefT22_6x_0" localSheetId="43">'203'!$T$44</definedName>
    <definedName name="OSRRefT22_6x_0" localSheetId="44">'204'!$T$45:$T$47</definedName>
    <definedName name="OSRRefT22_6x_0" localSheetId="45">'205'!$T$40:$T$41</definedName>
    <definedName name="OSRRefT22_6x_0" localSheetId="46">'206'!$T$45</definedName>
    <definedName name="OSRRefT22_6x_0" localSheetId="48">'300'!$T$190:$T$191</definedName>
    <definedName name="OSRRefT22_6x_0" localSheetId="49">'300 &amp; 317'!$T$215:$T$216</definedName>
    <definedName name="OSRRefT22_6x_0" localSheetId="50">'301'!$T$47:$T$48</definedName>
    <definedName name="OSRRefT22_6x_0" localSheetId="51">'306'!$T$44</definedName>
    <definedName name="OSRRefT22_6x_0" localSheetId="53">'307'!$T$96</definedName>
    <definedName name="OSRRefT22_6x_0" localSheetId="55">'308'!$T$89:$T$90</definedName>
    <definedName name="OSRRefT22_6x_0" localSheetId="67">'309'!$T$47</definedName>
    <definedName name="OSRRefT22_6x_0" localSheetId="66">'310'!$T$57</definedName>
    <definedName name="OSRRefT22_6x_0" localSheetId="76">'310 &amp; 491'!$T$68</definedName>
    <definedName name="OSRRefT22_6x_0" localSheetId="56">'311'!$T$88:$T$89</definedName>
    <definedName name="OSRRefT22_6x_0" localSheetId="68">'313'!$T$52</definedName>
    <definedName name="OSRRefT22_6x_0" localSheetId="54">'314'!$T$78</definedName>
    <definedName name="OSRRefT22_6x_0" localSheetId="59">'315'!$T$81</definedName>
    <definedName name="OSRRefT22_6x_0" localSheetId="62">'316'!$T$54</definedName>
    <definedName name="OSRRefT22_6x_0" localSheetId="65">'317'!$T$81</definedName>
    <definedName name="OSRRefT22_6x_0" localSheetId="63">'320'!$T$50</definedName>
    <definedName name="OSRRefT22_6x_0" localSheetId="69">'321'!$T$46:$T$48</definedName>
    <definedName name="OSRRefT22_6x_0" localSheetId="70">'322'!$T$47</definedName>
    <definedName name="OSRRefT22_6x_0" localSheetId="72">'325'!$T$49</definedName>
    <definedName name="OSRRefT22_6x_0" localSheetId="60">'326'!$T$82</definedName>
    <definedName name="OSRRefT22_6x_0" localSheetId="52">'330'!$T$105</definedName>
    <definedName name="OSRRefT22_6x_0" localSheetId="58">'331'!$T$98</definedName>
    <definedName name="OSRRefT22_6x_0" localSheetId="61">'332'!$T$64</definedName>
    <definedName name="OSRRefT22_6x_0" localSheetId="78">'405'!$T$47</definedName>
    <definedName name="OSRRefT22_6x_0" localSheetId="79">'406'!$T$47</definedName>
    <definedName name="OSRRefT22_6x_0" localSheetId="80">'411'!$T$47</definedName>
    <definedName name="OSRRefT22_6x_0" localSheetId="81">'412'!$T$48</definedName>
    <definedName name="OSRRefT22_6x_0" localSheetId="83">'413'!$T$47</definedName>
    <definedName name="OSRRefT22_6x_0" localSheetId="84">'414'!$T$48</definedName>
    <definedName name="OSRRefT22_6x_0" localSheetId="85">'415'!$T$49</definedName>
    <definedName name="OSRRefT22_6x_0" localSheetId="86">'418'!$T$49</definedName>
    <definedName name="OSRRefT22_6x_0" localSheetId="88">'424'!$T$41</definedName>
    <definedName name="OSRRefT22_6x_0" localSheetId="89">'425'!$T$50</definedName>
    <definedName name="OSRRefT22_6x_0" localSheetId="92">'430'!$T$39:$T$40</definedName>
    <definedName name="OSRRefT22_6x_0" localSheetId="93">'433'!$T$51</definedName>
    <definedName name="OSRRefT22_6x_0" localSheetId="94">'435'!$T$40</definedName>
    <definedName name="OSRRefT22_6x_0" localSheetId="95">'444'!$T$50</definedName>
    <definedName name="OSRRefT22_6x_0" localSheetId="97">'450'!$T$50</definedName>
    <definedName name="OSRRefT22_6x_0" localSheetId="77">'491'!$T$61</definedName>
    <definedName name="OSRRefT22_6x_0" localSheetId="91">'492'!$T$54</definedName>
    <definedName name="OSRRefT22_6x_0" localSheetId="99">'501'!$T$45</definedName>
    <definedName name="OSRRefT22_6x_0" localSheetId="39">'Div 2'!$T$49</definedName>
    <definedName name="OSRRefT22_6x_0" localSheetId="47">'Div 3'!$T$195:$T$196</definedName>
    <definedName name="OSRRefT22_6x_0" localSheetId="75">'Div 4'!$T$62</definedName>
    <definedName name="OSRRefT22_6x_0" localSheetId="98">'Div 5'!$T$45</definedName>
    <definedName name="OSRRefT22_6x_0" localSheetId="64">'Div 6'!$T$81</definedName>
    <definedName name="OSRRefT22_6x_0" localSheetId="2">Summary!$T$230:$T$231</definedName>
    <definedName name="OSRRefT22_7x_0" localSheetId="41">'201'!$T$44</definedName>
    <definedName name="OSRRefT22_7x_0" localSheetId="42">'202'!$T$44</definedName>
    <definedName name="OSRRefT22_7x_0" localSheetId="43">'203'!$T$46</definedName>
    <definedName name="OSRRefT22_7x_0" localSheetId="44">'204'!$T$49:$T$50</definedName>
    <definedName name="OSRRefT22_7x_0" localSheetId="45">'205'!$T$43</definedName>
    <definedName name="OSRRefT22_7x_0" localSheetId="46">'206'!$T$47</definedName>
    <definedName name="OSRRefT22_7x_0" localSheetId="48">'300'!$T$193</definedName>
    <definedName name="OSRRefT22_7x_0" localSheetId="49">'300 &amp; 317'!$T$218</definedName>
    <definedName name="OSRRefT22_7x_0" localSheetId="50">'301'!$T$50</definedName>
    <definedName name="OSRRefT22_7x_0" localSheetId="51">'306'!$T$46:$T$47</definedName>
    <definedName name="OSRRefT22_7x_0" localSheetId="53">'307'!$T$98</definedName>
    <definedName name="OSRRefT22_7x_0" localSheetId="55">'308'!$T$92</definedName>
    <definedName name="OSRRefT22_7x_0" localSheetId="67">'309'!$T$49:$T$50</definedName>
    <definedName name="OSRRefT22_7x_0" localSheetId="66">'310'!$T$59</definedName>
    <definedName name="OSRRefT22_7x_0" localSheetId="76">'310 &amp; 491'!$T$70</definedName>
    <definedName name="OSRRefT22_7x_0" localSheetId="56">'311'!$T$91</definedName>
    <definedName name="OSRRefT22_7x_0" localSheetId="68">'313'!$T$54</definedName>
    <definedName name="OSRRefT22_7x_0" localSheetId="54">'314'!$T$80:$T$81</definedName>
    <definedName name="OSRRefT22_7x_0" localSheetId="59">'315'!$T$83</definedName>
    <definedName name="OSRRefT22_7x_0" localSheetId="62">'316'!$T$56:$T$57</definedName>
    <definedName name="OSRRefT22_7x_0" localSheetId="65">'317'!$T$83</definedName>
    <definedName name="OSRRefT22_7x_0" localSheetId="63">'320'!$T$52:$T$53</definedName>
    <definedName name="OSRRefT22_7x_0" localSheetId="69">'321'!$T$50</definedName>
    <definedName name="OSRRefT22_7x_0" localSheetId="70">'322'!$T$49</definedName>
    <definedName name="OSRRefT22_7x_0" localSheetId="72">'325'!$T$51</definedName>
    <definedName name="OSRRefT22_7x_0" localSheetId="60">'326'!$T$84</definedName>
    <definedName name="OSRRefT22_7x_0" localSheetId="52">'330'!$T$107</definedName>
    <definedName name="OSRRefT22_7x_0" localSheetId="58">'331'!$T$100</definedName>
    <definedName name="OSRRefT22_7x_0" localSheetId="61">'332'!$T$66</definedName>
    <definedName name="OSRRefT22_7x_0" localSheetId="78">'405'!$T$49</definedName>
    <definedName name="OSRRefT22_7x_0" localSheetId="79">'406'!$T$49</definedName>
    <definedName name="OSRRefT22_7x_0" localSheetId="80">'411'!$T$49</definedName>
    <definedName name="OSRRefT22_7x_0" localSheetId="81">'412'!$T$50</definedName>
    <definedName name="OSRRefT22_7x_0" localSheetId="83">'413'!$T$49:$T$51</definedName>
    <definedName name="OSRRefT22_7x_0" localSheetId="84">'414'!$T$50</definedName>
    <definedName name="OSRRefT22_7x_0" localSheetId="85">'415'!$T$51</definedName>
    <definedName name="OSRRefT22_7x_0" localSheetId="86">'418'!$T$51</definedName>
    <definedName name="OSRRefT22_7x_0" localSheetId="88">'424'!$T$43:$T$44</definedName>
    <definedName name="OSRRefT22_7x_0" localSheetId="89">'425'!$T$52</definedName>
    <definedName name="OSRRefT22_7x_0" localSheetId="92">'430'!$T$42</definedName>
    <definedName name="OSRRefT22_7x_0" localSheetId="93">'433'!$T$53</definedName>
    <definedName name="OSRRefT22_7x_0" localSheetId="94">'435'!$T$42:$T$45</definedName>
    <definedName name="OSRRefT22_7x_0" localSheetId="95">'444'!$T$52</definedName>
    <definedName name="OSRRefT22_7x_0" localSheetId="97">'450'!$T$52</definedName>
    <definedName name="OSRRefT22_7x_0" localSheetId="77">'491'!$T$63</definedName>
    <definedName name="OSRRefT22_7x_0" localSheetId="91">'492'!$T$56</definedName>
    <definedName name="OSRRefT22_7x_0" localSheetId="99">'501'!$T$47</definedName>
    <definedName name="OSRRefT22_7x_0" localSheetId="39">'Div 2'!$T$51</definedName>
    <definedName name="OSRRefT22_7x_0" localSheetId="47">'Div 3'!$T$198</definedName>
    <definedName name="OSRRefT22_7x_0" localSheetId="75">'Div 4'!$T$64</definedName>
    <definedName name="OSRRefT22_7x_0" localSheetId="98">'Div 5'!$T$47</definedName>
    <definedName name="OSRRefT22_7x_0" localSheetId="64">'Div 6'!$T$83</definedName>
    <definedName name="OSRRefT22_7x_0" localSheetId="2">Summary!$T$233</definedName>
    <definedName name="OSRRefT22_8x_0" localSheetId="41">'201'!$T$46</definedName>
    <definedName name="OSRRefT22_8x_0" localSheetId="42">'202'!$T$46</definedName>
    <definedName name="OSRRefT22_8x_0" localSheetId="43">'203'!$T$48</definedName>
    <definedName name="OSRRefT22_8x_0" localSheetId="44">'204'!$T$52:$T$53</definedName>
    <definedName name="OSRRefT22_8x_0" localSheetId="45">'205'!$T$45</definedName>
    <definedName name="OSRRefT22_8x_0" localSheetId="48">'300'!$T$195</definedName>
    <definedName name="OSRRefT22_8x_0" localSheetId="49">'300 &amp; 317'!$T$220</definedName>
    <definedName name="OSRRefT22_8x_0" localSheetId="50">'301'!$T$52</definedName>
    <definedName name="OSRRefT22_8x_0" localSheetId="51">'306'!$T$49:$T$53</definedName>
    <definedName name="OSRRefT22_8x_0" localSheetId="53">'307'!$T$100</definedName>
    <definedName name="OSRRefT22_8x_0" localSheetId="55">'308'!$T$94</definedName>
    <definedName name="OSRRefT22_8x_0" localSheetId="67">'309'!$T$52:$T$54</definedName>
    <definedName name="OSRRefT22_8x_0" localSheetId="66">'310'!$T$61</definedName>
    <definedName name="OSRRefT22_8x_0" localSheetId="76">'310 &amp; 491'!$T$72</definedName>
    <definedName name="OSRRefT22_8x_0" localSheetId="56">'311'!$T$93</definedName>
    <definedName name="OSRRefT22_8x_0" localSheetId="68">'313'!$T$56</definedName>
    <definedName name="OSRRefT22_8x_0" localSheetId="54">'314'!$T$83</definedName>
    <definedName name="OSRRefT22_8x_0" localSheetId="59">'315'!$T$85:$T$86</definedName>
    <definedName name="OSRRefT22_8x_0" localSheetId="62">'316'!$T$59</definedName>
    <definedName name="OSRRefT22_8x_0" localSheetId="65">'317'!$T$85</definedName>
    <definedName name="OSRRefT22_8x_0" localSheetId="63">'320'!$T$55</definedName>
    <definedName name="OSRRefT22_8x_0" localSheetId="69">'321'!$T$52:$T$54</definedName>
    <definedName name="OSRRefT22_8x_0" localSheetId="70">'322'!$T$51</definedName>
    <definedName name="OSRRefT22_8x_0" localSheetId="72">'325'!$T$53</definedName>
    <definedName name="OSRRefT22_8x_0" localSheetId="60">'326'!$T$86</definedName>
    <definedName name="OSRRefT22_8x_0" localSheetId="52">'330'!$T$109</definedName>
    <definedName name="OSRRefT22_8x_0" localSheetId="58">'331'!$T$102:$T$103</definedName>
    <definedName name="OSRRefT22_8x_0" localSheetId="61">'332'!$T$68:$T$69</definedName>
    <definedName name="OSRRefT22_8x_0" localSheetId="78">'405'!$T$51</definedName>
    <definedName name="OSRRefT22_8x_0" localSheetId="79">'406'!$T$51</definedName>
    <definedName name="OSRRefT22_8x_0" localSheetId="80">'411'!$T$51</definedName>
    <definedName name="OSRRefT22_8x_0" localSheetId="81">'412'!$T$52:$T$53</definedName>
    <definedName name="OSRRefT22_8x_0" localSheetId="83">'413'!$T$53:$T$54</definedName>
    <definedName name="OSRRefT22_8x_0" localSheetId="84">'414'!$T$52</definedName>
    <definedName name="OSRRefT22_8x_0" localSheetId="85">'415'!$T$53</definedName>
    <definedName name="OSRRefT22_8x_0" localSheetId="86">'418'!$T$53</definedName>
    <definedName name="OSRRefT22_8x_0" localSheetId="88">'424'!$T$46</definedName>
    <definedName name="OSRRefT22_8x_0" localSheetId="89">'425'!$T$54</definedName>
    <definedName name="OSRRefT22_8x_0" localSheetId="92">'430'!$T$44</definedName>
    <definedName name="OSRRefT22_8x_0" localSheetId="93">'433'!$T$55</definedName>
    <definedName name="OSRRefT22_8x_0" localSheetId="94">'435'!$T$47</definedName>
    <definedName name="OSRRefT22_8x_0" localSheetId="95">'444'!$T$54</definedName>
    <definedName name="OSRRefT22_8x_0" localSheetId="97">'450'!$T$54</definedName>
    <definedName name="OSRRefT22_8x_0" localSheetId="77">'491'!$T$65</definedName>
    <definedName name="OSRRefT22_8x_0" localSheetId="91">'492'!$T$58</definedName>
    <definedName name="OSRRefT22_8x_0" localSheetId="99">'501'!$T$49</definedName>
    <definedName name="OSRRefT22_8x_0" localSheetId="39">'Div 2'!$T$53</definedName>
    <definedName name="OSRRefT22_8x_0" localSheetId="47">'Div 3'!$T$200</definedName>
    <definedName name="OSRRefT22_8x_0" localSheetId="75">'Div 4'!$T$66</definedName>
    <definedName name="OSRRefT22_8x_0" localSheetId="98">'Div 5'!$T$49</definedName>
    <definedName name="OSRRefT22_8x_0" localSheetId="64">'Div 6'!$T$85</definedName>
    <definedName name="OSRRefT22_8x_0" localSheetId="2">Summary!$T$235</definedName>
    <definedName name="OSRRefT22_9x_0" localSheetId="41">'201'!$T$48</definedName>
    <definedName name="OSRRefT22_9x_0" localSheetId="42">'202'!$T$48:$T$50</definedName>
    <definedName name="OSRRefT22_9x_0" localSheetId="43">'203'!$T$50:$T$52</definedName>
    <definedName name="OSRRefT22_9x_0" localSheetId="44">'204'!$T$55</definedName>
    <definedName name="OSRRefT22_9x_0" localSheetId="48">'300'!$T$197</definedName>
    <definedName name="OSRRefT22_9x_0" localSheetId="49">'300 &amp; 317'!$T$222</definedName>
    <definedName name="OSRRefT22_9x_0" localSheetId="50">'301'!$T$54</definedName>
    <definedName name="OSRRefT22_9x_0" localSheetId="51">'306'!$T$55</definedName>
    <definedName name="OSRRefT22_9x_0" localSheetId="53">'307'!$T$102:$T$103</definedName>
    <definedName name="OSRRefT22_9x_0" localSheetId="55">'308'!$T$96:$T$97</definedName>
    <definedName name="OSRRefT22_9x_0" localSheetId="67">'309'!$T$56</definedName>
    <definedName name="OSRRefT22_9x_0" localSheetId="66">'310'!$T$63</definedName>
    <definedName name="OSRRefT22_9x_0" localSheetId="76">'310 &amp; 491'!$T$74</definedName>
    <definedName name="OSRRefT22_9x_0" localSheetId="56">'311'!$T$95:$T$96</definedName>
    <definedName name="OSRRefT22_9x_0" localSheetId="68">'313'!$T$58:$T$60</definedName>
    <definedName name="OSRRefT22_9x_0" localSheetId="59">'315'!$T$88:$T$89</definedName>
    <definedName name="OSRRefT22_9x_0" localSheetId="62">'316'!$T$61:$T$64</definedName>
    <definedName name="OSRRefT22_9x_0" localSheetId="65">'317'!$T$87:$T$88</definedName>
    <definedName name="OSRRefT22_9x_0" localSheetId="69">'321'!$T$56:$T$60</definedName>
    <definedName name="OSRRefT22_9x_0" localSheetId="70">'322'!$T$53:$T$54</definedName>
    <definedName name="OSRRefT22_9x_0" localSheetId="72">'325'!$T$55</definedName>
    <definedName name="OSRRefT22_9x_0" localSheetId="60">'326'!$T$88</definedName>
    <definedName name="OSRRefT22_9x_0" localSheetId="52">'330'!$T$111</definedName>
    <definedName name="OSRRefT22_9x_0" localSheetId="58">'331'!$T$105</definedName>
    <definedName name="OSRRefT22_9x_0" localSheetId="61">'332'!$T$71</definedName>
    <definedName name="OSRRefT22_9x_0" localSheetId="78">'405'!$T$53</definedName>
    <definedName name="OSRRefT22_9x_0" localSheetId="79">'406'!$T$53:$T$55</definedName>
    <definedName name="OSRRefT22_9x_0" localSheetId="80">'411'!$T$53</definedName>
    <definedName name="OSRRefT22_9x_0" localSheetId="81">'412'!$T$55</definedName>
    <definedName name="OSRRefT22_9x_0" localSheetId="83">'413'!$T$56:$T$60</definedName>
    <definedName name="OSRRefT22_9x_0" localSheetId="84">'414'!$T$54:$T$55</definedName>
    <definedName name="OSRRefT22_9x_0" localSheetId="85">'415'!$T$55</definedName>
    <definedName name="OSRRefT22_9x_0" localSheetId="86">'418'!$T$55:$T$56</definedName>
    <definedName name="OSRRefT22_9x_0" localSheetId="88">'424'!$T$48</definedName>
    <definedName name="OSRRefT22_9x_0" localSheetId="89">'425'!$T$56:$T$58</definedName>
    <definedName name="OSRRefT22_9x_0" localSheetId="92">'430'!$T$46</definedName>
    <definedName name="OSRRefT22_9x_0" localSheetId="93">'433'!$T$57</definedName>
    <definedName name="OSRRefT22_9x_0" localSheetId="95">'444'!$T$56</definedName>
    <definedName name="OSRRefT22_9x_0" localSheetId="97">'450'!$T$56</definedName>
    <definedName name="OSRRefT22_9x_0" localSheetId="77">'491'!$T$67</definedName>
    <definedName name="OSRRefT22_9x_0" localSheetId="91">'492'!$T$60</definedName>
    <definedName name="OSRRefT22_9x_0" localSheetId="99">'501'!$T$51</definedName>
    <definedName name="OSRRefT22_9x_0" localSheetId="39">'Div 2'!$T$55</definedName>
    <definedName name="OSRRefT22_9x_0" localSheetId="47">'Div 3'!$T$202</definedName>
    <definedName name="OSRRefT22_9x_0" localSheetId="75">'Div 4'!$T$68</definedName>
    <definedName name="OSRRefT22_9x_0" localSheetId="98">'Div 5'!$T$51</definedName>
    <definedName name="OSRRefT22_9x_0" localSheetId="64">'Div 6'!$T$87:$T$88</definedName>
    <definedName name="OSRRefT22_9x_0" localSheetId="2">Summary!$T$237</definedName>
    <definedName name="OSRRefT22x_0" localSheetId="40">'200'!$T$20,'200'!$T$22,'200'!$T$24,'200'!$T$26,'200'!$T$28:$T$29</definedName>
    <definedName name="OSRRefT22x_0" localSheetId="41">'201'!$T$20:$T$28,'201'!$T$30:$T$32,'201'!$T$34,'201'!$T$36,'201'!$T$38,'201'!$T$40,'201'!$T$42,'201'!$T$44,'201'!$T$46,'201'!$T$48,'201'!$T$50:$T$52,'201'!$T$54:$T$56,'201'!$T$58,'201'!$T$60:$T$62,'201'!$T$64,'201'!$T$66,'201'!$T$68:$T$69</definedName>
    <definedName name="OSRRefT22x_0" localSheetId="42">'202'!$T$20:$T$27,'202'!$T$29:$T$32,'202'!$T$34,'202'!$T$36,'202'!$T$38,'202'!$T$40,'202'!$T$42,'202'!$T$44,'202'!$T$46,'202'!$T$48:$T$50,'202'!$T$52,'202'!$T$54,'202'!$T$56:$T$58,'202'!$T$60,'202'!$T$62</definedName>
    <definedName name="OSRRefT22x_0" localSheetId="43">'203'!$T$20:$T$29,'203'!$T$31:$T$34,'203'!$T$36,'203'!$T$38,'203'!$T$40,'203'!$T$42,'203'!$T$44,'203'!$T$46,'203'!$T$48,'203'!$T$50:$T$52,'203'!$T$54:$T$55,'203'!$T$57,'203'!$T$59:$T$61,'203'!$T$63,'203'!$T$65,'203'!$T$67</definedName>
    <definedName name="OSRRefT22x_0" localSheetId="44">'204'!$T$20:$T$28,'204'!$T$30:$T$34,'204'!$T$36,'204'!$T$38:$T$39,'204'!$T$41,'204'!$T$43,'204'!$T$45:$T$47,'204'!$T$49:$T$50,'204'!$T$52:$T$53,'204'!$T$55,'204'!$T$57:$T$58</definedName>
    <definedName name="OSRRefT22x_0" localSheetId="45">'205'!$T$20:$T$27,'205'!$T$29,'205'!$T$31,'205'!$T$33,'205'!$T$35:$T$36,'205'!$T$38,'205'!$T$40:$T$41,'205'!$T$43,'205'!$T$45</definedName>
    <definedName name="OSRRefT22x_0" localSheetId="46">'206'!$T$20:$T$27,'206'!$T$29:$T$34,'206'!$T$36,'206'!$T$38,'206'!$T$40,'206'!$T$42:$T$43,'206'!$T$45,'206'!$T$47</definedName>
    <definedName name="OSRRefT22x_0" localSheetId="48">'300'!$T$162:$T$170,'300'!$T$172:$T$178,'300'!$T$180,'300'!$T$182:$T$183,'300'!$T$185,'300'!$T$187:$T$188,'300'!$T$190:$T$191,'300'!$T$193,'300'!$T$195,'300'!$T$197,'300'!$T$199:$T$200,'300'!$T$202,'300'!$T$204,'300'!$T$206,'300'!$T$208,'300'!$T$210,'300'!$T$212:$T$214,'300'!$T$216:$T$218,'300'!$T$220:$T$223,'300'!$T$225:$T$226,'300'!$T$228:$T$234,'300'!$T$236:$T$237,'300'!$T$239,'300'!$T$241:$T$243,'300'!$T$245</definedName>
    <definedName name="OSRRefT22x_0" localSheetId="49">'300 &amp; 317'!$T$187:$T$195,'300 &amp; 317'!$T$197:$T$203,'300 &amp; 317'!$T$205,'300 &amp; 317'!$T$207:$T$208,'300 &amp; 317'!$T$210,'300 &amp; 317'!$T$212:$T$213,'300 &amp; 317'!$T$215:$T$216,'300 &amp; 317'!$T$218,'300 &amp; 317'!$T$220,'300 &amp; 317'!$T$222,'300 &amp; 317'!$T$224:$T$225,'300 &amp; 317'!$T$227,'300 &amp; 317'!$T$229,'300 &amp; 317'!$T$231,'300 &amp; 317'!$T$233,'300 &amp; 317'!$T$235,'300 &amp; 317'!$T$237:$T$239,'300 &amp; 317'!$T$241:$T$243,'300 &amp; 317'!$T$245:$T$248,'300 &amp; 317'!$T$250:$T$251,'300 &amp; 317'!$T$253:$T$259,'300 &amp; 317'!$T$261:$T$262,'300 &amp; 317'!$T$264,'300 &amp; 317'!$T$266:$T$268,'300 &amp; 317'!$T$270</definedName>
    <definedName name="OSRRefT22x_0" localSheetId="50">'301'!$T$20:$T$27,'301'!$T$29:$T$35,'301'!$T$37,'301'!$T$39:$T$40,'301'!$T$42,'301'!$T$44:$T$45,'301'!$T$47:$T$48,'301'!$T$50,'301'!$T$52,'301'!$T$54,'301'!$T$56,'301'!$T$58,'301'!$T$60,'301'!$T$62,'301'!$T$64:$T$66,'301'!$T$68:$T$70,'301'!$T$72,'301'!$T$74:$T$78,'301'!$T$80,'301'!$T$82,'301'!$T$84:$T$86,'301'!$T$88</definedName>
    <definedName name="OSRRefT22x_0" localSheetId="51">'306'!$T$20:$T$28,'306'!$T$30:$T$34,'306'!$T$36,'306'!$T$38,'306'!$T$40,'306'!$T$42,'306'!$T$44,'306'!$T$46:$T$47,'306'!$T$49:$T$53,'306'!$T$55,'306'!$T$57</definedName>
    <definedName name="OSRRefT22x_0" localSheetId="53">'307'!$T$73:$T$80,'307'!$T$82:$T$85,'307'!$T$87,'307'!$T$89,'307'!$T$91:$T$92,'307'!$T$94,'307'!$T$96,'307'!$T$98,'307'!$T$100,'307'!$T$102:$T$103,'307'!$T$105:$T$106,'307'!$T$108:$T$109,'307'!$T$111,'307'!$T$113</definedName>
    <definedName name="OSRRefT22x_0" localSheetId="55">'308'!$T$64:$T$72,'308'!$T$74:$T$78,'308'!$T$80,'308'!$T$82:$T$83,'308'!$T$85,'308'!$T$87,'308'!$T$89:$T$90,'308'!$T$92,'308'!$T$94,'308'!$T$96:$T$97,'308'!$T$99,'308'!$T$101:$T$104,'308'!$T$106:$T$107,'308'!$T$109,'308'!$T$111</definedName>
    <definedName name="OSRRefT22x_0" localSheetId="67">'309'!$T$24:$T$31,'309'!$T$33:$T$37,'309'!$T$39,'309'!$T$41,'309'!$T$43,'309'!$T$45,'309'!$T$47,'309'!$T$49:$T$50,'309'!$T$52:$T$54,'309'!$T$56,'309'!$T$58:$T$63,'309'!$T$65</definedName>
    <definedName name="OSRRefT22x_0" localSheetId="66">'310'!$T$32:$T$39,'310'!$T$41:$T$46,'310'!$T$48,'310'!$T$50,'310'!$T$52,'310'!$T$54:$T$55,'310'!$T$57,'310'!$T$59,'310'!$T$61,'310'!$T$63,'310'!$T$65,'310'!$T$67,'310'!$T$69,'310'!$T$71,'310'!$T$73:$T$75,'310'!$T$77,'310'!$T$79:$T$82,'310'!$T$84:$T$85,'310'!$T$87:$T$93,'310'!$T$95,'310'!$T$97,'310'!$T$99</definedName>
    <definedName name="OSRRefT22x_0" localSheetId="76">'310 &amp; 491'!$T$40:$T$48,'310 &amp; 491'!$T$50:$T$56,'310 &amp; 491'!$T$58,'310 &amp; 491'!$T$60,'310 &amp; 491'!$T$62,'310 &amp; 491'!$T$64:$T$66,'310 &amp; 491'!$T$68,'310 &amp; 491'!$T$70,'310 &amp; 491'!$T$72,'310 &amp; 491'!$T$74,'310 &amp; 491'!$T$76:$T$77,'310 &amp; 491'!$T$79:$T$80,'310 &amp; 491'!$T$82,'310 &amp; 491'!$T$84,'310 &amp; 491'!$T$86,'310 &amp; 491'!$T$88,'310 &amp; 491'!$T$90:$T$92,'310 &amp; 491'!$T$94:$T$95,'310 &amp; 491'!$T$97:$T$101,'310 &amp; 491'!$T$103:$T$104,'310 &amp; 491'!$T$106:$T$113,'310 &amp; 491'!$T$115,'310 &amp; 491'!$T$117,'310 &amp; 491'!$T$119:$T$121,'310 &amp; 491'!$T$123</definedName>
    <definedName name="OSRRefT22x_0" localSheetId="56">'311'!$T$63:$T$71,'311'!$T$73:$T$77,'311'!$T$79,'311'!$T$81:$T$82,'311'!$T$84,'311'!$T$86,'311'!$T$88:$T$89,'311'!$T$91,'311'!$T$93,'311'!$T$95:$T$96,'311'!$T$98,'311'!$T$100:$T$103,'311'!$T$105:$T$106,'311'!$T$108,'311'!$T$110</definedName>
    <definedName name="OSRRefT22x_0" localSheetId="68">'313'!$T$29:$T$36,'313'!$T$38:$T$42,'313'!$T$44,'313'!$T$46,'313'!$T$48,'313'!$T$50,'313'!$T$52,'313'!$T$54,'313'!$T$56,'313'!$T$58:$T$60,'313'!$T$62,'313'!$T$64,'313'!$T$66:$T$71,'313'!$T$73,'313'!$T$75</definedName>
    <definedName name="OSRRefT22x_0" localSheetId="54">'314'!$T$56:$T$62,'314'!$T$64:$T$67,'314'!$T$69,'314'!$T$71:$T$72,'314'!$T$74,'314'!$T$76,'314'!$T$78,'314'!$T$80:$T$81,'314'!$T$83</definedName>
    <definedName name="OSRRefT22x_0" localSheetId="59">'315'!$T$55:$T$62,'315'!$T$64:$T$69,'315'!$T$71,'315'!$T$73:$T$74,'315'!$T$76,'315'!$T$78:$T$79,'315'!$T$81,'315'!$T$83,'315'!$T$85:$T$86,'315'!$T$88:$T$89,'315'!$T$91:$T$92,'315'!$T$94:$T$98,'315'!$T$100,'315'!$T$102,'315'!$T$104:$T$105</definedName>
    <definedName name="OSRRefT22x_0" localSheetId="62">'316'!$T$32:$T$39,'316'!$T$41:$T$44,'316'!$T$46,'316'!$T$48,'316'!$T$50,'316'!$T$52,'316'!$T$54,'316'!$T$56:$T$57,'316'!$T$59,'316'!$T$61:$T$64,'316'!$T$66,'316'!$T$68</definedName>
    <definedName name="OSRRefT22x_0" localSheetId="65">'317'!$T$58:$T$66,'317'!$T$68:$T$71,'317'!$T$73,'317'!$T$75,'317'!$T$77,'317'!$T$79,'317'!$T$81,'317'!$T$83,'317'!$T$85,'317'!$T$87:$T$88,'317'!$T$90,'317'!$T$92,'317'!$T$94</definedName>
    <definedName name="OSRRefT22x_0" localSheetId="63">'320'!$T$29:$T$35,'320'!$T$37:$T$39,'320'!$T$41,'320'!$T$43,'320'!$T$45:$T$46,'320'!$T$48,'320'!$T$50,'320'!$T$52:$T$53,'320'!$T$55</definedName>
    <definedName name="OSRRefT22x_0" localSheetId="69">'321'!$T$24:$T$30,'321'!$T$32:$T$36,'321'!$T$38,'321'!$T$40,'321'!$T$42,'321'!$T$44,'321'!$T$46:$T$48,'321'!$T$50,'321'!$T$52:$T$54,'321'!$T$56:$T$60,'321'!$T$62,'321'!$T$64,'321'!$T$66</definedName>
    <definedName name="OSRRefT22x_0" localSheetId="70">'322'!$T$24:$T$31,'322'!$T$33:$T$37,'322'!$T$39,'322'!$T$41,'322'!$T$43,'322'!$T$45,'322'!$T$47,'322'!$T$49,'322'!$T$51,'322'!$T$53:$T$54,'322'!$T$56:$T$58,'322'!$T$60,'322'!$T$62:$T$67,'322'!$T$69,'322'!$T$71</definedName>
    <definedName name="OSRRefT22x_0" localSheetId="57">'324'!$T$25</definedName>
    <definedName name="OSRRefT22x_0" localSheetId="72">'325'!$T$24:$T$31,'325'!$T$33:$T$38,'325'!$T$40,'325'!$T$42,'325'!$T$44,'325'!$T$46:$T$47,'325'!$T$49,'325'!$T$51,'325'!$T$53,'325'!$T$55,'325'!$T$57,'325'!$T$59:$T$61,'325'!$T$63:$T$65,'325'!$T$67,'325'!$T$69:$T$74,'325'!$T$76,'325'!$T$78</definedName>
    <definedName name="OSRRefT22x_0" localSheetId="60">'326'!$T$60:$T$67,'326'!$T$69:$T$72,'326'!$T$74,'326'!$T$76,'326'!$T$78,'326'!$T$80,'326'!$T$82,'326'!$T$84,'326'!$T$86,'326'!$T$88,'326'!$T$90,'326'!$T$92,'326'!$T$94,'326'!$T$96:$T$97,'326'!$T$99:$T$101,'326'!$T$103,'326'!$T$105:$T$109,'326'!$T$111,'326'!$T$113,'326'!$T$115</definedName>
    <definedName name="OSRRefT22x_0" localSheetId="73">'327'!$T$22,'327'!$T$24,'327'!$T$26</definedName>
    <definedName name="OSRRefT22x_0" localSheetId="52">'330'!$T$81:$T$88,'330'!$T$90:$T$94,'330'!$T$96,'330'!$T$98,'330'!$T$100:$T$101,'330'!$T$103,'330'!$T$105,'330'!$T$107,'330'!$T$109,'330'!$T$111,'330'!$T$113,'330'!$T$115:$T$116,'330'!$T$118:$T$119,'330'!$T$121,'330'!$T$123:$T$125,'330'!$T$127,'330'!$T$129</definedName>
    <definedName name="OSRRefT22x_0" localSheetId="58">'331'!$T$73:$T$80,'331'!$T$82:$T$87,'331'!$T$89,'331'!$T$91,'331'!$T$93,'331'!$T$95:$T$96,'331'!$T$98,'331'!$T$100,'331'!$T$102:$T$103,'331'!$T$105,'331'!$T$107,'331'!$T$109,'331'!$T$111,'331'!$T$113,'331'!$T$115:$T$117,'331'!$T$119:$T$120,'331'!$T$122:$T$124,'331'!$T$126:$T$127,'331'!$T$129:$T$134,'331'!$T$136,'331'!$T$138,'331'!$T$140:$T$141,'331'!$T$143</definedName>
    <definedName name="OSRRefT22x_0" localSheetId="61">'332'!$T$41:$T$48,'332'!$T$50:$T$53,'332'!$T$55,'332'!$T$57,'332'!$T$59,'332'!$T$61:$T$62,'332'!$T$64,'332'!$T$66,'332'!$T$68:$T$69,'332'!$T$71,'332'!$T$73:$T$77,'332'!$T$79,'332'!$T$81</definedName>
    <definedName name="OSRRefT22x_0" localSheetId="74">'335'!$T$20</definedName>
    <definedName name="OSRRefT22x_0" localSheetId="78">'405'!$T$24:$T$31,'405'!$T$33:$T$36,'405'!$T$38,'405'!$T$40,'405'!$T$42,'405'!$T$44:$T$45,'405'!$T$47,'405'!$T$49,'405'!$T$51,'405'!$T$53,'405'!$T$55:$T$56,'405'!$T$58,'405'!$T$60:$T$62,'405'!$T$64,'405'!$T$66:$T$72,'405'!$T$74,'405'!$T$76,'405'!$T$78</definedName>
    <definedName name="OSRRefT22x_0" localSheetId="79">'406'!$T$24:$T$31,'406'!$T$33:$T$37,'406'!$T$39,'406'!$T$41,'406'!$T$43,'406'!$T$45,'406'!$T$47,'406'!$T$49,'406'!$T$51,'406'!$T$53:$T$55,'406'!$T$57:$T$58,'406'!$T$60:$T$65,'406'!$T$67,'406'!$T$69</definedName>
    <definedName name="OSRRefT22x_0" localSheetId="80">'411'!$T$20:$T$28,'411'!$T$30:$T$35,'411'!$T$37,'411'!$T$39:$T$41,'411'!$T$43,'411'!$T$45,'411'!$T$47,'411'!$T$49,'411'!$T$51,'411'!$T$53,'411'!$T$55,'411'!$T$57:$T$59,'411'!$T$61:$T$65,'411'!$T$67:$T$73,'411'!$T$75,'411'!$T$77,'411'!$T$79:$T$81,'411'!$T$83</definedName>
    <definedName name="OSRRefT22x_0" localSheetId="81">'412'!$T$24:$T$31,'412'!$T$33:$T$38,'412'!$T$40,'412'!$T$42,'412'!$T$44,'412'!$T$46,'412'!$T$48,'412'!$T$50,'412'!$T$52:$T$53,'412'!$T$55,'412'!$T$57:$T$59,'412'!$T$61:$T$67,'412'!$T$69,'412'!$T$71</definedName>
    <definedName name="OSRRefT22x_0" localSheetId="83">'413'!$T$24:$T$31,'413'!$T$33:$T$37,'413'!$T$39,'413'!$T$41,'413'!$T$43,'413'!$T$45,'413'!$T$47,'413'!$T$49:$T$51,'413'!$T$53:$T$54,'413'!$T$56:$T$60,'413'!$T$62</definedName>
    <definedName name="OSRRefT22x_0" localSheetId="84">'414'!$T$24:$T$31,'414'!$T$33:$T$38,'414'!$T$40,'414'!$T$42,'414'!$T$44,'414'!$T$46,'414'!$T$48,'414'!$T$50,'414'!$T$52,'414'!$T$54:$T$55,'414'!$T$57,'414'!$T$59,'414'!$T$61,'414'!$T$63:$T$69,'414'!$T$71,'414'!$T$73</definedName>
    <definedName name="OSRRefT22x_0" localSheetId="85">'415'!$T$24:$T$31,'415'!$T$33:$T$38,'415'!$T$40,'415'!$T$42,'415'!$T$44,'415'!$T$46:$T$47,'415'!$T$49,'415'!$T$51,'415'!$T$53,'415'!$T$55,'415'!$T$57,'415'!$T$59:$T$61,'415'!$T$63:$T$67,'415'!$T$69,'415'!$T$71:$T$77,'415'!$T$79,'415'!$T$81,'415'!$T$83</definedName>
    <definedName name="OSRRefT22x_0" localSheetId="86">'418'!$T$24:$T$31,'418'!$T$33:$T$38,'418'!$T$40,'418'!$T$42,'418'!$T$44,'418'!$T$46:$T$47,'418'!$T$49,'418'!$T$51,'418'!$T$53,'418'!$T$55:$T$56,'418'!$T$58:$T$60,'418'!$T$62:$T$64,'418'!$T$66,'418'!$T$68:$T$74,'418'!$T$76,'418'!$T$78</definedName>
    <definedName name="OSRRefT22x_0" localSheetId="82">'420'!$T$22:$T$28,'420'!$T$30:$T$33,'420'!$T$35,'420'!$T$37,'420'!$T$39</definedName>
    <definedName name="OSRRefT22x_0" localSheetId="87">'423'!$T$21:$T$28,'423'!$T$30,'423'!$T$32,'423'!$T$34,'423'!$T$36,'423'!$T$38</definedName>
    <definedName name="OSRRefT22x_0" localSheetId="88">'424'!$T$24:$T$26,'424'!$T$28:$T$31,'424'!$T$33,'424'!$T$35,'424'!$T$37,'424'!$T$39,'424'!$T$41,'424'!$T$43:$T$44,'424'!$T$46,'424'!$T$48,'424'!$T$50:$T$54,'424'!$T$56</definedName>
    <definedName name="OSRRefT22x_0" localSheetId="89">'425'!$T$27:$T$34,'425'!$T$36:$T$40,'425'!$T$42,'425'!$T$44,'425'!$T$46,'425'!$T$48,'425'!$T$50,'425'!$T$52,'425'!$T$54,'425'!$T$56:$T$58,'425'!$T$60,'425'!$T$62:$T$63,'425'!$T$65:$T$71,'425'!$T$73,'425'!$T$75,'425'!$T$77</definedName>
    <definedName name="OSRRefT22x_0" localSheetId="92">'430'!$T$20:$T$27,'430'!$T$29,'430'!$T$31,'430'!$T$33,'430'!$T$35,'430'!$T$37,'430'!$T$39:$T$40,'430'!$T$42,'430'!$T$44,'430'!$T$46</definedName>
    <definedName name="OSRRefT22x_0" localSheetId="93">'433'!$T$26:$T$34,'433'!$T$36:$T$41,'433'!$T$43,'433'!$T$45,'433'!$T$47,'433'!$T$49,'433'!$T$51,'433'!$T$53,'433'!$T$55,'433'!$T$57,'433'!$T$59:$T$61,'433'!$T$63:$T$65,'433'!$T$67:$T$73,'433'!$T$75,'433'!$T$77,'433'!$T$79:$T$80</definedName>
    <definedName name="OSRRefT22x_0" localSheetId="94">'435'!$T$25:$T$27,'435'!$T$29:$T$30,'435'!$T$32,'435'!$T$34,'435'!$T$36,'435'!$T$38,'435'!$T$40,'435'!$T$42:$T$45,'435'!$T$47</definedName>
    <definedName name="OSRRefT22x_0" localSheetId="95">'444'!$T$25:$T$33,'444'!$T$35:$T$40,'444'!$T$42,'444'!$T$44,'444'!$T$46,'444'!$T$48,'444'!$T$50,'444'!$T$52,'444'!$T$54,'444'!$T$56,'444'!$T$58,'444'!$T$60:$T$62,'444'!$T$64:$T$66,'444'!$T$68:$T$75,'444'!$T$77,'444'!$T$79,'444'!$T$81</definedName>
    <definedName name="OSRRefT22x_0" localSheetId="96">'445'!$T$20</definedName>
    <definedName name="OSRRefT22x_0" localSheetId="97">'450'!$T$25:$T$33,'450'!$T$35:$T$40,'450'!$T$42,'450'!$T$44,'450'!$T$46,'450'!$T$48,'450'!$T$50,'450'!$T$52,'450'!$T$54,'450'!$T$56,'450'!$T$58,'450'!$T$60:$T$61,'450'!$T$63:$T$65,'450'!$T$67:$T$73,'450'!$T$75,'450'!$T$77,'450'!$T$79:$T$80</definedName>
    <definedName name="OSRRefT22x_0" localSheetId="90">'455'!$T$20:$T$26,'455'!$T$28:$T$29,'455'!$T$31</definedName>
    <definedName name="OSRRefT22x_0" localSheetId="77">'491'!$T$33:$T$41,'491'!$T$43:$T$49,'491'!$T$51,'491'!$T$53,'491'!$T$55,'491'!$T$57:$T$59,'491'!$T$61,'491'!$T$63,'491'!$T$65,'491'!$T$67,'491'!$T$69:$T$70,'491'!$T$72,'491'!$T$74,'491'!$T$76,'491'!$T$78,'491'!$T$80:$T$82,'491'!$T$84:$T$85,'491'!$T$87:$T$91,'491'!$T$93,'491'!$T$95:$T$102,'491'!$T$104,'491'!$T$106,'491'!$T$108:$T$110,'491'!$T$112</definedName>
    <definedName name="OSRRefT22x_0" localSheetId="91">'492'!$T$28:$T$36,'492'!$T$38:$T$44,'492'!$T$46,'492'!$T$48,'492'!$T$50,'492'!$T$52,'492'!$T$54,'492'!$T$56,'492'!$T$58,'492'!$T$60,'492'!$T$62,'492'!$T$64,'492'!$T$66:$T$68,'492'!$T$70:$T$72,'492'!$T$74:$T$81,'492'!$T$83,'492'!$T$85,'492'!$T$87:$T$88</definedName>
    <definedName name="OSRRefT22x_0" localSheetId="99">'501'!$T$21:$T$28,'501'!$T$30:$T$35,'501'!$T$37,'501'!$T$39,'501'!$T$41,'501'!$T$43,'501'!$T$45,'501'!$T$47,'501'!$T$49,'501'!$T$51,'501'!$T$53:$T$54,'501'!$T$56:$T$59,'501'!$T$61,'501'!$T$63</definedName>
    <definedName name="OSRRefT22x_0" localSheetId="39">'Div 2'!$T$20:$T$30,'Div 2'!$T$32:$T$38,'Div 2'!$T$40,'Div 2'!$T$42,'Div 2'!$T$44,'Div 2'!$T$46:$T$47,'Div 2'!$T$49,'Div 2'!$T$51,'Div 2'!$T$53,'Div 2'!$T$55,'Div 2'!$T$57,'Div 2'!$T$59,'Div 2'!$T$61:$T$64,'Div 2'!$T$66:$T$68,'Div 2'!$T$70:$T$71,'Div 2'!$T$73,'Div 2'!$T$75:$T$78,'Div 2'!$T$80:$T$81,'Div 2'!$T$83,'Div 2'!$T$85:$T$86</definedName>
    <definedName name="OSRRefT22x_0" localSheetId="47">'Div 3'!$T$167:$T$175,'Div 3'!$T$177:$T$183,'Div 3'!$T$185,'Div 3'!$T$187:$T$188,'Div 3'!$T$190,'Div 3'!$T$192:$T$193,'Div 3'!$T$195:$T$196,'Div 3'!$T$198,'Div 3'!$T$200,'Div 3'!$T$202,'Div 3'!$T$204:$T$205,'Div 3'!$T$207,'Div 3'!$T$209,'Div 3'!$T$211,'Div 3'!$T$213,'Div 3'!$T$215,'Div 3'!$T$217,'Div 3'!$T$219:$T$221,'Div 3'!$T$223:$T$225,'Div 3'!$T$227:$T$231,'Div 3'!$T$233:$T$234,'Div 3'!$T$236:$T$242,'Div 3'!$T$244:$T$245,'Div 3'!$T$247,'Div 3'!$T$249:$T$251,'Div 3'!$T$253</definedName>
    <definedName name="OSRRefT22x_0" localSheetId="75">'Div 4'!$T$34:$T$42,'Div 4'!$T$44:$T$50,'Div 4'!$T$52,'Div 4'!$T$54,'Div 4'!$T$56,'Div 4'!$T$58:$T$60,'Div 4'!$T$62,'Div 4'!$T$64,'Div 4'!$T$66,'Div 4'!$T$68,'Div 4'!$T$70:$T$71,'Div 4'!$T$73,'Div 4'!$T$75,'Div 4'!$T$77,'Div 4'!$T$79,'Div 4'!$T$81,'Div 4'!$T$83:$T$85,'Div 4'!$T$87:$T$88,'Div 4'!$T$90:$T$94,'Div 4'!$T$96,'Div 4'!$T$98:$T$105,'Div 4'!$T$107,'Div 4'!$T$109,'Div 4'!$T$111:$T$113,'Div 4'!$T$115</definedName>
    <definedName name="OSRRefT22x_0" localSheetId="98">'Div 5'!$T$21:$T$28,'Div 5'!$T$30:$T$35,'Div 5'!$T$37,'Div 5'!$T$39,'Div 5'!$T$41,'Div 5'!$T$43,'Div 5'!$T$45,'Div 5'!$T$47,'Div 5'!$T$49,'Div 5'!$T$51,'Div 5'!$T$53:$T$54,'Div 5'!$T$56:$T$59,'Div 5'!$T$61,'Div 5'!$T$63</definedName>
    <definedName name="OSRRefT22x_0" localSheetId="64">'Div 6'!$T$58:$T$66,'Div 6'!$T$68:$T$71,'Div 6'!$T$73,'Div 6'!$T$75,'Div 6'!$T$77,'Div 6'!$T$79,'Div 6'!$T$81,'Div 6'!$T$83,'Div 6'!$T$85,'Div 6'!$T$87:$T$88,'Div 6'!$T$90,'Div 6'!$T$92,'Div 6'!$T$94</definedName>
    <definedName name="OSRRefT22x_0" localSheetId="2">Summary!$T$201:$T$209,Summary!$T$211:$T$217,Summary!$T$219,Summary!$T$221:$T$222,Summary!$T$224,Summary!$T$226:$T$228,Summary!$T$230:$T$231,Summary!$T$233,Summary!$T$235,Summary!$T$237,Summary!$T$239:$T$240,Summary!$T$242:$T$243,Summary!$T$245,Summary!$T$247,Summary!$T$249,Summary!$T$251,Summary!$T$253,Summary!$T$255,Summary!$T$257:$T$259,Summary!$T$261:$T$263,Summary!$T$265:$T$269,Summary!$T$271:$T$272,Summary!$T$274:$T$281,Summary!$T$283:$T$284,Summary!$T$286,Summary!$T$288:$T$290,Summary!$T$292</definedName>
    <definedName name="OSRRefT25x_0" localSheetId="48">'300'!$T$248:$T$256</definedName>
    <definedName name="OSRRefT25x_0" localSheetId="49">'300 &amp; 317'!$T$273:$T$283</definedName>
    <definedName name="OSRRefT25x_0" localSheetId="50">'301'!$T$91:$T$93</definedName>
    <definedName name="OSRRefT25x_0" localSheetId="55">'308'!$T$114:$T$116</definedName>
    <definedName name="OSRRefT25x_0" localSheetId="76">'310 &amp; 491'!$T$126:$T$128</definedName>
    <definedName name="OSRRefT25x_0" localSheetId="56">'311'!$T$113:$T$115</definedName>
    <definedName name="OSRRefT25x_0" localSheetId="59">'315'!$T$108</definedName>
    <definedName name="OSRRefT25x_0" localSheetId="62">'316'!$T$71</definedName>
    <definedName name="OSRRefT25x_0" localSheetId="65">'317'!$T$97:$T$99</definedName>
    <definedName name="OSRRefT25x_0" localSheetId="63">'320'!$T$58:$T$62</definedName>
    <definedName name="OSRRefT25x_0" localSheetId="58">'331'!$T$146</definedName>
    <definedName name="OSRRefT25x_0" localSheetId="61">'332'!$T$84:$T$89</definedName>
    <definedName name="OSRRefT25x_0" localSheetId="80">'411'!$T$86:$T$87</definedName>
    <definedName name="OSRRefT25x_0" localSheetId="83">'413'!$T$65</definedName>
    <definedName name="OSRRefT25x_0" localSheetId="86">'418'!$T$81</definedName>
    <definedName name="OSRRefT25x_0" localSheetId="87">'423'!$T$41</definedName>
    <definedName name="OSRRefT25x_0" localSheetId="88">'424'!$T$59</definedName>
    <definedName name="OSRRefT25x_0" localSheetId="89">'425'!$T$80</definedName>
    <definedName name="OSRRefT25x_0" localSheetId="90">'455'!$T$34:$T$35</definedName>
    <definedName name="OSRRefT25x_0" localSheetId="77">'491'!$T$115:$T$117</definedName>
    <definedName name="OSRRefT25x_0" localSheetId="99">'501'!$T$66:$T$67</definedName>
    <definedName name="OSRRefT25x_0" localSheetId="47">'Div 3'!$T$256:$T$264</definedName>
    <definedName name="OSRRefT25x_0" localSheetId="75">'Div 4'!$T$118:$T$120</definedName>
    <definedName name="OSRRefT25x_0" localSheetId="98">'Div 5'!$T$66:$T$67</definedName>
    <definedName name="OSRRefT25x_0" localSheetId="64">'Div 6'!$T$97:$T$99</definedName>
    <definedName name="OSRRefT25x_0" localSheetId="2">Summary!$T$295:$T$306</definedName>
    <definedName name="_xlnm.Print_Area" localSheetId="38">'100'!$A$1:$Z$34</definedName>
    <definedName name="_xlnm.Print_Area" localSheetId="40">'200'!$A$1:$Z$43</definedName>
    <definedName name="_xlnm.Print_Area" localSheetId="41">'201'!$A$1:$Z$83</definedName>
    <definedName name="_xlnm.Print_Area" localSheetId="42">'202'!$A$1:$Z$76</definedName>
    <definedName name="_xlnm.Print_Area" localSheetId="43">'203'!$A$1:$Z$81</definedName>
    <definedName name="_xlnm.Print_Area" localSheetId="44">'204'!$A$1:$Z$72</definedName>
    <definedName name="_xlnm.Print_Area" localSheetId="45">'205'!$A$1:$Z$59</definedName>
    <definedName name="_xlnm.Print_Area" localSheetId="46">'206'!$A$1:$Z$61</definedName>
    <definedName name="_xlnm.Print_Area" localSheetId="48">'300'!$A$1:$Z$268</definedName>
    <definedName name="_xlnm.Print_Area" localSheetId="49">'300 &amp; 317'!$A$1:$Z$295</definedName>
    <definedName name="_xlnm.Print_Area" localSheetId="50">'301'!$A$1:$Z$105</definedName>
    <definedName name="_xlnm.Print_Area" localSheetId="51">'306'!$A$1:$Z$71</definedName>
    <definedName name="_xlnm.Print_Area" localSheetId="53">'307'!$A$1:$Z$127</definedName>
    <definedName name="_xlnm.Print_Area" localSheetId="55">'308'!$A$1:$Z$128</definedName>
    <definedName name="_xlnm.Print_Area" localSheetId="67">'309'!$A$1:$Z$79</definedName>
    <definedName name="_xlnm.Print_Area" localSheetId="66">'310'!$A$1:$Z$113</definedName>
    <definedName name="_xlnm.Print_Area" localSheetId="76">'310 &amp; 491'!$A$1:$Z$140</definedName>
    <definedName name="_xlnm.Print_Area" localSheetId="56">'311'!$A$1:$Z$127</definedName>
    <definedName name="_xlnm.Print_Area" localSheetId="68">'313'!$A$1:$Z$89</definedName>
    <definedName name="_xlnm.Print_Area" localSheetId="54">'314'!$A$1:$Z$97</definedName>
    <definedName name="_xlnm.Print_Area" localSheetId="59">'315'!$A$1:$Z$120</definedName>
    <definedName name="_xlnm.Print_Area" localSheetId="62">'316'!$A$1:$Z$83</definedName>
    <definedName name="_xlnm.Print_Area" localSheetId="65">'317'!$A$1:$Z$111</definedName>
    <definedName name="_xlnm.Print_Area" localSheetId="63">'320'!$A$1:$Z$74</definedName>
    <definedName name="_xlnm.Print_Area" localSheetId="69">'321'!$A$1:$Z$80</definedName>
    <definedName name="_xlnm.Print_Area" localSheetId="70">'322'!$A$1:$Z$85</definedName>
    <definedName name="_xlnm.Print_Area" localSheetId="71">'323'!$A$1:$Z$32</definedName>
    <definedName name="_xlnm.Print_Area" localSheetId="57">'324'!$A$1:$Z$39</definedName>
    <definedName name="_xlnm.Print_Area" localSheetId="72">'325'!$A$1:$Z$92</definedName>
    <definedName name="_xlnm.Print_Area" localSheetId="60">'326'!$A$1:$Z$129</definedName>
    <definedName name="_xlnm.Print_Area" localSheetId="73">'327'!$A$1:$Z$40</definedName>
    <definedName name="_xlnm.Print_Area" localSheetId="52">'330'!$A$1:$Z$143</definedName>
    <definedName name="_xlnm.Print_Area" localSheetId="58">'331'!$A$1:$Z$158</definedName>
    <definedName name="_xlnm.Print_Area" localSheetId="61">'332'!$A$1:$Z$101</definedName>
    <definedName name="_xlnm.Print_Area" localSheetId="74">'335'!$A$1:$Z$34</definedName>
    <definedName name="_xlnm.Print_Area" localSheetId="78">'405'!$A$1:$Z$92</definedName>
    <definedName name="_xlnm.Print_Area" localSheetId="79">'406'!$A$1:$Z$83</definedName>
    <definedName name="_xlnm.Print_Area" localSheetId="80">'411'!$A$1:$Z$99</definedName>
    <definedName name="_xlnm.Print_Area" localSheetId="81">'412'!$A$1:$Z$85</definedName>
    <definedName name="_xlnm.Print_Area" localSheetId="83">'413'!$A$1:$Z$77</definedName>
    <definedName name="_xlnm.Print_Area" localSheetId="84">'414'!$A$1:$Z$87</definedName>
    <definedName name="_xlnm.Print_Area" localSheetId="85">'415'!$A$1:$Z$97</definedName>
    <definedName name="_xlnm.Print_Area" localSheetId="86">'418'!$A$1:$Z$93</definedName>
    <definedName name="_xlnm.Print_Area" localSheetId="82">'420'!$A$1:$Z$53</definedName>
    <definedName name="_xlnm.Print_Area" localSheetId="87">'423'!$A$1:$Z$53</definedName>
    <definedName name="_xlnm.Print_Area" localSheetId="88">'424'!$A$1:$Z$71</definedName>
    <definedName name="_xlnm.Print_Area" localSheetId="89">'425'!$A$1:$Z$92</definedName>
    <definedName name="_xlnm.Print_Area" localSheetId="92">'430'!$A$1:$Z$60</definedName>
    <definedName name="_xlnm.Print_Area" localSheetId="93">'433'!$A$1:$Z$94</definedName>
    <definedName name="_xlnm.Print_Area" localSheetId="94">'435'!$A$1:$Z$61</definedName>
    <definedName name="_xlnm.Print_Area" localSheetId="95">'444'!$A$1:$Z$95</definedName>
    <definedName name="_xlnm.Print_Area" localSheetId="96">'445'!$A$1:$Z$34</definedName>
    <definedName name="_xlnm.Print_Area" localSheetId="97">'450'!$A$1:$Z$94</definedName>
    <definedName name="_xlnm.Print_Area" localSheetId="90">'455'!$A$1:$Z$47</definedName>
    <definedName name="_xlnm.Print_Area" localSheetId="77">'491'!$A$1:$Z$129</definedName>
    <definedName name="_xlnm.Print_Area" localSheetId="91">'492'!$A$1:$Z$102</definedName>
    <definedName name="_xlnm.Print_Area" localSheetId="99">'501'!$A$1:$Z$79</definedName>
    <definedName name="_xlnm.Print_Area" localSheetId="100">Dept!$A$1:$Z$39</definedName>
    <definedName name="_xlnm.Print_Area" localSheetId="37">'Div 1'!$A$1:$Z$34</definedName>
    <definedName name="_xlnm.Print_Area" localSheetId="39">'Div 2'!$A$1:$Z$100</definedName>
    <definedName name="_xlnm.Print_Area" localSheetId="47">'Div 3'!$A$1:$Z$276</definedName>
    <definedName name="_xlnm.Print_Area" localSheetId="75">'Div 4'!$A$1:$Z$132</definedName>
    <definedName name="_xlnm.Print_Area" localSheetId="98">'Div 5'!$A$1:$Z$79</definedName>
    <definedName name="_xlnm.Print_Area" localSheetId="64">'Div 6'!$A$1:$Z$111</definedName>
    <definedName name="_xlnm.Print_Area" localSheetId="13">'OSR_300 &amp; 317_1C00ID4'!$A$1:$Z$39</definedName>
    <definedName name="_xlnm.Print_Area" localSheetId="10">'OSR_300 (2)_7...54cb56fc_UFX0O2'!$A$1:$Z$39</definedName>
    <definedName name="_xlnm.Print_Area" localSheetId="14">'OSR_300 (2)_c...79cd3046_1TJM0H'!$A$1:$Z$39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(2)_0...c51cc666_QIOT67'!$A$1:$Z$39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101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12">'OSR_Div 3 (2)...b7db256a_40ITCB'!$A$1:$Z$39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(2...09141158_1BG9FGV'!$A$1:$Z$39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2">'OSR_Summary (...56e5d78f_5JEYZH'!$A$1:$Z$39</definedName>
    <definedName name="_xlnm.Print_Area" localSheetId="3">OSR_Summary_18VAVWG!$A$1:$Z$39</definedName>
    <definedName name="_xlnm.Print_Area" localSheetId="2">Summary!$A$1:$Z$320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6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71">'323'!$A:$C,'323'!$1:$10</definedName>
    <definedName name="_xlnm.Print_Titles" localSheetId="57">'324'!$A:$C,'324'!$1:$10</definedName>
    <definedName name="_xlnm.Print_Titles" localSheetId="72">'325'!$A:$C,'325'!$1:$10</definedName>
    <definedName name="_xlnm.Print_Titles" localSheetId="60">'326'!$A:$C,'326'!$1:$10</definedName>
    <definedName name="_xlnm.Print_Titles" localSheetId="73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4">'335'!$A:$C,'335'!$1:$10</definedName>
    <definedName name="_xlnm.Print_Titles" localSheetId="78">'405'!$A:$C,'405'!$1:$10</definedName>
    <definedName name="_xlnm.Print_Titles" localSheetId="79">'406'!$A:$C,'406'!$1:$10</definedName>
    <definedName name="_xlnm.Print_Titles" localSheetId="80">'411'!$A:$C,'411'!$1:$10</definedName>
    <definedName name="_xlnm.Print_Titles" localSheetId="81">'412'!$A:$C,'412'!$1:$10</definedName>
    <definedName name="_xlnm.Print_Titles" localSheetId="83">'413'!$A:$C,'413'!$1:$10</definedName>
    <definedName name="_xlnm.Print_Titles" localSheetId="84">'414'!$A:$C,'414'!$1:$10</definedName>
    <definedName name="_xlnm.Print_Titles" localSheetId="85">'415'!$A:$C,'415'!$1:$10</definedName>
    <definedName name="_xlnm.Print_Titles" localSheetId="86">'418'!$A:$C,'418'!$1:$10</definedName>
    <definedName name="_xlnm.Print_Titles" localSheetId="82">'420'!$A:$C,'420'!$1:$10</definedName>
    <definedName name="_xlnm.Print_Titles" localSheetId="87">'423'!$A:$C,'423'!$1:$10</definedName>
    <definedName name="_xlnm.Print_Titles" localSheetId="88">'424'!$A:$C,'424'!$1:$10</definedName>
    <definedName name="_xlnm.Print_Titles" localSheetId="89">'425'!$A:$C,'425'!$1:$10</definedName>
    <definedName name="_xlnm.Print_Titles" localSheetId="92">'430'!$A:$C,'430'!$1:$10</definedName>
    <definedName name="_xlnm.Print_Titles" localSheetId="93">'433'!$A:$C,'433'!$1:$10</definedName>
    <definedName name="_xlnm.Print_Titles" localSheetId="94">'435'!$A:$C,'435'!$1:$10</definedName>
    <definedName name="_xlnm.Print_Titles" localSheetId="95">'444'!$A:$C,'444'!$1:$10</definedName>
    <definedName name="_xlnm.Print_Titles" localSheetId="96">'445'!$A:$C,'445'!$1:$10</definedName>
    <definedName name="_xlnm.Print_Titles" localSheetId="97">'450'!$A:$C,'450'!$1:$10</definedName>
    <definedName name="_xlnm.Print_Titles" localSheetId="90">'455'!$A:$C,'455'!$1:$10</definedName>
    <definedName name="_xlnm.Print_Titles" localSheetId="77">'491'!$A:$C,'491'!$1:$10</definedName>
    <definedName name="_xlnm.Print_Titles" localSheetId="91">'492'!$A:$C,'492'!$1:$10</definedName>
    <definedName name="_xlnm.Print_Titles" localSheetId="99">'501'!$A:$C,'501'!$1:$10</definedName>
    <definedName name="_xlnm.Print_Titles" localSheetId="100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5">'Div 4'!$A:$C,'Div 4'!$1:$10</definedName>
    <definedName name="_xlnm.Print_Titles" localSheetId="98">'Div 5'!$A:$C,'Div 5'!$1:$10</definedName>
    <definedName name="_xlnm.Print_Titles" localSheetId="64">'Div 6'!$A:$C,'Div 6'!$1:$10</definedName>
    <definedName name="_xlnm.Print_Titles" localSheetId="13">'OSR_300 &amp; 317_1C00ID4'!$A:$C,'OSR_300 &amp; 317_1C00ID4'!$1:$10</definedName>
    <definedName name="_xlnm.Print_Titles" localSheetId="10">'OSR_300 (2)_7...54cb56fc_UFX0O2'!$A:$C,'OSR_300 (2)_7...54cb56fc_UFX0O2'!$1:$10</definedName>
    <definedName name="_xlnm.Print_Titles" localSheetId="14">'OSR_300 (2)_c...79cd3046_1TJM0H'!$A:$C,'OSR_300 (2)_c...79cd3046_1TJM0H'!$1:$10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(2)_0...c51cc666_QIOT67'!$A:$C,'OSR_491 (2)_0...c51cc666_QIOT67'!$1:$10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101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12">'OSR_Div 3 (2)...b7db256a_40ITCB'!$A:$C,'OSR_Div 3 (2)...b7db256a_40ITCB'!$1:$10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(2...09141158_1BG9FGV'!$A:$C,'OSR_Div 5 (2...09141158_1BG9FGV'!$1:$10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2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X71" i="110" l="1"/>
  <c r="Z71" i="110" s="1"/>
  <c r="L71" i="110"/>
  <c r="N71" i="110" s="1"/>
  <c r="T67" i="110"/>
  <c r="P67" i="110"/>
  <c r="X67" i="110" s="1"/>
  <c r="H67" i="110"/>
  <c r="N67" i="110" s="1"/>
  <c r="D67" i="110"/>
  <c r="B67" i="110"/>
  <c r="T66" i="110"/>
  <c r="P66" i="110"/>
  <c r="H66" i="110"/>
  <c r="D66" i="110"/>
  <c r="D65" i="110" s="1"/>
  <c r="B66" i="110"/>
  <c r="P65" i="110"/>
  <c r="Z63" i="110"/>
  <c r="X63" i="110"/>
  <c r="L63" i="110"/>
  <c r="N63" i="110" s="1"/>
  <c r="B63" i="110"/>
  <c r="T62" i="110"/>
  <c r="P62" i="110"/>
  <c r="X62" i="110" s="1"/>
  <c r="Z62" i="110" s="1"/>
  <c r="N62" i="110"/>
  <c r="J62" i="110"/>
  <c r="H62" i="110"/>
  <c r="D62" i="110"/>
  <c r="L62" i="110" s="1"/>
  <c r="B62" i="110"/>
  <c r="Z61" i="110"/>
  <c r="X61" i="110"/>
  <c r="L61" i="110"/>
  <c r="N61" i="110" s="1"/>
  <c r="B61" i="110"/>
  <c r="Z60" i="110"/>
  <c r="X60" i="110"/>
  <c r="T60" i="110"/>
  <c r="P60" i="110"/>
  <c r="L60" i="110"/>
  <c r="H60" i="110"/>
  <c r="D60" i="110"/>
  <c r="B60" i="110"/>
  <c r="Z59" i="110"/>
  <c r="X59" i="110"/>
  <c r="N59" i="110"/>
  <c r="L59" i="110"/>
  <c r="B59" i="110"/>
  <c r="Z58" i="110"/>
  <c r="X58" i="110"/>
  <c r="N58" i="110"/>
  <c r="L58" i="110"/>
  <c r="B58" i="110"/>
  <c r="X57" i="110"/>
  <c r="Z57" i="110" s="1"/>
  <c r="R57" i="110"/>
  <c r="L57" i="110"/>
  <c r="N57" i="110" s="1"/>
  <c r="B57" i="110"/>
  <c r="Z56" i="110"/>
  <c r="X56" i="110"/>
  <c r="N56" i="110"/>
  <c r="L56" i="110"/>
  <c r="B56" i="110"/>
  <c r="Z55" i="110"/>
  <c r="X55" i="110"/>
  <c r="T55" i="110"/>
  <c r="P55" i="110"/>
  <c r="N55" i="110"/>
  <c r="H55" i="110"/>
  <c r="D55" i="110"/>
  <c r="L55" i="110" s="1"/>
  <c r="B55" i="110"/>
  <c r="X54" i="110"/>
  <c r="Z54" i="110" s="1"/>
  <c r="N54" i="110"/>
  <c r="L54" i="110"/>
  <c r="B54" i="110"/>
  <c r="Z53" i="110"/>
  <c r="X53" i="110"/>
  <c r="N53" i="110"/>
  <c r="L53" i="110"/>
  <c r="B53" i="110"/>
  <c r="T52" i="110"/>
  <c r="P52" i="110"/>
  <c r="X52" i="110" s="1"/>
  <c r="Z52" i="110" s="1"/>
  <c r="N52" i="110"/>
  <c r="H52" i="110"/>
  <c r="D52" i="110"/>
  <c r="L52" i="110" s="1"/>
  <c r="B52" i="110"/>
  <c r="X51" i="110"/>
  <c r="Z51" i="110" s="1"/>
  <c r="N51" i="110"/>
  <c r="L51" i="110"/>
  <c r="B51" i="110"/>
  <c r="X50" i="110"/>
  <c r="Z50" i="110" s="1"/>
  <c r="T50" i="110"/>
  <c r="P50" i="110"/>
  <c r="N50" i="110"/>
  <c r="H50" i="110"/>
  <c r="D50" i="110"/>
  <c r="L50" i="110" s="1"/>
  <c r="B50" i="110"/>
  <c r="Z49" i="110"/>
  <c r="X49" i="110"/>
  <c r="N49" i="110"/>
  <c r="L49" i="110"/>
  <c r="B49" i="110"/>
  <c r="T48" i="110"/>
  <c r="P48" i="110"/>
  <c r="N48" i="110"/>
  <c r="J48" i="110"/>
  <c r="H48" i="110"/>
  <c r="D48" i="110"/>
  <c r="L48" i="110" s="1"/>
  <c r="B48" i="110"/>
  <c r="Z47" i="110"/>
  <c r="X47" i="110"/>
  <c r="L47" i="110"/>
  <c r="N47" i="110" s="1"/>
  <c r="B47" i="110"/>
  <c r="T46" i="110"/>
  <c r="P46" i="110"/>
  <c r="X46" i="110" s="1"/>
  <c r="H46" i="110"/>
  <c r="D46" i="110"/>
  <c r="L46" i="110" s="1"/>
  <c r="N46" i="110" s="1"/>
  <c r="B46" i="110"/>
  <c r="Z45" i="110"/>
  <c r="X45" i="110"/>
  <c r="L45" i="110"/>
  <c r="N45" i="110" s="1"/>
  <c r="B45" i="110"/>
  <c r="Z44" i="110"/>
  <c r="X44" i="110"/>
  <c r="T44" i="110"/>
  <c r="P44" i="110"/>
  <c r="L44" i="110"/>
  <c r="N44" i="110" s="1"/>
  <c r="H44" i="110"/>
  <c r="D44" i="110"/>
  <c r="B44" i="110"/>
  <c r="Z43" i="110"/>
  <c r="X43" i="110"/>
  <c r="N43" i="110"/>
  <c r="L43" i="110"/>
  <c r="B43" i="110"/>
  <c r="Z42" i="110"/>
  <c r="T42" i="110"/>
  <c r="X42" i="110" s="1"/>
  <c r="P42" i="110"/>
  <c r="H42" i="110"/>
  <c r="D42" i="110"/>
  <c r="B42" i="110"/>
  <c r="Z41" i="110"/>
  <c r="X41" i="110"/>
  <c r="N41" i="110"/>
  <c r="L41" i="110"/>
  <c r="B41" i="110"/>
  <c r="Z40" i="110"/>
  <c r="T40" i="110"/>
  <c r="P40" i="110"/>
  <c r="X40" i="110" s="1"/>
  <c r="H40" i="110"/>
  <c r="N40" i="110" s="1"/>
  <c r="D40" i="110"/>
  <c r="L40" i="110" s="1"/>
  <c r="B40" i="110"/>
  <c r="X39" i="110"/>
  <c r="Z39" i="110" s="1"/>
  <c r="N39" i="110"/>
  <c r="L39" i="110"/>
  <c r="B39" i="110"/>
  <c r="X38" i="110"/>
  <c r="T38" i="110"/>
  <c r="Z38" i="110" s="1"/>
  <c r="P38" i="110"/>
  <c r="N38" i="110"/>
  <c r="H38" i="110"/>
  <c r="D38" i="110"/>
  <c r="L38" i="110" s="1"/>
  <c r="B38" i="110"/>
  <c r="X37" i="110"/>
  <c r="Z37" i="110" s="1"/>
  <c r="L37" i="110"/>
  <c r="N37" i="110" s="1"/>
  <c r="B37" i="110"/>
  <c r="T36" i="110"/>
  <c r="P36" i="110"/>
  <c r="N36" i="110"/>
  <c r="H36" i="110"/>
  <c r="D36" i="110"/>
  <c r="L36" i="110" s="1"/>
  <c r="B36" i="110"/>
  <c r="Z35" i="110"/>
  <c r="X35" i="110"/>
  <c r="L35" i="110"/>
  <c r="N35" i="110" s="1"/>
  <c r="B35" i="110"/>
  <c r="X34" i="110"/>
  <c r="Z34" i="110" s="1"/>
  <c r="L34" i="110"/>
  <c r="N34" i="110" s="1"/>
  <c r="B34" i="110"/>
  <c r="X33" i="110"/>
  <c r="Z33" i="110" s="1"/>
  <c r="N33" i="110"/>
  <c r="L33" i="110"/>
  <c r="J33" i="110"/>
  <c r="B33" i="110"/>
  <c r="Z32" i="110"/>
  <c r="X32" i="110"/>
  <c r="N32" i="110"/>
  <c r="L32" i="110"/>
  <c r="B32" i="110"/>
  <c r="Z31" i="110"/>
  <c r="X31" i="110"/>
  <c r="N31" i="110"/>
  <c r="L31" i="110"/>
  <c r="B31" i="110"/>
  <c r="X30" i="110"/>
  <c r="Z30" i="110" s="1"/>
  <c r="L30" i="110"/>
  <c r="N30" i="110" s="1"/>
  <c r="B30" i="110"/>
  <c r="X29" i="110"/>
  <c r="Z29" i="110" s="1"/>
  <c r="T29" i="110"/>
  <c r="P29" i="110"/>
  <c r="J29" i="110"/>
  <c r="H29" i="110"/>
  <c r="D29" i="110"/>
  <c r="L29" i="110" s="1"/>
  <c r="N29" i="110" s="1"/>
  <c r="B29" i="110"/>
  <c r="X28" i="110"/>
  <c r="Z28" i="110" s="1"/>
  <c r="L28" i="110"/>
  <c r="N28" i="110" s="1"/>
  <c r="B28" i="110"/>
  <c r="X27" i="110"/>
  <c r="Z27" i="110" s="1"/>
  <c r="N27" i="110"/>
  <c r="L27" i="110"/>
  <c r="B27" i="110"/>
  <c r="X26" i="110"/>
  <c r="Z26" i="110" s="1"/>
  <c r="L26" i="110"/>
  <c r="N26" i="110" s="1"/>
  <c r="B26" i="110"/>
  <c r="Z25" i="110"/>
  <c r="X25" i="110"/>
  <c r="N25" i="110"/>
  <c r="L25" i="110"/>
  <c r="B25" i="110"/>
  <c r="X24" i="110"/>
  <c r="Z24" i="110" s="1"/>
  <c r="L24" i="110"/>
  <c r="N24" i="110" s="1"/>
  <c r="B24" i="110"/>
  <c r="X23" i="110"/>
  <c r="Z23" i="110" s="1"/>
  <c r="N23" i="110"/>
  <c r="L23" i="110"/>
  <c r="B23" i="110"/>
  <c r="X22" i="110"/>
  <c r="Z22" i="110" s="1"/>
  <c r="L22" i="110"/>
  <c r="N22" i="110" s="1"/>
  <c r="B22" i="110"/>
  <c r="Z21" i="110"/>
  <c r="X21" i="110"/>
  <c r="L21" i="110"/>
  <c r="N21" i="110" s="1"/>
  <c r="B21" i="110"/>
  <c r="T20" i="110"/>
  <c r="P20" i="110"/>
  <c r="X20" i="110" s="1"/>
  <c r="H20" i="110"/>
  <c r="D20" i="110"/>
  <c r="L20" i="110" s="1"/>
  <c r="B20" i="110"/>
  <c r="Z19" i="110"/>
  <c r="T19" i="110"/>
  <c r="P19" i="110"/>
  <c r="X19" i="110" s="1"/>
  <c r="H19" i="110"/>
  <c r="D19" i="110"/>
  <c r="L19" i="110" s="1"/>
  <c r="N19" i="110" s="1"/>
  <c r="H17" i="110"/>
  <c r="T15" i="110"/>
  <c r="Z15" i="110" s="1"/>
  <c r="P15" i="110"/>
  <c r="X15" i="110" s="1"/>
  <c r="H15" i="110"/>
  <c r="N15" i="110" s="1"/>
  <c r="D15" i="110"/>
  <c r="T13" i="110"/>
  <c r="P13" i="110"/>
  <c r="H13" i="110"/>
  <c r="D13" i="110"/>
  <c r="D12" i="110" s="1"/>
  <c r="B13" i="110"/>
  <c r="P12" i="110"/>
  <c r="R40" i="110" s="1"/>
  <c r="H12" i="110"/>
  <c r="J43" i="110" s="1"/>
  <c r="D6" i="110"/>
  <c r="D4" i="110"/>
  <c r="J44" i="109"/>
  <c r="R41" i="109"/>
  <c r="J41" i="109"/>
  <c r="F41" i="109"/>
  <c r="Z39" i="109"/>
  <c r="X39" i="109"/>
  <c r="R39" i="109"/>
  <c r="N39" i="109"/>
  <c r="L39" i="109"/>
  <c r="T35" i="109"/>
  <c r="P35" i="109"/>
  <c r="L35" i="109"/>
  <c r="H35" i="109"/>
  <c r="N35" i="109" s="1"/>
  <c r="D35" i="109"/>
  <c r="B35" i="109"/>
  <c r="T34" i="109"/>
  <c r="P34" i="109"/>
  <c r="N34" i="109"/>
  <c r="H34" i="109"/>
  <c r="D34" i="109"/>
  <c r="L34" i="109" s="1"/>
  <c r="B34" i="109"/>
  <c r="R33" i="109"/>
  <c r="P33" i="109"/>
  <c r="H33" i="109"/>
  <c r="Z31" i="109"/>
  <c r="X31" i="109"/>
  <c r="N31" i="109"/>
  <c r="L31" i="109"/>
  <c r="J31" i="109"/>
  <c r="B31" i="109"/>
  <c r="X30" i="109"/>
  <c r="T30" i="109"/>
  <c r="Z30" i="109" s="1"/>
  <c r="R30" i="109"/>
  <c r="P30" i="109"/>
  <c r="L30" i="109"/>
  <c r="H30" i="109"/>
  <c r="N30" i="109" s="1"/>
  <c r="F30" i="109"/>
  <c r="D30" i="109"/>
  <c r="B30" i="109"/>
  <c r="Z29" i="109"/>
  <c r="X29" i="109"/>
  <c r="R29" i="109"/>
  <c r="N29" i="109"/>
  <c r="L29" i="109"/>
  <c r="B29" i="109"/>
  <c r="Z28" i="109"/>
  <c r="X28" i="109"/>
  <c r="V28" i="109"/>
  <c r="N28" i="109"/>
  <c r="L28" i="109"/>
  <c r="B28" i="109"/>
  <c r="T27" i="109"/>
  <c r="R27" i="109"/>
  <c r="P27" i="109"/>
  <c r="X27" i="109" s="1"/>
  <c r="L27" i="109"/>
  <c r="H27" i="109"/>
  <c r="N27" i="109" s="1"/>
  <c r="D27" i="109"/>
  <c r="B27" i="109"/>
  <c r="X26" i="109"/>
  <c r="Z26" i="109" s="1"/>
  <c r="V26" i="109"/>
  <c r="R26" i="109"/>
  <c r="N26" i="109"/>
  <c r="L26" i="109"/>
  <c r="B26" i="109"/>
  <c r="X25" i="109"/>
  <c r="Z25" i="109" s="1"/>
  <c r="L25" i="109"/>
  <c r="N25" i="109" s="1"/>
  <c r="F25" i="109"/>
  <c r="B25" i="109"/>
  <c r="Z24" i="109"/>
  <c r="X24" i="109"/>
  <c r="R24" i="109"/>
  <c r="L24" i="109"/>
  <c r="N24" i="109" s="1"/>
  <c r="B24" i="109"/>
  <c r="X23" i="109"/>
  <c r="Z23" i="109" s="1"/>
  <c r="R23" i="109"/>
  <c r="L23" i="109"/>
  <c r="N23" i="109" s="1"/>
  <c r="B23" i="109"/>
  <c r="X22" i="109"/>
  <c r="Z22" i="109" s="1"/>
  <c r="V22" i="109"/>
  <c r="R22" i="109"/>
  <c r="N22" i="109"/>
  <c r="L22" i="109"/>
  <c r="B22" i="109"/>
  <c r="Z21" i="109"/>
  <c r="X21" i="109"/>
  <c r="V21" i="109"/>
  <c r="L21" i="109"/>
  <c r="N21" i="109" s="1"/>
  <c r="F21" i="109"/>
  <c r="B21" i="109"/>
  <c r="Z20" i="109"/>
  <c r="X20" i="109"/>
  <c r="R20" i="109"/>
  <c r="L20" i="109"/>
  <c r="N20" i="109" s="1"/>
  <c r="B20" i="109"/>
  <c r="X19" i="109"/>
  <c r="T19" i="109"/>
  <c r="Z19" i="109" s="1"/>
  <c r="P19" i="109"/>
  <c r="J19" i="109"/>
  <c r="H19" i="109"/>
  <c r="D19" i="109"/>
  <c r="L19" i="109" s="1"/>
  <c r="N19" i="109" s="1"/>
  <c r="B19" i="109"/>
  <c r="Z18" i="109"/>
  <c r="T18" i="109"/>
  <c r="R18" i="109"/>
  <c r="P18" i="109"/>
  <c r="X18" i="109" s="1"/>
  <c r="L18" i="109"/>
  <c r="N18" i="109" s="1"/>
  <c r="H18" i="109"/>
  <c r="F18" i="109"/>
  <c r="D18" i="109"/>
  <c r="R16" i="109"/>
  <c r="F16" i="109"/>
  <c r="Z14" i="109"/>
  <c r="T14" i="109"/>
  <c r="R14" i="109"/>
  <c r="P14" i="109"/>
  <c r="X14" i="109" s="1"/>
  <c r="N14" i="109"/>
  <c r="L14" i="109"/>
  <c r="H14" i="109"/>
  <c r="F14" i="109"/>
  <c r="D14" i="109"/>
  <c r="Z12" i="109"/>
  <c r="T12" i="109"/>
  <c r="V23" i="109" s="1"/>
  <c r="P12" i="109"/>
  <c r="R25" i="109" s="1"/>
  <c r="N12" i="109"/>
  <c r="L12" i="109"/>
  <c r="H12" i="109"/>
  <c r="J29" i="109" s="1"/>
  <c r="D12" i="109"/>
  <c r="F39" i="109" s="1"/>
  <c r="D6" i="109"/>
  <c r="D4" i="109"/>
  <c r="Z86" i="108"/>
  <c r="X86" i="108"/>
  <c r="N86" i="108"/>
  <c r="L86" i="108"/>
  <c r="Z82" i="108"/>
  <c r="X82" i="108"/>
  <c r="T82" i="108"/>
  <c r="P82" i="108"/>
  <c r="N82" i="108"/>
  <c r="H82" i="108"/>
  <c r="D82" i="108"/>
  <c r="L82" i="108" s="1"/>
  <c r="X80" i="108"/>
  <c r="Z80" i="108" s="1"/>
  <c r="N80" i="108"/>
  <c r="L80" i="108"/>
  <c r="B80" i="108"/>
  <c r="Z79" i="108"/>
  <c r="X79" i="108"/>
  <c r="N79" i="108"/>
  <c r="L79" i="108"/>
  <c r="F79" i="108"/>
  <c r="B79" i="108"/>
  <c r="Z78" i="108"/>
  <c r="T78" i="108"/>
  <c r="P78" i="108"/>
  <c r="X78" i="108" s="1"/>
  <c r="H78" i="108"/>
  <c r="D78" i="108"/>
  <c r="L78" i="108" s="1"/>
  <c r="N78" i="108" s="1"/>
  <c r="B78" i="108"/>
  <c r="X77" i="108"/>
  <c r="Z77" i="108" s="1"/>
  <c r="N77" i="108"/>
  <c r="L77" i="108"/>
  <c r="B77" i="108"/>
  <c r="Z76" i="108"/>
  <c r="X76" i="108"/>
  <c r="T76" i="108"/>
  <c r="P76" i="108"/>
  <c r="L76" i="108"/>
  <c r="H76" i="108"/>
  <c r="N76" i="108" s="1"/>
  <c r="D76" i="108"/>
  <c r="B76" i="108"/>
  <c r="X75" i="108"/>
  <c r="Z75" i="108" s="1"/>
  <c r="L75" i="108"/>
  <c r="N75" i="108" s="1"/>
  <c r="B75" i="108"/>
  <c r="T74" i="108"/>
  <c r="P74" i="108"/>
  <c r="H74" i="108"/>
  <c r="D74" i="108"/>
  <c r="L74" i="108" s="1"/>
  <c r="B74" i="108"/>
  <c r="X73" i="108"/>
  <c r="Z73" i="108" s="1"/>
  <c r="N73" i="108"/>
  <c r="L73" i="108"/>
  <c r="B73" i="108"/>
  <c r="Z72" i="108"/>
  <c r="X72" i="108"/>
  <c r="N72" i="108"/>
  <c r="L72" i="108"/>
  <c r="B72" i="108"/>
  <c r="X71" i="108"/>
  <c r="Z71" i="108" s="1"/>
  <c r="N71" i="108"/>
  <c r="L71" i="108"/>
  <c r="F71" i="108"/>
  <c r="B71" i="108"/>
  <c r="Z70" i="108"/>
  <c r="X70" i="108"/>
  <c r="L70" i="108"/>
  <c r="N70" i="108" s="1"/>
  <c r="B70" i="108"/>
  <c r="X69" i="108"/>
  <c r="Z69" i="108" s="1"/>
  <c r="L69" i="108"/>
  <c r="N69" i="108" s="1"/>
  <c r="B69" i="108"/>
  <c r="X68" i="108"/>
  <c r="Z68" i="108" s="1"/>
  <c r="N68" i="108"/>
  <c r="L68" i="108"/>
  <c r="B68" i="108"/>
  <c r="X67" i="108"/>
  <c r="Z67" i="108" s="1"/>
  <c r="N67" i="108"/>
  <c r="L67" i="108"/>
  <c r="B67" i="108"/>
  <c r="Z66" i="108"/>
  <c r="T66" i="108"/>
  <c r="P66" i="108"/>
  <c r="X66" i="108" s="1"/>
  <c r="H66" i="108"/>
  <c r="D66" i="108"/>
  <c r="L66" i="108" s="1"/>
  <c r="N66" i="108" s="1"/>
  <c r="B66" i="108"/>
  <c r="X65" i="108"/>
  <c r="Z65" i="108" s="1"/>
  <c r="N65" i="108"/>
  <c r="L65" i="108"/>
  <c r="B65" i="108"/>
  <c r="Z64" i="108"/>
  <c r="X64" i="108"/>
  <c r="N64" i="108"/>
  <c r="L64" i="108"/>
  <c r="B64" i="108"/>
  <c r="Z63" i="108"/>
  <c r="X63" i="108"/>
  <c r="L63" i="108"/>
  <c r="N63" i="108" s="1"/>
  <c r="B63" i="108"/>
  <c r="X62" i="108"/>
  <c r="T62" i="108"/>
  <c r="Z62" i="108" s="1"/>
  <c r="P62" i="108"/>
  <c r="N62" i="108"/>
  <c r="L62" i="108"/>
  <c r="H62" i="108"/>
  <c r="D62" i="108"/>
  <c r="B62" i="108"/>
  <c r="Z61" i="108"/>
  <c r="X61" i="108"/>
  <c r="N61" i="108"/>
  <c r="L61" i="108"/>
  <c r="B61" i="108"/>
  <c r="Z60" i="108"/>
  <c r="X60" i="108"/>
  <c r="N60" i="108"/>
  <c r="L60" i="108"/>
  <c r="B60" i="108"/>
  <c r="X59" i="108"/>
  <c r="Z59" i="108" s="1"/>
  <c r="T59" i="108"/>
  <c r="P59" i="108"/>
  <c r="N59" i="108"/>
  <c r="H59" i="108"/>
  <c r="D59" i="108"/>
  <c r="L59" i="108" s="1"/>
  <c r="B59" i="108"/>
  <c r="Z58" i="108"/>
  <c r="X58" i="108"/>
  <c r="L58" i="108"/>
  <c r="N58" i="108" s="1"/>
  <c r="B58" i="108"/>
  <c r="T57" i="108"/>
  <c r="P57" i="108"/>
  <c r="L57" i="108"/>
  <c r="H57" i="108"/>
  <c r="N57" i="108" s="1"/>
  <c r="D57" i="108"/>
  <c r="B57" i="108"/>
  <c r="Z56" i="108"/>
  <c r="X56" i="108"/>
  <c r="N56" i="108"/>
  <c r="L56" i="108"/>
  <c r="B56" i="108"/>
  <c r="T55" i="108"/>
  <c r="P55" i="108"/>
  <c r="H55" i="108"/>
  <c r="D55" i="108"/>
  <c r="B55" i="108"/>
  <c r="X54" i="108"/>
  <c r="Z54" i="108" s="1"/>
  <c r="N54" i="108"/>
  <c r="L54" i="108"/>
  <c r="B54" i="108"/>
  <c r="T53" i="108"/>
  <c r="P53" i="108"/>
  <c r="X53" i="108" s="1"/>
  <c r="Z53" i="108" s="1"/>
  <c r="L53" i="108"/>
  <c r="N53" i="108" s="1"/>
  <c r="H53" i="108"/>
  <c r="D53" i="108"/>
  <c r="B53" i="108"/>
  <c r="X52" i="108"/>
  <c r="Z52" i="108" s="1"/>
  <c r="N52" i="108"/>
  <c r="L52" i="108"/>
  <c r="B52" i="108"/>
  <c r="X51" i="108"/>
  <c r="V51" i="108"/>
  <c r="T51" i="108"/>
  <c r="Z51" i="108" s="1"/>
  <c r="P51" i="108"/>
  <c r="H51" i="108"/>
  <c r="N51" i="108" s="1"/>
  <c r="D51" i="108"/>
  <c r="B51" i="108"/>
  <c r="X50" i="108"/>
  <c r="Z50" i="108" s="1"/>
  <c r="N50" i="108"/>
  <c r="L50" i="108"/>
  <c r="B50" i="108"/>
  <c r="T49" i="108"/>
  <c r="P49" i="108"/>
  <c r="H49" i="108"/>
  <c r="N49" i="108" s="1"/>
  <c r="D49" i="108"/>
  <c r="L49" i="108" s="1"/>
  <c r="B49" i="108"/>
  <c r="Z48" i="108"/>
  <c r="X48" i="108"/>
  <c r="L48" i="108"/>
  <c r="N48" i="108" s="1"/>
  <c r="B48" i="108"/>
  <c r="X47" i="108"/>
  <c r="T47" i="108"/>
  <c r="Z47" i="108" s="1"/>
  <c r="P47" i="108"/>
  <c r="N47" i="108"/>
  <c r="H47" i="108"/>
  <c r="D47" i="108"/>
  <c r="L47" i="108" s="1"/>
  <c r="B47" i="108"/>
  <c r="Z46" i="108"/>
  <c r="X46" i="108"/>
  <c r="L46" i="108"/>
  <c r="N46" i="108" s="1"/>
  <c r="B46" i="108"/>
  <c r="T45" i="108"/>
  <c r="P45" i="108"/>
  <c r="L45" i="108"/>
  <c r="N45" i="108" s="1"/>
  <c r="J45" i="108"/>
  <c r="H45" i="108"/>
  <c r="D45" i="108"/>
  <c r="B45" i="108"/>
  <c r="Z44" i="108"/>
  <c r="X44" i="108"/>
  <c r="N44" i="108"/>
  <c r="L44" i="108"/>
  <c r="F44" i="108"/>
  <c r="B44" i="108"/>
  <c r="T43" i="108"/>
  <c r="P43" i="108"/>
  <c r="H43" i="108"/>
  <c r="D43" i="108"/>
  <c r="B43" i="108"/>
  <c r="X42" i="108"/>
  <c r="Z42" i="108" s="1"/>
  <c r="N42" i="108"/>
  <c r="L42" i="108"/>
  <c r="B42" i="108"/>
  <c r="T41" i="108"/>
  <c r="P41" i="108"/>
  <c r="X41" i="108" s="1"/>
  <c r="Z41" i="108" s="1"/>
  <c r="L41" i="108"/>
  <c r="H41" i="108"/>
  <c r="D41" i="108"/>
  <c r="B41" i="108"/>
  <c r="X40" i="108"/>
  <c r="Z40" i="108" s="1"/>
  <c r="N40" i="108"/>
  <c r="L40" i="108"/>
  <c r="B40" i="108"/>
  <c r="X39" i="108"/>
  <c r="Z39" i="108" s="1"/>
  <c r="V39" i="108"/>
  <c r="N39" i="108"/>
  <c r="L39" i="108"/>
  <c r="B39" i="108"/>
  <c r="Z38" i="108"/>
  <c r="X38" i="108"/>
  <c r="N38" i="108"/>
  <c r="L38" i="108"/>
  <c r="B38" i="108"/>
  <c r="X37" i="108"/>
  <c r="Z37" i="108" s="1"/>
  <c r="L37" i="108"/>
  <c r="N37" i="108" s="1"/>
  <c r="B37" i="108"/>
  <c r="X36" i="108"/>
  <c r="Z36" i="108" s="1"/>
  <c r="N36" i="108"/>
  <c r="L36" i="108"/>
  <c r="B36" i="108"/>
  <c r="X35" i="108"/>
  <c r="Z35" i="108" s="1"/>
  <c r="N35" i="108"/>
  <c r="L35" i="108"/>
  <c r="F35" i="108"/>
  <c r="B35" i="108"/>
  <c r="Z34" i="108"/>
  <c r="T34" i="108"/>
  <c r="P34" i="108"/>
  <c r="X34" i="108" s="1"/>
  <c r="H34" i="108"/>
  <c r="D34" i="108"/>
  <c r="L34" i="108" s="1"/>
  <c r="B34" i="108"/>
  <c r="X33" i="108"/>
  <c r="Z33" i="108" s="1"/>
  <c r="N33" i="108"/>
  <c r="L33" i="108"/>
  <c r="B33" i="108"/>
  <c r="X32" i="108"/>
  <c r="Z32" i="108" s="1"/>
  <c r="N32" i="108"/>
  <c r="L32" i="108"/>
  <c r="F32" i="108"/>
  <c r="B32" i="108"/>
  <c r="Z31" i="108"/>
  <c r="X31" i="108"/>
  <c r="L31" i="108"/>
  <c r="N31" i="108" s="1"/>
  <c r="B31" i="108"/>
  <c r="X30" i="108"/>
  <c r="Z30" i="108" s="1"/>
  <c r="L30" i="108"/>
  <c r="N30" i="108" s="1"/>
  <c r="F30" i="108"/>
  <c r="B30" i="108"/>
  <c r="X29" i="108"/>
  <c r="Z29" i="108" s="1"/>
  <c r="N29" i="108"/>
  <c r="L29" i="108"/>
  <c r="B29" i="108"/>
  <c r="X28" i="108"/>
  <c r="Z28" i="108" s="1"/>
  <c r="N28" i="108"/>
  <c r="L28" i="108"/>
  <c r="B28" i="108"/>
  <c r="X27" i="108"/>
  <c r="Z27" i="108" s="1"/>
  <c r="N27" i="108"/>
  <c r="L27" i="108"/>
  <c r="B27" i="108"/>
  <c r="Z26" i="108"/>
  <c r="X26" i="108"/>
  <c r="L26" i="108"/>
  <c r="N26" i="108" s="1"/>
  <c r="B26" i="108"/>
  <c r="X25" i="108"/>
  <c r="Z25" i="108" s="1"/>
  <c r="N25" i="108"/>
  <c r="L25" i="108"/>
  <c r="B25" i="108"/>
  <c r="Z24" i="108"/>
  <c r="V24" i="108"/>
  <c r="T24" i="108"/>
  <c r="P24" i="108"/>
  <c r="X24" i="108" s="1"/>
  <c r="H24" i="108"/>
  <c r="D24" i="108"/>
  <c r="L24" i="108" s="1"/>
  <c r="N24" i="108" s="1"/>
  <c r="B24" i="108"/>
  <c r="T23" i="108"/>
  <c r="P23" i="108"/>
  <c r="H23" i="108"/>
  <c r="D23" i="108"/>
  <c r="L23" i="108" s="1"/>
  <c r="N23" i="108" s="1"/>
  <c r="T21" i="108"/>
  <c r="P21" i="108"/>
  <c r="Z19" i="108"/>
  <c r="X19" i="108"/>
  <c r="N19" i="108"/>
  <c r="L19" i="108"/>
  <c r="J19" i="108"/>
  <c r="B19" i="108"/>
  <c r="Z18" i="108"/>
  <c r="X18" i="108"/>
  <c r="N18" i="108"/>
  <c r="L18" i="108"/>
  <c r="F18" i="108"/>
  <c r="B18" i="108"/>
  <c r="Z17" i="108"/>
  <c r="T17" i="108"/>
  <c r="X17" i="108" s="1"/>
  <c r="P17" i="108"/>
  <c r="N17" i="108"/>
  <c r="L17" i="108"/>
  <c r="H17" i="108"/>
  <c r="F17" i="108"/>
  <c r="D17" i="108"/>
  <c r="T15" i="108"/>
  <c r="T12" i="108" s="1"/>
  <c r="P15" i="108"/>
  <c r="X15" i="108" s="1"/>
  <c r="Z15" i="108" s="1"/>
  <c r="H15" i="108"/>
  <c r="N15" i="108" s="1"/>
  <c r="D15" i="108"/>
  <c r="L15" i="108" s="1"/>
  <c r="B15" i="108"/>
  <c r="T14" i="108"/>
  <c r="P14" i="108"/>
  <c r="P12" i="108" s="1"/>
  <c r="R82" i="108" s="1"/>
  <c r="L14" i="108"/>
  <c r="H14" i="108"/>
  <c r="N14" i="108" s="1"/>
  <c r="D14" i="108"/>
  <c r="B14" i="108"/>
  <c r="Z13" i="108"/>
  <c r="X13" i="108"/>
  <c r="T13" i="108"/>
  <c r="P13" i="108"/>
  <c r="H13" i="108"/>
  <c r="H12" i="108" s="1"/>
  <c r="J28" i="108" s="1"/>
  <c r="D13" i="108"/>
  <c r="B13" i="108"/>
  <c r="D12" i="108"/>
  <c r="F66" i="108" s="1"/>
  <c r="D6" i="108"/>
  <c r="D4" i="108"/>
  <c r="Z26" i="107"/>
  <c r="X26" i="107"/>
  <c r="V26" i="107"/>
  <c r="N26" i="107"/>
  <c r="L26" i="107"/>
  <c r="T22" i="107"/>
  <c r="Z22" i="107" s="1"/>
  <c r="P22" i="107"/>
  <c r="N22" i="107"/>
  <c r="H22" i="107"/>
  <c r="D22" i="107"/>
  <c r="L22" i="107" s="1"/>
  <c r="X20" i="107"/>
  <c r="Z20" i="107" s="1"/>
  <c r="R20" i="107"/>
  <c r="N20" i="107"/>
  <c r="L20" i="107"/>
  <c r="B20" i="107"/>
  <c r="T19" i="107"/>
  <c r="X19" i="107" s="1"/>
  <c r="Z19" i="107" s="1"/>
  <c r="P19" i="107"/>
  <c r="N19" i="107"/>
  <c r="J19" i="107"/>
  <c r="H19" i="107"/>
  <c r="L19" i="107" s="1"/>
  <c r="D19" i="107"/>
  <c r="B19" i="107"/>
  <c r="T18" i="107"/>
  <c r="P18" i="107"/>
  <c r="N18" i="107"/>
  <c r="L18" i="107"/>
  <c r="J18" i="107"/>
  <c r="H18" i="107"/>
  <c r="D18" i="107"/>
  <c r="P16" i="107"/>
  <c r="J16" i="107"/>
  <c r="T14" i="107"/>
  <c r="P14" i="107"/>
  <c r="N14" i="107"/>
  <c r="L14" i="107"/>
  <c r="J14" i="107"/>
  <c r="H14" i="107"/>
  <c r="D14" i="107"/>
  <c r="T12" i="107"/>
  <c r="V31" i="107" s="1"/>
  <c r="P12" i="107"/>
  <c r="L12" i="107"/>
  <c r="H12" i="107"/>
  <c r="J20" i="107" s="1"/>
  <c r="D12" i="107"/>
  <c r="F20" i="107" s="1"/>
  <c r="D6" i="107"/>
  <c r="D4" i="107"/>
  <c r="X87" i="106"/>
  <c r="Z87" i="106" s="1"/>
  <c r="L87" i="106"/>
  <c r="N87" i="106" s="1"/>
  <c r="Z83" i="106"/>
  <c r="X83" i="106"/>
  <c r="T83" i="106"/>
  <c r="P83" i="106"/>
  <c r="H83" i="106"/>
  <c r="N83" i="106" s="1"/>
  <c r="D83" i="106"/>
  <c r="L83" i="106" s="1"/>
  <c r="Z81" i="106"/>
  <c r="X81" i="106"/>
  <c r="N81" i="106"/>
  <c r="L81" i="106"/>
  <c r="B81" i="106"/>
  <c r="Z80" i="106"/>
  <c r="V80" i="106"/>
  <c r="T80" i="106"/>
  <c r="P80" i="106"/>
  <c r="X80" i="106" s="1"/>
  <c r="H80" i="106"/>
  <c r="N80" i="106" s="1"/>
  <c r="D80" i="106"/>
  <c r="L80" i="106" s="1"/>
  <c r="B80" i="106"/>
  <c r="X79" i="106"/>
  <c r="Z79" i="106" s="1"/>
  <c r="N79" i="106"/>
  <c r="L79" i="106"/>
  <c r="B79" i="106"/>
  <c r="T78" i="106"/>
  <c r="P78" i="106"/>
  <c r="X78" i="106" s="1"/>
  <c r="N78" i="106"/>
  <c r="L78" i="106"/>
  <c r="H78" i="106"/>
  <c r="D78" i="106"/>
  <c r="B78" i="106"/>
  <c r="X77" i="106"/>
  <c r="Z77" i="106" s="1"/>
  <c r="L77" i="106"/>
  <c r="N77" i="106" s="1"/>
  <c r="B77" i="106"/>
  <c r="T76" i="106"/>
  <c r="X76" i="106" s="1"/>
  <c r="Z76" i="106" s="1"/>
  <c r="P76" i="106"/>
  <c r="H76" i="106"/>
  <c r="D76" i="106"/>
  <c r="L76" i="106" s="1"/>
  <c r="N76" i="106" s="1"/>
  <c r="B76" i="106"/>
  <c r="Z75" i="106"/>
  <c r="X75" i="106"/>
  <c r="N75" i="106"/>
  <c r="L75" i="106"/>
  <c r="B75" i="106"/>
  <c r="Z74" i="106"/>
  <c r="X74" i="106"/>
  <c r="N74" i="106"/>
  <c r="L74" i="106"/>
  <c r="B74" i="106"/>
  <c r="Z73" i="106"/>
  <c r="X73" i="106"/>
  <c r="N73" i="106"/>
  <c r="L73" i="106"/>
  <c r="B73" i="106"/>
  <c r="Z72" i="106"/>
  <c r="X72" i="106"/>
  <c r="V72" i="106"/>
  <c r="N72" i="106"/>
  <c r="L72" i="106"/>
  <c r="B72" i="106"/>
  <c r="Z71" i="106"/>
  <c r="X71" i="106"/>
  <c r="L71" i="106"/>
  <c r="N71" i="106" s="1"/>
  <c r="B71" i="106"/>
  <c r="X70" i="106"/>
  <c r="Z70" i="106" s="1"/>
  <c r="L70" i="106"/>
  <c r="N70" i="106" s="1"/>
  <c r="B70" i="106"/>
  <c r="X69" i="106"/>
  <c r="Z69" i="106" s="1"/>
  <c r="L69" i="106"/>
  <c r="N69" i="106" s="1"/>
  <c r="B69" i="106"/>
  <c r="Z68" i="106"/>
  <c r="X68" i="106"/>
  <c r="N68" i="106"/>
  <c r="L68" i="106"/>
  <c r="B68" i="106"/>
  <c r="T67" i="106"/>
  <c r="P67" i="106"/>
  <c r="X67" i="106" s="1"/>
  <c r="L67" i="106"/>
  <c r="N67" i="106" s="1"/>
  <c r="H67" i="106"/>
  <c r="D67" i="106"/>
  <c r="B67" i="106"/>
  <c r="X66" i="106"/>
  <c r="Z66" i="106" s="1"/>
  <c r="N66" i="106"/>
  <c r="L66" i="106"/>
  <c r="B66" i="106"/>
  <c r="X65" i="106"/>
  <c r="Z65" i="106" s="1"/>
  <c r="L65" i="106"/>
  <c r="N65" i="106" s="1"/>
  <c r="B65" i="106"/>
  <c r="Z64" i="106"/>
  <c r="X64" i="106"/>
  <c r="N64" i="106"/>
  <c r="L64" i="106"/>
  <c r="B64" i="106"/>
  <c r="X63" i="106"/>
  <c r="T63" i="106"/>
  <c r="Z63" i="106" s="1"/>
  <c r="P63" i="106"/>
  <c r="H63" i="106"/>
  <c r="D63" i="106"/>
  <c r="L63" i="106" s="1"/>
  <c r="N63" i="106" s="1"/>
  <c r="B63" i="106"/>
  <c r="Z62" i="106"/>
  <c r="X62" i="106"/>
  <c r="L62" i="106"/>
  <c r="N62" i="106" s="1"/>
  <c r="B62" i="106"/>
  <c r="X61" i="106"/>
  <c r="Z61" i="106" s="1"/>
  <c r="L61" i="106"/>
  <c r="N61" i="106" s="1"/>
  <c r="B61" i="106"/>
  <c r="Z60" i="106"/>
  <c r="X60" i="106"/>
  <c r="N60" i="106"/>
  <c r="L60" i="106"/>
  <c r="B60" i="106"/>
  <c r="T59" i="106"/>
  <c r="P59" i="106"/>
  <c r="L59" i="106"/>
  <c r="H59" i="106"/>
  <c r="D59" i="106"/>
  <c r="B59" i="106"/>
  <c r="X58" i="106"/>
  <c r="Z58" i="106" s="1"/>
  <c r="L58" i="106"/>
  <c r="N58" i="106" s="1"/>
  <c r="B58" i="106"/>
  <c r="X57" i="106"/>
  <c r="Z57" i="106" s="1"/>
  <c r="T57" i="106"/>
  <c r="P57" i="106"/>
  <c r="H57" i="106"/>
  <c r="D57" i="106"/>
  <c r="L57" i="106" s="1"/>
  <c r="B57" i="106"/>
  <c r="Z56" i="106"/>
  <c r="X56" i="106"/>
  <c r="N56" i="106"/>
  <c r="L56" i="106"/>
  <c r="B56" i="106"/>
  <c r="X55" i="106"/>
  <c r="T55" i="106"/>
  <c r="P55" i="106"/>
  <c r="H55" i="106"/>
  <c r="D55" i="106"/>
  <c r="L55" i="106" s="1"/>
  <c r="N55" i="106" s="1"/>
  <c r="B55" i="106"/>
  <c r="Z54" i="106"/>
  <c r="X54" i="106"/>
  <c r="N54" i="106"/>
  <c r="L54" i="106"/>
  <c r="B54" i="106"/>
  <c r="X53" i="106"/>
  <c r="T53" i="106"/>
  <c r="P53" i="106"/>
  <c r="H53" i="106"/>
  <c r="N53" i="106" s="1"/>
  <c r="D53" i="106"/>
  <c r="B53" i="106"/>
  <c r="Z52" i="106"/>
  <c r="X52" i="106"/>
  <c r="N52" i="106"/>
  <c r="L52" i="106"/>
  <c r="B52" i="106"/>
  <c r="T51" i="106"/>
  <c r="P51" i="106"/>
  <c r="X51" i="106" s="1"/>
  <c r="L51" i="106"/>
  <c r="H51" i="106"/>
  <c r="N51" i="106" s="1"/>
  <c r="D51" i="106"/>
  <c r="B51" i="106"/>
  <c r="X50" i="106"/>
  <c r="Z50" i="106" s="1"/>
  <c r="N50" i="106"/>
  <c r="L50" i="106"/>
  <c r="B50" i="106"/>
  <c r="T49" i="106"/>
  <c r="P49" i="106"/>
  <c r="X49" i="106" s="1"/>
  <c r="Z49" i="106" s="1"/>
  <c r="L49" i="106"/>
  <c r="H49" i="106"/>
  <c r="N49" i="106" s="1"/>
  <c r="D49" i="106"/>
  <c r="B49" i="106"/>
  <c r="Z48" i="106"/>
  <c r="X48" i="106"/>
  <c r="N48" i="106"/>
  <c r="L48" i="106"/>
  <c r="B48" i="106"/>
  <c r="T47" i="106"/>
  <c r="P47" i="106"/>
  <c r="L47" i="106"/>
  <c r="H47" i="106"/>
  <c r="D47" i="106"/>
  <c r="B47" i="106"/>
  <c r="X46" i="106"/>
  <c r="Z46" i="106" s="1"/>
  <c r="L46" i="106"/>
  <c r="N46" i="106" s="1"/>
  <c r="B46" i="106"/>
  <c r="X45" i="106"/>
  <c r="T45" i="106"/>
  <c r="Z45" i="106" s="1"/>
  <c r="P45" i="106"/>
  <c r="H45" i="106"/>
  <c r="D45" i="106"/>
  <c r="B45" i="106"/>
  <c r="Z44" i="106"/>
  <c r="X44" i="106"/>
  <c r="N44" i="106"/>
  <c r="L44" i="106"/>
  <c r="B44" i="106"/>
  <c r="X43" i="106"/>
  <c r="T43" i="106"/>
  <c r="Z43" i="106" s="1"/>
  <c r="P43" i="106"/>
  <c r="H43" i="106"/>
  <c r="D43" i="106"/>
  <c r="L43" i="106" s="1"/>
  <c r="N43" i="106" s="1"/>
  <c r="B43" i="106"/>
  <c r="Z42" i="106"/>
  <c r="X42" i="106"/>
  <c r="L42" i="106"/>
  <c r="N42" i="106" s="1"/>
  <c r="B42" i="106"/>
  <c r="X41" i="106"/>
  <c r="T41" i="106"/>
  <c r="P41" i="106"/>
  <c r="H41" i="106"/>
  <c r="D41" i="106"/>
  <c r="B41" i="106"/>
  <c r="Z40" i="106"/>
  <c r="X40" i="106"/>
  <c r="V40" i="106"/>
  <c r="N40" i="106"/>
  <c r="L40" i="106"/>
  <c r="B40" i="106"/>
  <c r="X39" i="106"/>
  <c r="Z39" i="106" s="1"/>
  <c r="L39" i="106"/>
  <c r="N39" i="106" s="1"/>
  <c r="B39" i="106"/>
  <c r="X38" i="106"/>
  <c r="Z38" i="106" s="1"/>
  <c r="L38" i="106"/>
  <c r="N38" i="106" s="1"/>
  <c r="B38" i="106"/>
  <c r="X37" i="106"/>
  <c r="Z37" i="106" s="1"/>
  <c r="N37" i="106"/>
  <c r="L37" i="106"/>
  <c r="B37" i="106"/>
  <c r="Z36" i="106"/>
  <c r="X36" i="106"/>
  <c r="N36" i="106"/>
  <c r="L36" i="106"/>
  <c r="B36" i="106"/>
  <c r="X35" i="106"/>
  <c r="Z35" i="106" s="1"/>
  <c r="L35" i="106"/>
  <c r="N35" i="106" s="1"/>
  <c r="B35" i="106"/>
  <c r="X34" i="106"/>
  <c r="Z34" i="106" s="1"/>
  <c r="T34" i="106"/>
  <c r="P34" i="106"/>
  <c r="H34" i="106"/>
  <c r="D34" i="106"/>
  <c r="L34" i="106" s="1"/>
  <c r="N34" i="106" s="1"/>
  <c r="B34" i="106"/>
  <c r="X33" i="106"/>
  <c r="Z33" i="106" s="1"/>
  <c r="L33" i="106"/>
  <c r="N33" i="106" s="1"/>
  <c r="B33" i="106"/>
  <c r="Z32" i="106"/>
  <c r="X32" i="106"/>
  <c r="N32" i="106"/>
  <c r="L32" i="106"/>
  <c r="B32" i="106"/>
  <c r="X31" i="106"/>
  <c r="Z31" i="106" s="1"/>
  <c r="L31" i="106"/>
  <c r="N31" i="106" s="1"/>
  <c r="B31" i="106"/>
  <c r="X30" i="106"/>
  <c r="Z30" i="106" s="1"/>
  <c r="V30" i="106"/>
  <c r="N30" i="106"/>
  <c r="L30" i="106"/>
  <c r="B30" i="106"/>
  <c r="Z29" i="106"/>
  <c r="X29" i="106"/>
  <c r="L29" i="106"/>
  <c r="N29" i="106" s="1"/>
  <c r="B29" i="106"/>
  <c r="Z28" i="106"/>
  <c r="X28" i="106"/>
  <c r="N28" i="106"/>
  <c r="L28" i="106"/>
  <c r="B28" i="106"/>
  <c r="X27" i="106"/>
  <c r="Z27" i="106" s="1"/>
  <c r="L27" i="106"/>
  <c r="N27" i="106" s="1"/>
  <c r="B27" i="106"/>
  <c r="X26" i="106"/>
  <c r="Z26" i="106" s="1"/>
  <c r="N26" i="106"/>
  <c r="L26" i="106"/>
  <c r="B26" i="106"/>
  <c r="Z25" i="106"/>
  <c r="X25" i="106"/>
  <c r="L25" i="106"/>
  <c r="N25" i="106" s="1"/>
  <c r="B25" i="106"/>
  <c r="T24" i="106"/>
  <c r="X24" i="106" s="1"/>
  <c r="Z24" i="106" s="1"/>
  <c r="P24" i="106"/>
  <c r="H24" i="106"/>
  <c r="D24" i="106"/>
  <c r="L24" i="106" s="1"/>
  <c r="N24" i="106" s="1"/>
  <c r="B24" i="106"/>
  <c r="T23" i="106"/>
  <c r="P23" i="106"/>
  <c r="L23" i="106"/>
  <c r="H23" i="106"/>
  <c r="D23" i="106"/>
  <c r="T21" i="106"/>
  <c r="X19" i="106"/>
  <c r="Z19" i="106" s="1"/>
  <c r="L19" i="106"/>
  <c r="N19" i="106" s="1"/>
  <c r="B19" i="106"/>
  <c r="Z18" i="106"/>
  <c r="X18" i="106"/>
  <c r="N18" i="106"/>
  <c r="L18" i="106"/>
  <c r="B18" i="106"/>
  <c r="T17" i="106"/>
  <c r="P17" i="106"/>
  <c r="X17" i="106" s="1"/>
  <c r="H17" i="106"/>
  <c r="D17" i="106"/>
  <c r="X15" i="106"/>
  <c r="Z15" i="106" s="1"/>
  <c r="T15" i="106"/>
  <c r="P15" i="106"/>
  <c r="L15" i="106"/>
  <c r="N15" i="106" s="1"/>
  <c r="H15" i="106"/>
  <c r="D15" i="106"/>
  <c r="B15" i="106"/>
  <c r="T14" i="106"/>
  <c r="P14" i="106"/>
  <c r="X14" i="106" s="1"/>
  <c r="Z14" i="106" s="1"/>
  <c r="H14" i="106"/>
  <c r="D14" i="106"/>
  <c r="L14" i="106" s="1"/>
  <c r="B14" i="106"/>
  <c r="T13" i="106"/>
  <c r="P13" i="106"/>
  <c r="H13" i="106"/>
  <c r="D13" i="106"/>
  <c r="B13" i="106"/>
  <c r="T12" i="106"/>
  <c r="V78" i="106" s="1"/>
  <c r="D6" i="106"/>
  <c r="D4" i="106"/>
  <c r="Z53" i="105"/>
  <c r="X53" i="105"/>
  <c r="N53" i="105"/>
  <c r="L53" i="105"/>
  <c r="Z49" i="105"/>
  <c r="T49" i="105"/>
  <c r="P49" i="105"/>
  <c r="X49" i="105" s="1"/>
  <c r="N49" i="105"/>
  <c r="H49" i="105"/>
  <c r="D49" i="105"/>
  <c r="L49" i="105" s="1"/>
  <c r="Z47" i="105"/>
  <c r="X47" i="105"/>
  <c r="N47" i="105"/>
  <c r="L47" i="105"/>
  <c r="B47" i="105"/>
  <c r="X46" i="105"/>
  <c r="T46" i="105"/>
  <c r="P46" i="105"/>
  <c r="L46" i="105"/>
  <c r="H46" i="105"/>
  <c r="D46" i="105"/>
  <c r="B46" i="105"/>
  <c r="Z45" i="105"/>
  <c r="X45" i="105"/>
  <c r="N45" i="105"/>
  <c r="L45" i="105"/>
  <c r="B45" i="105"/>
  <c r="X44" i="105"/>
  <c r="Z44" i="105" s="1"/>
  <c r="L44" i="105"/>
  <c r="N44" i="105" s="1"/>
  <c r="B44" i="105"/>
  <c r="Z43" i="105"/>
  <c r="X43" i="105"/>
  <c r="N43" i="105"/>
  <c r="L43" i="105"/>
  <c r="B43" i="105"/>
  <c r="X42" i="105"/>
  <c r="Z42" i="105" s="1"/>
  <c r="N42" i="105"/>
  <c r="L42" i="105"/>
  <c r="F42" i="105"/>
  <c r="B42" i="105"/>
  <c r="Z41" i="105"/>
  <c r="T41" i="105"/>
  <c r="P41" i="105"/>
  <c r="X41" i="105" s="1"/>
  <c r="H41" i="105"/>
  <c r="D41" i="105"/>
  <c r="L41" i="105" s="1"/>
  <c r="N41" i="105" s="1"/>
  <c r="B41" i="105"/>
  <c r="Z40" i="105"/>
  <c r="X40" i="105"/>
  <c r="N40" i="105"/>
  <c r="L40" i="105"/>
  <c r="B40" i="105"/>
  <c r="T39" i="105"/>
  <c r="P39" i="105"/>
  <c r="N39" i="105"/>
  <c r="L39" i="105"/>
  <c r="H39" i="105"/>
  <c r="D39" i="105"/>
  <c r="B39" i="105"/>
  <c r="Z38" i="105"/>
  <c r="X38" i="105"/>
  <c r="L38" i="105"/>
  <c r="N38" i="105" s="1"/>
  <c r="B38" i="105"/>
  <c r="Z37" i="105"/>
  <c r="T37" i="105"/>
  <c r="P37" i="105"/>
  <c r="X37" i="105" s="1"/>
  <c r="H37" i="105"/>
  <c r="F37" i="105"/>
  <c r="D37" i="105"/>
  <c r="B37" i="105"/>
  <c r="X36" i="105"/>
  <c r="Z36" i="105" s="1"/>
  <c r="L36" i="105"/>
  <c r="N36" i="105" s="1"/>
  <c r="B36" i="105"/>
  <c r="Z35" i="105"/>
  <c r="T35" i="105"/>
  <c r="P35" i="105"/>
  <c r="X35" i="105" s="1"/>
  <c r="N35" i="105"/>
  <c r="L35" i="105"/>
  <c r="H35" i="105"/>
  <c r="D35" i="105"/>
  <c r="B35" i="105"/>
  <c r="X34" i="105"/>
  <c r="Z34" i="105" s="1"/>
  <c r="N34" i="105"/>
  <c r="L34" i="105"/>
  <c r="B34" i="105"/>
  <c r="T33" i="105"/>
  <c r="P33" i="105"/>
  <c r="X33" i="105" s="1"/>
  <c r="Z33" i="105" s="1"/>
  <c r="H33" i="105"/>
  <c r="D33" i="105"/>
  <c r="B33" i="105"/>
  <c r="Z32" i="105"/>
  <c r="X32" i="105"/>
  <c r="N32" i="105"/>
  <c r="L32" i="105"/>
  <c r="B32" i="105"/>
  <c r="Z31" i="105"/>
  <c r="T31" i="105"/>
  <c r="P31" i="105"/>
  <c r="X31" i="105" s="1"/>
  <c r="L31" i="105"/>
  <c r="H31" i="105"/>
  <c r="D31" i="105"/>
  <c r="B31" i="105"/>
  <c r="X30" i="105"/>
  <c r="Z30" i="105" s="1"/>
  <c r="L30" i="105"/>
  <c r="N30" i="105" s="1"/>
  <c r="B30" i="105"/>
  <c r="Z29" i="105"/>
  <c r="X29" i="105"/>
  <c r="L29" i="105"/>
  <c r="N29" i="105" s="1"/>
  <c r="B29" i="105"/>
  <c r="T28" i="105"/>
  <c r="P28" i="105"/>
  <c r="X28" i="105" s="1"/>
  <c r="Z28" i="105" s="1"/>
  <c r="L28" i="105"/>
  <c r="H28" i="105"/>
  <c r="D28" i="105"/>
  <c r="B28" i="105"/>
  <c r="Z27" i="105"/>
  <c r="X27" i="105"/>
  <c r="N27" i="105"/>
  <c r="L27" i="105"/>
  <c r="F27" i="105"/>
  <c r="B27" i="105"/>
  <c r="X26" i="105"/>
  <c r="Z26" i="105" s="1"/>
  <c r="N26" i="105"/>
  <c r="L26" i="105"/>
  <c r="B26" i="105"/>
  <c r="X25" i="105"/>
  <c r="Z25" i="105" s="1"/>
  <c r="L25" i="105"/>
  <c r="N25" i="105" s="1"/>
  <c r="B25" i="105"/>
  <c r="T24" i="105"/>
  <c r="P24" i="105"/>
  <c r="X24" i="105" s="1"/>
  <c r="Z24" i="105" s="1"/>
  <c r="L24" i="105"/>
  <c r="H24" i="105"/>
  <c r="D24" i="105"/>
  <c r="B24" i="105"/>
  <c r="T23" i="105"/>
  <c r="P23" i="105"/>
  <c r="X23" i="105" s="1"/>
  <c r="Z23" i="105" s="1"/>
  <c r="N23" i="105"/>
  <c r="H23" i="105"/>
  <c r="D23" i="105"/>
  <c r="L23" i="105" s="1"/>
  <c r="X19" i="105"/>
  <c r="Z19" i="105" s="1"/>
  <c r="L19" i="105"/>
  <c r="N19" i="105" s="1"/>
  <c r="J19" i="105"/>
  <c r="B19" i="105"/>
  <c r="Z18" i="105"/>
  <c r="X18" i="105"/>
  <c r="L18" i="105"/>
  <c r="N18" i="105" s="1"/>
  <c r="B18" i="105"/>
  <c r="T17" i="105"/>
  <c r="P17" i="105"/>
  <c r="X17" i="105" s="1"/>
  <c r="Z17" i="105" s="1"/>
  <c r="H17" i="105"/>
  <c r="F17" i="105"/>
  <c r="D17" i="105"/>
  <c r="L17" i="105" s="1"/>
  <c r="N17" i="105" s="1"/>
  <c r="Z15" i="105"/>
  <c r="T15" i="105"/>
  <c r="P15" i="105"/>
  <c r="X15" i="105" s="1"/>
  <c r="N15" i="105"/>
  <c r="L15" i="105"/>
  <c r="H15" i="105"/>
  <c r="D15" i="105"/>
  <c r="B15" i="105"/>
  <c r="T14" i="105"/>
  <c r="P14" i="105"/>
  <c r="H14" i="105"/>
  <c r="N14" i="105" s="1"/>
  <c r="D14" i="105"/>
  <c r="L14" i="105" s="1"/>
  <c r="B14" i="105"/>
  <c r="T13" i="105"/>
  <c r="P13" i="105"/>
  <c r="H13" i="105"/>
  <c r="H12" i="105" s="1"/>
  <c r="J47" i="105" s="1"/>
  <c r="D13" i="105"/>
  <c r="B13" i="105"/>
  <c r="D12" i="105"/>
  <c r="D6" i="105"/>
  <c r="D4" i="105"/>
  <c r="X86" i="104"/>
  <c r="Z86" i="104" s="1"/>
  <c r="N86" i="104"/>
  <c r="L86" i="104"/>
  <c r="X82" i="104"/>
  <c r="T82" i="104"/>
  <c r="Z82" i="104" s="1"/>
  <c r="P82" i="104"/>
  <c r="N82" i="104"/>
  <c r="L82" i="104"/>
  <c r="H82" i="104"/>
  <c r="D82" i="104"/>
  <c r="X80" i="104"/>
  <c r="Z80" i="104" s="1"/>
  <c r="L80" i="104"/>
  <c r="N80" i="104" s="1"/>
  <c r="B80" i="104"/>
  <c r="Z79" i="104"/>
  <c r="X79" i="104"/>
  <c r="N79" i="104"/>
  <c r="L79" i="104"/>
  <c r="B79" i="104"/>
  <c r="Z78" i="104"/>
  <c r="X78" i="104"/>
  <c r="T78" i="104"/>
  <c r="P78" i="104"/>
  <c r="L78" i="104"/>
  <c r="H78" i="104"/>
  <c r="D78" i="104"/>
  <c r="B78" i="104"/>
  <c r="Z77" i="104"/>
  <c r="X77" i="104"/>
  <c r="N77" i="104"/>
  <c r="L77" i="104"/>
  <c r="B77" i="104"/>
  <c r="T76" i="104"/>
  <c r="P76" i="104"/>
  <c r="H76" i="104"/>
  <c r="D76" i="104"/>
  <c r="B76" i="104"/>
  <c r="X75" i="104"/>
  <c r="Z75" i="104" s="1"/>
  <c r="L75" i="104"/>
  <c r="N75" i="104" s="1"/>
  <c r="B75" i="104"/>
  <c r="Z74" i="104"/>
  <c r="X74" i="104"/>
  <c r="T74" i="104"/>
  <c r="P74" i="104"/>
  <c r="H74" i="104"/>
  <c r="D74" i="104"/>
  <c r="L74" i="104" s="1"/>
  <c r="N74" i="104" s="1"/>
  <c r="B74" i="104"/>
  <c r="Z73" i="104"/>
  <c r="X73" i="104"/>
  <c r="N73" i="104"/>
  <c r="L73" i="104"/>
  <c r="B73" i="104"/>
  <c r="Z72" i="104"/>
  <c r="X72" i="104"/>
  <c r="R72" i="104"/>
  <c r="N72" i="104"/>
  <c r="L72" i="104"/>
  <c r="B72" i="104"/>
  <c r="X71" i="104"/>
  <c r="Z71" i="104" s="1"/>
  <c r="N71" i="104"/>
  <c r="L71" i="104"/>
  <c r="B71" i="104"/>
  <c r="Z70" i="104"/>
  <c r="X70" i="104"/>
  <c r="L70" i="104"/>
  <c r="N70" i="104" s="1"/>
  <c r="B70" i="104"/>
  <c r="Z69" i="104"/>
  <c r="X69" i="104"/>
  <c r="N69" i="104"/>
  <c r="L69" i="104"/>
  <c r="B69" i="104"/>
  <c r="X68" i="104"/>
  <c r="Z68" i="104" s="1"/>
  <c r="L68" i="104"/>
  <c r="N68" i="104" s="1"/>
  <c r="B68" i="104"/>
  <c r="X67" i="104"/>
  <c r="Z67" i="104" s="1"/>
  <c r="N67" i="104"/>
  <c r="L67" i="104"/>
  <c r="B67" i="104"/>
  <c r="Z66" i="104"/>
  <c r="X66" i="104"/>
  <c r="T66" i="104"/>
  <c r="P66" i="104"/>
  <c r="H66" i="104"/>
  <c r="D66" i="104"/>
  <c r="B66" i="104"/>
  <c r="X65" i="104"/>
  <c r="Z65" i="104" s="1"/>
  <c r="N65" i="104"/>
  <c r="L65" i="104"/>
  <c r="B65" i="104"/>
  <c r="X64" i="104"/>
  <c r="Z64" i="104" s="1"/>
  <c r="N64" i="104"/>
  <c r="L64" i="104"/>
  <c r="B64" i="104"/>
  <c r="X63" i="104"/>
  <c r="Z63" i="104" s="1"/>
  <c r="N63" i="104"/>
  <c r="L63" i="104"/>
  <c r="B63" i="104"/>
  <c r="T62" i="104"/>
  <c r="P62" i="104"/>
  <c r="L62" i="104"/>
  <c r="H62" i="104"/>
  <c r="N62" i="104" s="1"/>
  <c r="D62" i="104"/>
  <c r="B62" i="104"/>
  <c r="Z61" i="104"/>
  <c r="X61" i="104"/>
  <c r="N61" i="104"/>
  <c r="L61" i="104"/>
  <c r="B61" i="104"/>
  <c r="Z60" i="104"/>
  <c r="X60" i="104"/>
  <c r="N60" i="104"/>
  <c r="L60" i="104"/>
  <c r="J60" i="104"/>
  <c r="F60" i="104"/>
  <c r="B60" i="104"/>
  <c r="Z59" i="104"/>
  <c r="X59" i="104"/>
  <c r="L59" i="104"/>
  <c r="N59" i="104" s="1"/>
  <c r="B59" i="104"/>
  <c r="Z58" i="104"/>
  <c r="X58" i="104"/>
  <c r="T58" i="104"/>
  <c r="P58" i="104"/>
  <c r="H58" i="104"/>
  <c r="D58" i="104"/>
  <c r="L58" i="104" s="1"/>
  <c r="N58" i="104" s="1"/>
  <c r="B58" i="104"/>
  <c r="Z57" i="104"/>
  <c r="X57" i="104"/>
  <c r="N57" i="104"/>
  <c r="L57" i="104"/>
  <c r="B57" i="104"/>
  <c r="T56" i="104"/>
  <c r="P56" i="104"/>
  <c r="L56" i="104"/>
  <c r="N56" i="104" s="1"/>
  <c r="H56" i="104"/>
  <c r="D56" i="104"/>
  <c r="B56" i="104"/>
  <c r="X55" i="104"/>
  <c r="Z55" i="104" s="1"/>
  <c r="N55" i="104"/>
  <c r="L55" i="104"/>
  <c r="B55" i="104"/>
  <c r="T54" i="104"/>
  <c r="P54" i="104"/>
  <c r="X54" i="104" s="1"/>
  <c r="L54" i="104"/>
  <c r="H54" i="104"/>
  <c r="N54" i="104" s="1"/>
  <c r="D54" i="104"/>
  <c r="B54" i="104"/>
  <c r="Z53" i="104"/>
  <c r="X53" i="104"/>
  <c r="N53" i="104"/>
  <c r="L53" i="104"/>
  <c r="B53" i="104"/>
  <c r="T52" i="104"/>
  <c r="P52" i="104"/>
  <c r="X52" i="104" s="1"/>
  <c r="Z52" i="104" s="1"/>
  <c r="N52" i="104"/>
  <c r="L52" i="104"/>
  <c r="H52" i="104"/>
  <c r="D52" i="104"/>
  <c r="B52" i="104"/>
  <c r="Z51" i="104"/>
  <c r="X51" i="104"/>
  <c r="N51" i="104"/>
  <c r="L51" i="104"/>
  <c r="B51" i="104"/>
  <c r="Z50" i="104"/>
  <c r="X50" i="104"/>
  <c r="T50" i="104"/>
  <c r="P50" i="104"/>
  <c r="L50" i="104"/>
  <c r="H50" i="104"/>
  <c r="N50" i="104" s="1"/>
  <c r="D50" i="104"/>
  <c r="B50" i="104"/>
  <c r="Z49" i="104"/>
  <c r="X49" i="104"/>
  <c r="N49" i="104"/>
  <c r="L49" i="104"/>
  <c r="B49" i="104"/>
  <c r="T48" i="104"/>
  <c r="P48" i="104"/>
  <c r="H48" i="104"/>
  <c r="D48" i="104"/>
  <c r="B48" i="104"/>
  <c r="Z47" i="104"/>
  <c r="X47" i="104"/>
  <c r="L47" i="104"/>
  <c r="N47" i="104" s="1"/>
  <c r="B47" i="104"/>
  <c r="Z46" i="104"/>
  <c r="X46" i="104"/>
  <c r="T46" i="104"/>
  <c r="P46" i="104"/>
  <c r="H46" i="104"/>
  <c r="D46" i="104"/>
  <c r="L46" i="104" s="1"/>
  <c r="N46" i="104" s="1"/>
  <c r="B46" i="104"/>
  <c r="Z45" i="104"/>
  <c r="X45" i="104"/>
  <c r="N45" i="104"/>
  <c r="L45" i="104"/>
  <c r="B45" i="104"/>
  <c r="T44" i="104"/>
  <c r="P44" i="104"/>
  <c r="X44" i="104" s="1"/>
  <c r="N44" i="104"/>
  <c r="L44" i="104"/>
  <c r="H44" i="104"/>
  <c r="D44" i="104"/>
  <c r="B44" i="104"/>
  <c r="X43" i="104"/>
  <c r="Z43" i="104" s="1"/>
  <c r="N43" i="104"/>
  <c r="L43" i="104"/>
  <c r="B43" i="104"/>
  <c r="T42" i="104"/>
  <c r="P42" i="104"/>
  <c r="H42" i="104"/>
  <c r="F42" i="104"/>
  <c r="D42" i="104"/>
  <c r="B42" i="104"/>
  <c r="Z41" i="104"/>
  <c r="X41" i="104"/>
  <c r="N41" i="104"/>
  <c r="L41" i="104"/>
  <c r="B41" i="104"/>
  <c r="Z40" i="104"/>
  <c r="X40" i="104"/>
  <c r="L40" i="104"/>
  <c r="N40" i="104" s="1"/>
  <c r="B40" i="104"/>
  <c r="Z39" i="104"/>
  <c r="X39" i="104"/>
  <c r="N39" i="104"/>
  <c r="L39" i="104"/>
  <c r="B39" i="104"/>
  <c r="Z38" i="104"/>
  <c r="X38" i="104"/>
  <c r="L38" i="104"/>
  <c r="N38" i="104" s="1"/>
  <c r="B38" i="104"/>
  <c r="Z37" i="104"/>
  <c r="X37" i="104"/>
  <c r="N37" i="104"/>
  <c r="L37" i="104"/>
  <c r="B37" i="104"/>
  <c r="Z36" i="104"/>
  <c r="X36" i="104"/>
  <c r="L36" i="104"/>
  <c r="N36" i="104" s="1"/>
  <c r="B36" i="104"/>
  <c r="T35" i="104"/>
  <c r="P35" i="104"/>
  <c r="H35" i="104"/>
  <c r="D35" i="104"/>
  <c r="B35" i="104"/>
  <c r="Z34" i="104"/>
  <c r="X34" i="104"/>
  <c r="L34" i="104"/>
  <c r="N34" i="104" s="1"/>
  <c r="F34" i="104"/>
  <c r="B34" i="104"/>
  <c r="Z33" i="104"/>
  <c r="X33" i="104"/>
  <c r="L33" i="104"/>
  <c r="N33" i="104" s="1"/>
  <c r="B33" i="104"/>
  <c r="X32" i="104"/>
  <c r="Z32" i="104" s="1"/>
  <c r="L32" i="104"/>
  <c r="N32" i="104" s="1"/>
  <c r="B32" i="104"/>
  <c r="X31" i="104"/>
  <c r="Z31" i="104" s="1"/>
  <c r="L31" i="104"/>
  <c r="N31" i="104" s="1"/>
  <c r="B31" i="104"/>
  <c r="Z30" i="104"/>
  <c r="X30" i="104"/>
  <c r="L30" i="104"/>
  <c r="N30" i="104" s="1"/>
  <c r="B30" i="104"/>
  <c r="Z29" i="104"/>
  <c r="X29" i="104"/>
  <c r="N29" i="104"/>
  <c r="L29" i="104"/>
  <c r="B29" i="104"/>
  <c r="X28" i="104"/>
  <c r="Z28" i="104" s="1"/>
  <c r="L28" i="104"/>
  <c r="N28" i="104" s="1"/>
  <c r="B28" i="104"/>
  <c r="X27" i="104"/>
  <c r="Z27" i="104" s="1"/>
  <c r="N27" i="104"/>
  <c r="L27" i="104"/>
  <c r="B27" i="104"/>
  <c r="Z26" i="104"/>
  <c r="X26" i="104"/>
  <c r="L26" i="104"/>
  <c r="N26" i="104" s="1"/>
  <c r="B26" i="104"/>
  <c r="T25" i="104"/>
  <c r="Z25" i="104" s="1"/>
  <c r="P25" i="104"/>
  <c r="X25" i="104" s="1"/>
  <c r="H25" i="104"/>
  <c r="N25" i="104" s="1"/>
  <c r="D25" i="104"/>
  <c r="L25" i="104" s="1"/>
  <c r="B25" i="104"/>
  <c r="X24" i="104"/>
  <c r="T24" i="104"/>
  <c r="P24" i="104"/>
  <c r="H24" i="104"/>
  <c r="D24" i="104"/>
  <c r="L24" i="104" s="1"/>
  <c r="X20" i="104"/>
  <c r="Z20" i="104" s="1"/>
  <c r="N20" i="104"/>
  <c r="L20" i="104"/>
  <c r="B20" i="104"/>
  <c r="X19" i="104"/>
  <c r="Z19" i="104" s="1"/>
  <c r="N19" i="104"/>
  <c r="L19" i="104"/>
  <c r="B19" i="104"/>
  <c r="T18" i="104"/>
  <c r="P18" i="104"/>
  <c r="L18" i="104"/>
  <c r="H18" i="104"/>
  <c r="D18" i="104"/>
  <c r="X16" i="104"/>
  <c r="T16" i="104"/>
  <c r="Z16" i="104" s="1"/>
  <c r="P16" i="104"/>
  <c r="N16" i="104"/>
  <c r="L16" i="104"/>
  <c r="H16" i="104"/>
  <c r="D16" i="104"/>
  <c r="B16" i="104"/>
  <c r="Z15" i="104"/>
  <c r="X15" i="104"/>
  <c r="T15" i="104"/>
  <c r="P15" i="104"/>
  <c r="H15" i="104"/>
  <c r="D15" i="104"/>
  <c r="B15" i="104"/>
  <c r="T14" i="104"/>
  <c r="P14" i="104"/>
  <c r="P12" i="104" s="1"/>
  <c r="N14" i="104"/>
  <c r="H14" i="104"/>
  <c r="D14" i="104"/>
  <c r="L14" i="104" s="1"/>
  <c r="B14" i="104"/>
  <c r="T13" i="104"/>
  <c r="P13" i="104"/>
  <c r="H13" i="104"/>
  <c r="H12" i="104" s="1"/>
  <c r="D13" i="104"/>
  <c r="D12" i="104" s="1"/>
  <c r="B13" i="104"/>
  <c r="D6" i="104"/>
  <c r="D4" i="104"/>
  <c r="F54" i="103"/>
  <c r="Z52" i="103"/>
  <c r="X52" i="103"/>
  <c r="N52" i="103"/>
  <c r="L52" i="103"/>
  <c r="F52" i="103"/>
  <c r="V50" i="103"/>
  <c r="T48" i="103"/>
  <c r="Z48" i="103" s="1"/>
  <c r="P48" i="103"/>
  <c r="X48" i="103" s="1"/>
  <c r="H48" i="103"/>
  <c r="N48" i="103" s="1"/>
  <c r="F48" i="103"/>
  <c r="D48" i="103"/>
  <c r="X46" i="103"/>
  <c r="Z46" i="103" s="1"/>
  <c r="N46" i="103"/>
  <c r="L46" i="103"/>
  <c r="F46" i="103"/>
  <c r="B46" i="103"/>
  <c r="X45" i="103"/>
  <c r="Z45" i="103" s="1"/>
  <c r="V45" i="103"/>
  <c r="T45" i="103"/>
  <c r="P45" i="103"/>
  <c r="L45" i="103"/>
  <c r="N45" i="103" s="1"/>
  <c r="H45" i="103"/>
  <c r="F45" i="103"/>
  <c r="D45" i="103"/>
  <c r="B45" i="103"/>
  <c r="Z44" i="103"/>
  <c r="X44" i="103"/>
  <c r="L44" i="103"/>
  <c r="N44" i="103" s="1"/>
  <c r="B44" i="103"/>
  <c r="Z43" i="103"/>
  <c r="V43" i="103"/>
  <c r="T43" i="103"/>
  <c r="X43" i="103" s="1"/>
  <c r="P43" i="103"/>
  <c r="N43" i="103"/>
  <c r="L43" i="103"/>
  <c r="H43" i="103"/>
  <c r="D43" i="103"/>
  <c r="B43" i="103"/>
  <c r="X42" i="103"/>
  <c r="Z42" i="103" s="1"/>
  <c r="L42" i="103"/>
  <c r="N42" i="103" s="1"/>
  <c r="J42" i="103"/>
  <c r="F42" i="103"/>
  <c r="B42" i="103"/>
  <c r="T41" i="103"/>
  <c r="P41" i="103"/>
  <c r="H41" i="103"/>
  <c r="F41" i="103"/>
  <c r="D41" i="103"/>
  <c r="L41" i="103" s="1"/>
  <c r="B41" i="103"/>
  <c r="X40" i="103"/>
  <c r="Z40" i="103" s="1"/>
  <c r="V40" i="103"/>
  <c r="N40" i="103"/>
  <c r="L40" i="103"/>
  <c r="B40" i="103"/>
  <c r="X39" i="103"/>
  <c r="Z39" i="103" s="1"/>
  <c r="V39" i="103"/>
  <c r="N39" i="103"/>
  <c r="L39" i="103"/>
  <c r="B39" i="103"/>
  <c r="X38" i="103"/>
  <c r="V38" i="103"/>
  <c r="T38" i="103"/>
  <c r="P38" i="103"/>
  <c r="J38" i="103"/>
  <c r="H38" i="103"/>
  <c r="F38" i="103"/>
  <c r="D38" i="103"/>
  <c r="B38" i="103"/>
  <c r="Z37" i="103"/>
  <c r="X37" i="103"/>
  <c r="V37" i="103"/>
  <c r="N37" i="103"/>
  <c r="L37" i="103"/>
  <c r="J37" i="103"/>
  <c r="F37" i="103"/>
  <c r="B37" i="103"/>
  <c r="Z36" i="103"/>
  <c r="V36" i="103"/>
  <c r="T36" i="103"/>
  <c r="P36" i="103"/>
  <c r="X36" i="103" s="1"/>
  <c r="H36" i="103"/>
  <c r="N36" i="103" s="1"/>
  <c r="F36" i="103"/>
  <c r="D36" i="103"/>
  <c r="L36" i="103" s="1"/>
  <c r="B36" i="103"/>
  <c r="X35" i="103"/>
  <c r="Z35" i="103" s="1"/>
  <c r="N35" i="103"/>
  <c r="L35" i="103"/>
  <c r="B35" i="103"/>
  <c r="Z34" i="103"/>
  <c r="X34" i="103"/>
  <c r="V34" i="103"/>
  <c r="T34" i="103"/>
  <c r="P34" i="103"/>
  <c r="H34" i="103"/>
  <c r="N34" i="103" s="1"/>
  <c r="D34" i="103"/>
  <c r="L34" i="103" s="1"/>
  <c r="B34" i="103"/>
  <c r="Z33" i="103"/>
  <c r="X33" i="103"/>
  <c r="V33" i="103"/>
  <c r="N33" i="103"/>
  <c r="L33" i="103"/>
  <c r="B33" i="103"/>
  <c r="V32" i="103"/>
  <c r="T32" i="103"/>
  <c r="P32" i="103"/>
  <c r="H32" i="103"/>
  <c r="N32" i="103" s="1"/>
  <c r="D32" i="103"/>
  <c r="L32" i="103" s="1"/>
  <c r="B32" i="103"/>
  <c r="Z31" i="103"/>
  <c r="X31" i="103"/>
  <c r="V31" i="103"/>
  <c r="N31" i="103"/>
  <c r="L31" i="103"/>
  <c r="B31" i="103"/>
  <c r="T30" i="103"/>
  <c r="R30" i="103"/>
  <c r="P30" i="103"/>
  <c r="X30" i="103" s="1"/>
  <c r="N30" i="103"/>
  <c r="H30" i="103"/>
  <c r="D30" i="103"/>
  <c r="L30" i="103" s="1"/>
  <c r="B30" i="103"/>
  <c r="Z29" i="103"/>
  <c r="X29" i="103"/>
  <c r="V29" i="103"/>
  <c r="N29" i="103"/>
  <c r="L29" i="103"/>
  <c r="B29" i="103"/>
  <c r="V28" i="103"/>
  <c r="T28" i="103"/>
  <c r="Z28" i="103" s="1"/>
  <c r="P28" i="103"/>
  <c r="X28" i="103" s="1"/>
  <c r="L28" i="103"/>
  <c r="N28" i="103" s="1"/>
  <c r="H28" i="103"/>
  <c r="D28" i="103"/>
  <c r="B28" i="103"/>
  <c r="Z27" i="103"/>
  <c r="X27" i="103"/>
  <c r="V27" i="103"/>
  <c r="N27" i="103"/>
  <c r="L27" i="103"/>
  <c r="J27" i="103"/>
  <c r="F27" i="103"/>
  <c r="B27" i="103"/>
  <c r="Z26" i="103"/>
  <c r="X26" i="103"/>
  <c r="V26" i="103"/>
  <c r="L26" i="103"/>
  <c r="N26" i="103" s="1"/>
  <c r="F26" i="103"/>
  <c r="B26" i="103"/>
  <c r="Z25" i="103"/>
  <c r="X25" i="103"/>
  <c r="V25" i="103"/>
  <c r="L25" i="103"/>
  <c r="N25" i="103" s="1"/>
  <c r="B25" i="103"/>
  <c r="X24" i="103"/>
  <c r="Z24" i="103" s="1"/>
  <c r="V24" i="103"/>
  <c r="N24" i="103"/>
  <c r="L24" i="103"/>
  <c r="B24" i="103"/>
  <c r="Z23" i="103"/>
  <c r="X23" i="103"/>
  <c r="V23" i="103"/>
  <c r="N23" i="103"/>
  <c r="L23" i="103"/>
  <c r="J23" i="103"/>
  <c r="F23" i="103"/>
  <c r="B23" i="103"/>
  <c r="Z22" i="103"/>
  <c r="X22" i="103"/>
  <c r="V22" i="103"/>
  <c r="L22" i="103"/>
  <c r="N22" i="103" s="1"/>
  <c r="F22" i="103"/>
  <c r="B22" i="103"/>
  <c r="Z21" i="103"/>
  <c r="X21" i="103"/>
  <c r="V21" i="103"/>
  <c r="L21" i="103"/>
  <c r="N21" i="103" s="1"/>
  <c r="B21" i="103"/>
  <c r="X20" i="103"/>
  <c r="Z20" i="103" s="1"/>
  <c r="V20" i="103"/>
  <c r="N20" i="103"/>
  <c r="L20" i="103"/>
  <c r="B20" i="103"/>
  <c r="V19" i="103"/>
  <c r="T19" i="103"/>
  <c r="R19" i="103"/>
  <c r="P19" i="103"/>
  <c r="X19" i="103" s="1"/>
  <c r="Z19" i="103" s="1"/>
  <c r="N19" i="103"/>
  <c r="L19" i="103"/>
  <c r="H19" i="103"/>
  <c r="D19" i="103"/>
  <c r="B19" i="103"/>
  <c r="T18" i="103"/>
  <c r="P18" i="103"/>
  <c r="X18" i="103" s="1"/>
  <c r="H18" i="103"/>
  <c r="F18" i="103"/>
  <c r="D18" i="103"/>
  <c r="L18" i="103" s="1"/>
  <c r="N18" i="103" s="1"/>
  <c r="T16" i="103"/>
  <c r="F16" i="103"/>
  <c r="T14" i="103"/>
  <c r="Z14" i="103" s="1"/>
  <c r="P14" i="103"/>
  <c r="X14" i="103" s="1"/>
  <c r="N14" i="103"/>
  <c r="H14" i="103"/>
  <c r="F14" i="103"/>
  <c r="D14" i="103"/>
  <c r="L14" i="103" s="1"/>
  <c r="Z12" i="103"/>
  <c r="T12" i="103"/>
  <c r="P12" i="103"/>
  <c r="R50" i="103" s="1"/>
  <c r="N12" i="103"/>
  <c r="L12" i="103"/>
  <c r="H12" i="103"/>
  <c r="J43" i="103" s="1"/>
  <c r="D12" i="103"/>
  <c r="F39" i="103" s="1"/>
  <c r="D6" i="103"/>
  <c r="D4" i="103"/>
  <c r="X84" i="102"/>
  <c r="Z84" i="102" s="1"/>
  <c r="L84" i="102"/>
  <c r="N84" i="102" s="1"/>
  <c r="T80" i="102"/>
  <c r="P80" i="102"/>
  <c r="X80" i="102" s="1"/>
  <c r="Z80" i="102" s="1"/>
  <c r="L80" i="102"/>
  <c r="H80" i="102"/>
  <c r="D80" i="102"/>
  <c r="D79" i="102" s="1"/>
  <c r="B80" i="102"/>
  <c r="T79" i="102"/>
  <c r="X77" i="102"/>
  <c r="Z77" i="102" s="1"/>
  <c r="N77" i="102"/>
  <c r="L77" i="102"/>
  <c r="B77" i="102"/>
  <c r="X76" i="102"/>
  <c r="Z76" i="102" s="1"/>
  <c r="T76" i="102"/>
  <c r="P76" i="102"/>
  <c r="H76" i="102"/>
  <c r="N76" i="102" s="1"/>
  <c r="D76" i="102"/>
  <c r="L76" i="102" s="1"/>
  <c r="B76" i="102"/>
  <c r="X75" i="102"/>
  <c r="Z75" i="102" s="1"/>
  <c r="L75" i="102"/>
  <c r="N75" i="102" s="1"/>
  <c r="B75" i="102"/>
  <c r="X74" i="102"/>
  <c r="T74" i="102"/>
  <c r="P74" i="102"/>
  <c r="H74" i="102"/>
  <c r="D74" i="102"/>
  <c r="L74" i="102" s="1"/>
  <c r="B74" i="102"/>
  <c r="X73" i="102"/>
  <c r="Z73" i="102" s="1"/>
  <c r="L73" i="102"/>
  <c r="N73" i="102" s="1"/>
  <c r="B73" i="102"/>
  <c r="T72" i="102"/>
  <c r="P72" i="102"/>
  <c r="X72" i="102" s="1"/>
  <c r="H72" i="102"/>
  <c r="D72" i="102"/>
  <c r="L72" i="102" s="1"/>
  <c r="N72" i="102" s="1"/>
  <c r="B72" i="102"/>
  <c r="Z71" i="102"/>
  <c r="X71" i="102"/>
  <c r="N71" i="102"/>
  <c r="L71" i="102"/>
  <c r="B71" i="102"/>
  <c r="X70" i="102"/>
  <c r="Z70" i="102" s="1"/>
  <c r="N70" i="102"/>
  <c r="L70" i="102"/>
  <c r="B70" i="102"/>
  <c r="X69" i="102"/>
  <c r="Z69" i="102" s="1"/>
  <c r="N69" i="102"/>
  <c r="L69" i="102"/>
  <c r="B69" i="102"/>
  <c r="X68" i="102"/>
  <c r="Z68" i="102" s="1"/>
  <c r="N68" i="102"/>
  <c r="L68" i="102"/>
  <c r="B68" i="102"/>
  <c r="Z67" i="102"/>
  <c r="X67" i="102"/>
  <c r="L67" i="102"/>
  <c r="N67" i="102" s="1"/>
  <c r="B67" i="102"/>
  <c r="X66" i="102"/>
  <c r="Z66" i="102" s="1"/>
  <c r="N66" i="102"/>
  <c r="L66" i="102"/>
  <c r="B66" i="102"/>
  <c r="Z65" i="102"/>
  <c r="X65" i="102"/>
  <c r="N65" i="102"/>
  <c r="L65" i="102"/>
  <c r="B65" i="102"/>
  <c r="X64" i="102"/>
  <c r="Z64" i="102" s="1"/>
  <c r="T64" i="102"/>
  <c r="P64" i="102"/>
  <c r="H64" i="102"/>
  <c r="D64" i="102"/>
  <c r="L64" i="102" s="1"/>
  <c r="B64" i="102"/>
  <c r="X63" i="102"/>
  <c r="Z63" i="102" s="1"/>
  <c r="L63" i="102"/>
  <c r="N63" i="102" s="1"/>
  <c r="B63" i="102"/>
  <c r="X62" i="102"/>
  <c r="Z62" i="102" s="1"/>
  <c r="N62" i="102"/>
  <c r="L62" i="102"/>
  <c r="B62" i="102"/>
  <c r="T61" i="102"/>
  <c r="P61" i="102"/>
  <c r="X61" i="102" s="1"/>
  <c r="Z61" i="102" s="1"/>
  <c r="L61" i="102"/>
  <c r="N61" i="102" s="1"/>
  <c r="H61" i="102"/>
  <c r="D61" i="102"/>
  <c r="B61" i="102"/>
  <c r="X60" i="102"/>
  <c r="Z60" i="102" s="1"/>
  <c r="L60" i="102"/>
  <c r="N60" i="102" s="1"/>
  <c r="B60" i="102"/>
  <c r="X59" i="102"/>
  <c r="Z59" i="102" s="1"/>
  <c r="T59" i="102"/>
  <c r="P59" i="102"/>
  <c r="N59" i="102"/>
  <c r="L59" i="102"/>
  <c r="H59" i="102"/>
  <c r="D59" i="102"/>
  <c r="B59" i="102"/>
  <c r="X58" i="102"/>
  <c r="Z58" i="102" s="1"/>
  <c r="L58" i="102"/>
  <c r="N58" i="102" s="1"/>
  <c r="B58" i="102"/>
  <c r="X57" i="102"/>
  <c r="Z57" i="102" s="1"/>
  <c r="N57" i="102"/>
  <c r="L57" i="102"/>
  <c r="B57" i="102"/>
  <c r="Z56" i="102"/>
  <c r="X56" i="102"/>
  <c r="N56" i="102"/>
  <c r="L56" i="102"/>
  <c r="B56" i="102"/>
  <c r="T55" i="102"/>
  <c r="P55" i="102"/>
  <c r="H55" i="102"/>
  <c r="D55" i="102"/>
  <c r="B55" i="102"/>
  <c r="X54" i="102"/>
  <c r="Z54" i="102" s="1"/>
  <c r="N54" i="102"/>
  <c r="L54" i="102"/>
  <c r="B54" i="102"/>
  <c r="T53" i="102"/>
  <c r="P53" i="102"/>
  <c r="X53" i="102" s="1"/>
  <c r="Z53" i="102" s="1"/>
  <c r="L53" i="102"/>
  <c r="N53" i="102" s="1"/>
  <c r="H53" i="102"/>
  <c r="D53" i="102"/>
  <c r="B53" i="102"/>
  <c r="Z52" i="102"/>
  <c r="X52" i="102"/>
  <c r="N52" i="102"/>
  <c r="L52" i="102"/>
  <c r="B52" i="102"/>
  <c r="Z51" i="102"/>
  <c r="X51" i="102"/>
  <c r="T51" i="102"/>
  <c r="P51" i="102"/>
  <c r="N51" i="102"/>
  <c r="H51" i="102"/>
  <c r="L51" i="102" s="1"/>
  <c r="D51" i="102"/>
  <c r="B51" i="102"/>
  <c r="Z50" i="102"/>
  <c r="X50" i="102"/>
  <c r="N50" i="102"/>
  <c r="L50" i="102"/>
  <c r="B50" i="102"/>
  <c r="T49" i="102"/>
  <c r="P49" i="102"/>
  <c r="H49" i="102"/>
  <c r="N49" i="102" s="1"/>
  <c r="F49" i="102"/>
  <c r="D49" i="102"/>
  <c r="B49" i="102"/>
  <c r="Z48" i="102"/>
  <c r="X48" i="102"/>
  <c r="N48" i="102"/>
  <c r="L48" i="102"/>
  <c r="B48" i="102"/>
  <c r="Z47" i="102"/>
  <c r="X47" i="102"/>
  <c r="T47" i="102"/>
  <c r="P47" i="102"/>
  <c r="N47" i="102"/>
  <c r="H47" i="102"/>
  <c r="D47" i="102"/>
  <c r="L47" i="102" s="1"/>
  <c r="B47" i="102"/>
  <c r="Z46" i="102"/>
  <c r="X46" i="102"/>
  <c r="L46" i="102"/>
  <c r="N46" i="102" s="1"/>
  <c r="B46" i="102"/>
  <c r="X45" i="102"/>
  <c r="T45" i="102"/>
  <c r="Z45" i="102" s="1"/>
  <c r="P45" i="102"/>
  <c r="L45" i="102"/>
  <c r="N45" i="102" s="1"/>
  <c r="H45" i="102"/>
  <c r="D45" i="102"/>
  <c r="B45" i="102"/>
  <c r="Z44" i="102"/>
  <c r="X44" i="102"/>
  <c r="N44" i="102"/>
  <c r="L44" i="102"/>
  <c r="B44" i="102"/>
  <c r="T43" i="102"/>
  <c r="P43" i="102"/>
  <c r="H43" i="102"/>
  <c r="D43" i="102"/>
  <c r="B43" i="102"/>
  <c r="X42" i="102"/>
  <c r="Z42" i="102" s="1"/>
  <c r="N42" i="102"/>
  <c r="L42" i="102"/>
  <c r="B42" i="102"/>
  <c r="Z41" i="102"/>
  <c r="T41" i="102"/>
  <c r="P41" i="102"/>
  <c r="X41" i="102" s="1"/>
  <c r="H41" i="102"/>
  <c r="D41" i="102"/>
  <c r="L41" i="102" s="1"/>
  <c r="N41" i="102" s="1"/>
  <c r="B41" i="102"/>
  <c r="X40" i="102"/>
  <c r="Z40" i="102" s="1"/>
  <c r="N40" i="102"/>
  <c r="L40" i="102"/>
  <c r="B40" i="102"/>
  <c r="X39" i="102"/>
  <c r="Z39" i="102" s="1"/>
  <c r="N39" i="102"/>
  <c r="L39" i="102"/>
  <c r="B39" i="102"/>
  <c r="Z38" i="102"/>
  <c r="X38" i="102"/>
  <c r="N38" i="102"/>
  <c r="L38" i="102"/>
  <c r="B38" i="102"/>
  <c r="X37" i="102"/>
  <c r="Z37" i="102" s="1"/>
  <c r="L37" i="102"/>
  <c r="N37" i="102" s="1"/>
  <c r="B37" i="102"/>
  <c r="X36" i="102"/>
  <c r="Z36" i="102" s="1"/>
  <c r="L36" i="102"/>
  <c r="N36" i="102" s="1"/>
  <c r="B36" i="102"/>
  <c r="X35" i="102"/>
  <c r="Z35" i="102" s="1"/>
  <c r="T35" i="102"/>
  <c r="P35" i="102"/>
  <c r="L35" i="102"/>
  <c r="N35" i="102" s="1"/>
  <c r="H35" i="102"/>
  <c r="D35" i="102"/>
  <c r="B35" i="102"/>
  <c r="X34" i="102"/>
  <c r="Z34" i="102" s="1"/>
  <c r="L34" i="102"/>
  <c r="N34" i="102" s="1"/>
  <c r="F34" i="102"/>
  <c r="B34" i="102"/>
  <c r="X33" i="102"/>
  <c r="Z33" i="102" s="1"/>
  <c r="N33" i="102"/>
  <c r="L33" i="102"/>
  <c r="B33" i="102"/>
  <c r="Z32" i="102"/>
  <c r="X32" i="102"/>
  <c r="N32" i="102"/>
  <c r="L32" i="102"/>
  <c r="F32" i="102"/>
  <c r="B32" i="102"/>
  <c r="Z31" i="102"/>
  <c r="X31" i="102"/>
  <c r="N31" i="102"/>
  <c r="L31" i="102"/>
  <c r="B31" i="102"/>
  <c r="X30" i="102"/>
  <c r="Z30" i="102" s="1"/>
  <c r="L30" i="102"/>
  <c r="N30" i="102" s="1"/>
  <c r="B30" i="102"/>
  <c r="X29" i="102"/>
  <c r="Z29" i="102" s="1"/>
  <c r="N29" i="102"/>
  <c r="L29" i="102"/>
  <c r="B29" i="102"/>
  <c r="X28" i="102"/>
  <c r="Z28" i="102" s="1"/>
  <c r="N28" i="102"/>
  <c r="L28" i="102"/>
  <c r="B28" i="102"/>
  <c r="Z27" i="102"/>
  <c r="X27" i="102"/>
  <c r="N27" i="102"/>
  <c r="L27" i="102"/>
  <c r="F27" i="102"/>
  <c r="B27" i="102"/>
  <c r="X26" i="102"/>
  <c r="Z26" i="102" s="1"/>
  <c r="T26" i="102"/>
  <c r="P26" i="102"/>
  <c r="N26" i="102"/>
  <c r="L26" i="102"/>
  <c r="H26" i="102"/>
  <c r="F26" i="102"/>
  <c r="D26" i="102"/>
  <c r="B26" i="102"/>
  <c r="T25" i="102"/>
  <c r="P25" i="102"/>
  <c r="X25" i="102" s="1"/>
  <c r="Z25" i="102" s="1"/>
  <c r="H25" i="102"/>
  <c r="N25" i="102" s="1"/>
  <c r="D25" i="102"/>
  <c r="L25" i="102" s="1"/>
  <c r="Z21" i="102"/>
  <c r="X21" i="102"/>
  <c r="L21" i="102"/>
  <c r="N21" i="102" s="1"/>
  <c r="F21" i="102"/>
  <c r="B21" i="102"/>
  <c r="Z20" i="102"/>
  <c r="X20" i="102"/>
  <c r="L20" i="102"/>
  <c r="N20" i="102" s="1"/>
  <c r="B20" i="102"/>
  <c r="T19" i="102"/>
  <c r="P19" i="102"/>
  <c r="H19" i="102"/>
  <c r="D19" i="102"/>
  <c r="L19" i="102" s="1"/>
  <c r="N19" i="102" s="1"/>
  <c r="T17" i="102"/>
  <c r="P17" i="102"/>
  <c r="X17" i="102" s="1"/>
  <c r="Z17" i="102" s="1"/>
  <c r="L17" i="102"/>
  <c r="H17" i="102"/>
  <c r="N17" i="102" s="1"/>
  <c r="D17" i="102"/>
  <c r="B17" i="102"/>
  <c r="T16" i="102"/>
  <c r="P16" i="102"/>
  <c r="X16" i="102" s="1"/>
  <c r="H16" i="102"/>
  <c r="N16" i="102" s="1"/>
  <c r="D16" i="102"/>
  <c r="B16" i="102"/>
  <c r="T15" i="102"/>
  <c r="P15" i="102"/>
  <c r="H15" i="102"/>
  <c r="D15" i="102"/>
  <c r="L15" i="102" s="1"/>
  <c r="N15" i="102" s="1"/>
  <c r="B15" i="102"/>
  <c r="T14" i="102"/>
  <c r="P14" i="102"/>
  <c r="H14" i="102"/>
  <c r="D14" i="102"/>
  <c r="D12" i="102" s="1"/>
  <c r="F70" i="102" s="1"/>
  <c r="B14" i="102"/>
  <c r="T13" i="102"/>
  <c r="P13" i="102"/>
  <c r="L13" i="102"/>
  <c r="H13" i="102"/>
  <c r="N13" i="102" s="1"/>
  <c r="D13" i="102"/>
  <c r="B13" i="102"/>
  <c r="D6" i="102"/>
  <c r="D4" i="102"/>
  <c r="J68" i="101"/>
  <c r="X63" i="101"/>
  <c r="Z63" i="101" s="1"/>
  <c r="L63" i="101"/>
  <c r="N63" i="101" s="1"/>
  <c r="Z59" i="101"/>
  <c r="T59" i="101"/>
  <c r="T58" i="101" s="1"/>
  <c r="P59" i="101"/>
  <c r="X59" i="101" s="1"/>
  <c r="N59" i="101"/>
  <c r="L59" i="101"/>
  <c r="J59" i="101"/>
  <c r="H59" i="101"/>
  <c r="D59" i="101"/>
  <c r="B59" i="101"/>
  <c r="Z58" i="101"/>
  <c r="P58" i="101"/>
  <c r="X58" i="101" s="1"/>
  <c r="N58" i="101"/>
  <c r="L58" i="101"/>
  <c r="J58" i="101"/>
  <c r="H58" i="101"/>
  <c r="D58" i="101"/>
  <c r="Z56" i="101"/>
  <c r="X56" i="101"/>
  <c r="L56" i="101"/>
  <c r="N56" i="101" s="1"/>
  <c r="B56" i="101"/>
  <c r="T55" i="101"/>
  <c r="P55" i="101"/>
  <c r="X55" i="101" s="1"/>
  <c r="Z55" i="101" s="1"/>
  <c r="H55" i="101"/>
  <c r="N55" i="101" s="1"/>
  <c r="D55" i="101"/>
  <c r="L55" i="101" s="1"/>
  <c r="B55" i="101"/>
  <c r="Z54" i="101"/>
  <c r="X54" i="101"/>
  <c r="N54" i="101"/>
  <c r="L54" i="101"/>
  <c r="B54" i="101"/>
  <c r="X53" i="101"/>
  <c r="Z53" i="101" s="1"/>
  <c r="V53" i="101"/>
  <c r="N53" i="101"/>
  <c r="L53" i="101"/>
  <c r="B53" i="101"/>
  <c r="X52" i="101"/>
  <c r="Z52" i="101" s="1"/>
  <c r="N52" i="101"/>
  <c r="L52" i="101"/>
  <c r="B52" i="101"/>
  <c r="X51" i="101"/>
  <c r="Z51" i="101" s="1"/>
  <c r="N51" i="101"/>
  <c r="L51" i="101"/>
  <c r="B51" i="101"/>
  <c r="Z50" i="101"/>
  <c r="X50" i="101"/>
  <c r="N50" i="101"/>
  <c r="L50" i="101"/>
  <c r="B50" i="101"/>
  <c r="X49" i="101"/>
  <c r="Z49" i="101" s="1"/>
  <c r="T49" i="101"/>
  <c r="P49" i="101"/>
  <c r="L49" i="101"/>
  <c r="H49" i="101"/>
  <c r="N49" i="101" s="1"/>
  <c r="D49" i="101"/>
  <c r="B49" i="101"/>
  <c r="Z48" i="101"/>
  <c r="X48" i="101"/>
  <c r="N48" i="101"/>
  <c r="L48" i="101"/>
  <c r="B48" i="101"/>
  <c r="T47" i="101"/>
  <c r="Z47" i="101" s="1"/>
  <c r="P47" i="101"/>
  <c r="H47" i="101"/>
  <c r="N47" i="101" s="1"/>
  <c r="D47" i="101"/>
  <c r="B47" i="101"/>
  <c r="X46" i="101"/>
  <c r="Z46" i="101" s="1"/>
  <c r="V46" i="101"/>
  <c r="N46" i="101"/>
  <c r="L46" i="101"/>
  <c r="B46" i="101"/>
  <c r="T45" i="101"/>
  <c r="Z45" i="101" s="1"/>
  <c r="P45" i="101"/>
  <c r="X45" i="101" s="1"/>
  <c r="N45" i="101"/>
  <c r="H45" i="101"/>
  <c r="D45" i="101"/>
  <c r="L45" i="101" s="1"/>
  <c r="B45" i="101"/>
  <c r="X44" i="101"/>
  <c r="Z44" i="101" s="1"/>
  <c r="N44" i="101"/>
  <c r="L44" i="101"/>
  <c r="B44" i="101"/>
  <c r="X43" i="101"/>
  <c r="Z43" i="101" s="1"/>
  <c r="N43" i="101"/>
  <c r="L43" i="101"/>
  <c r="J43" i="101"/>
  <c r="B43" i="101"/>
  <c r="T42" i="101"/>
  <c r="P42" i="101"/>
  <c r="X42" i="101" s="1"/>
  <c r="Z42" i="101" s="1"/>
  <c r="H42" i="101"/>
  <c r="N42" i="101" s="1"/>
  <c r="D42" i="101"/>
  <c r="L42" i="101" s="1"/>
  <c r="B42" i="101"/>
  <c r="X41" i="101"/>
  <c r="Z41" i="101" s="1"/>
  <c r="N41" i="101"/>
  <c r="L41" i="101"/>
  <c r="B41" i="101"/>
  <c r="X40" i="101"/>
  <c r="Z40" i="101" s="1"/>
  <c r="T40" i="101"/>
  <c r="P40" i="101"/>
  <c r="N40" i="101"/>
  <c r="H40" i="101"/>
  <c r="D40" i="101"/>
  <c r="L40" i="101" s="1"/>
  <c r="B40" i="101"/>
  <c r="Z39" i="101"/>
  <c r="X39" i="101"/>
  <c r="N39" i="101"/>
  <c r="L39" i="101"/>
  <c r="B39" i="101"/>
  <c r="V38" i="101"/>
  <c r="T38" i="101"/>
  <c r="Z38" i="101" s="1"/>
  <c r="P38" i="101"/>
  <c r="H38" i="101"/>
  <c r="N38" i="101" s="1"/>
  <c r="D38" i="101"/>
  <c r="L38" i="101" s="1"/>
  <c r="B38" i="101"/>
  <c r="Z37" i="101"/>
  <c r="X37" i="101"/>
  <c r="N37" i="101"/>
  <c r="L37" i="101"/>
  <c r="B37" i="101"/>
  <c r="T36" i="101"/>
  <c r="P36" i="101"/>
  <c r="N36" i="101"/>
  <c r="H36" i="101"/>
  <c r="D36" i="101"/>
  <c r="L36" i="101" s="1"/>
  <c r="B36" i="101"/>
  <c r="Z35" i="101"/>
  <c r="X35" i="101"/>
  <c r="V35" i="101"/>
  <c r="N35" i="101"/>
  <c r="L35" i="101"/>
  <c r="B35" i="101"/>
  <c r="T34" i="101"/>
  <c r="P34" i="101"/>
  <c r="X34" i="101" s="1"/>
  <c r="Z34" i="101" s="1"/>
  <c r="N34" i="101"/>
  <c r="L34" i="101"/>
  <c r="H34" i="101"/>
  <c r="D34" i="101"/>
  <c r="B34" i="101"/>
  <c r="Z33" i="101"/>
  <c r="X33" i="101"/>
  <c r="N33" i="101"/>
  <c r="L33" i="101"/>
  <c r="J33" i="101"/>
  <c r="B33" i="101"/>
  <c r="T32" i="101"/>
  <c r="P32" i="101"/>
  <c r="X32" i="101" s="1"/>
  <c r="H32" i="101"/>
  <c r="N32" i="101" s="1"/>
  <c r="D32" i="101"/>
  <c r="B32" i="101"/>
  <c r="Z31" i="101"/>
  <c r="X31" i="101"/>
  <c r="N31" i="101"/>
  <c r="L31" i="101"/>
  <c r="B31" i="101"/>
  <c r="Z30" i="101"/>
  <c r="X30" i="101"/>
  <c r="N30" i="101"/>
  <c r="L30" i="101"/>
  <c r="B30" i="101"/>
  <c r="Z29" i="101"/>
  <c r="X29" i="101"/>
  <c r="V29" i="101"/>
  <c r="N29" i="101"/>
  <c r="L29" i="101"/>
  <c r="B29" i="101"/>
  <c r="Z28" i="101"/>
  <c r="X28" i="101"/>
  <c r="N28" i="101"/>
  <c r="L28" i="101"/>
  <c r="B28" i="101"/>
  <c r="X27" i="101"/>
  <c r="T27" i="101"/>
  <c r="Z27" i="101" s="1"/>
  <c r="P27" i="101"/>
  <c r="N27" i="101"/>
  <c r="L27" i="101"/>
  <c r="H27" i="101"/>
  <c r="D27" i="101"/>
  <c r="B27" i="101"/>
  <c r="Z26" i="101"/>
  <c r="X26" i="101"/>
  <c r="L26" i="101"/>
  <c r="N26" i="101" s="1"/>
  <c r="B26" i="101"/>
  <c r="X25" i="101"/>
  <c r="Z25" i="101" s="1"/>
  <c r="N25" i="101"/>
  <c r="L25" i="101"/>
  <c r="B25" i="101"/>
  <c r="X24" i="101"/>
  <c r="Z24" i="101" s="1"/>
  <c r="N24" i="101"/>
  <c r="L24" i="101"/>
  <c r="B24" i="101"/>
  <c r="T23" i="101"/>
  <c r="P23" i="101"/>
  <c r="X23" i="101" s="1"/>
  <c r="H23" i="101"/>
  <c r="D23" i="101"/>
  <c r="B23" i="101"/>
  <c r="T22" i="101"/>
  <c r="P22" i="101"/>
  <c r="H22" i="101"/>
  <c r="N22" i="101" s="1"/>
  <c r="D22" i="101"/>
  <c r="L22" i="101" s="1"/>
  <c r="T20" i="101"/>
  <c r="X18" i="101"/>
  <c r="Z18" i="101" s="1"/>
  <c r="V18" i="101"/>
  <c r="N18" i="101"/>
  <c r="L18" i="101"/>
  <c r="B18" i="101"/>
  <c r="Z17" i="101"/>
  <c r="X17" i="101"/>
  <c r="N17" i="101"/>
  <c r="L17" i="101"/>
  <c r="J17" i="101"/>
  <c r="B17" i="101"/>
  <c r="T16" i="101"/>
  <c r="Z16" i="101" s="1"/>
  <c r="P16" i="101"/>
  <c r="X16" i="101" s="1"/>
  <c r="L16" i="101"/>
  <c r="H16" i="101"/>
  <c r="N16" i="101" s="1"/>
  <c r="D16" i="101"/>
  <c r="T14" i="101"/>
  <c r="P14" i="101"/>
  <c r="X14" i="101" s="1"/>
  <c r="H14" i="101"/>
  <c r="N14" i="101" s="1"/>
  <c r="D14" i="101"/>
  <c r="B14" i="101"/>
  <c r="Z13" i="101"/>
  <c r="X13" i="101"/>
  <c r="T13" i="101"/>
  <c r="P13" i="101"/>
  <c r="L13" i="101"/>
  <c r="H13" i="101"/>
  <c r="H12" i="101" s="1"/>
  <c r="J51" i="101" s="1"/>
  <c r="D13" i="101"/>
  <c r="B13" i="101"/>
  <c r="T12" i="101"/>
  <c r="P12" i="101"/>
  <c r="D6" i="101"/>
  <c r="D4" i="101"/>
  <c r="R50" i="100"/>
  <c r="R47" i="100"/>
  <c r="Z45" i="100"/>
  <c r="X45" i="100"/>
  <c r="R45" i="100"/>
  <c r="N45" i="100"/>
  <c r="L45" i="100"/>
  <c r="T41" i="100"/>
  <c r="Z41" i="100" s="1"/>
  <c r="P41" i="100"/>
  <c r="X41" i="100" s="1"/>
  <c r="L41" i="100"/>
  <c r="H41" i="100"/>
  <c r="D41" i="100"/>
  <c r="B41" i="100"/>
  <c r="R40" i="100"/>
  <c r="D40" i="100"/>
  <c r="X38" i="100"/>
  <c r="Z38" i="100" s="1"/>
  <c r="N38" i="100"/>
  <c r="L38" i="100"/>
  <c r="B38" i="100"/>
  <c r="T37" i="100"/>
  <c r="R37" i="100"/>
  <c r="P37" i="100"/>
  <c r="X37" i="100" s="1"/>
  <c r="Z37" i="100" s="1"/>
  <c r="H37" i="100"/>
  <c r="D37" i="100"/>
  <c r="B37" i="100"/>
  <c r="X36" i="100"/>
  <c r="Z36" i="100" s="1"/>
  <c r="R36" i="100"/>
  <c r="N36" i="100"/>
  <c r="L36" i="100"/>
  <c r="B36" i="100"/>
  <c r="X35" i="100"/>
  <c r="Z35" i="100" s="1"/>
  <c r="T35" i="100"/>
  <c r="R35" i="100"/>
  <c r="P35" i="100"/>
  <c r="N35" i="100"/>
  <c r="H35" i="100"/>
  <c r="D35" i="100"/>
  <c r="L35" i="100" s="1"/>
  <c r="B35" i="100"/>
  <c r="Z34" i="100"/>
  <c r="X34" i="100"/>
  <c r="R34" i="100"/>
  <c r="N34" i="100"/>
  <c r="L34" i="100"/>
  <c r="B34" i="100"/>
  <c r="X33" i="100"/>
  <c r="V33" i="100"/>
  <c r="T33" i="100"/>
  <c r="R33" i="100"/>
  <c r="P33" i="100"/>
  <c r="H33" i="100"/>
  <c r="N33" i="100" s="1"/>
  <c r="D33" i="100"/>
  <c r="L33" i="100" s="1"/>
  <c r="B33" i="100"/>
  <c r="Z32" i="100"/>
  <c r="X32" i="100"/>
  <c r="V32" i="100"/>
  <c r="R32" i="100"/>
  <c r="N32" i="100"/>
  <c r="L32" i="100"/>
  <c r="B32" i="100"/>
  <c r="T31" i="100"/>
  <c r="R31" i="100"/>
  <c r="P31" i="100"/>
  <c r="N31" i="100"/>
  <c r="H31" i="100"/>
  <c r="D31" i="100"/>
  <c r="L31" i="100" s="1"/>
  <c r="B31" i="100"/>
  <c r="Z30" i="100"/>
  <c r="X30" i="100"/>
  <c r="V30" i="100"/>
  <c r="R30" i="100"/>
  <c r="N30" i="100"/>
  <c r="L30" i="100"/>
  <c r="B30" i="100"/>
  <c r="T29" i="100"/>
  <c r="R29" i="100"/>
  <c r="P29" i="100"/>
  <c r="X29" i="100" s="1"/>
  <c r="Z29" i="100" s="1"/>
  <c r="N29" i="100"/>
  <c r="L29" i="100"/>
  <c r="H29" i="100"/>
  <c r="D29" i="100"/>
  <c r="B29" i="100"/>
  <c r="Z28" i="100"/>
  <c r="X28" i="100"/>
  <c r="R28" i="100"/>
  <c r="L28" i="100"/>
  <c r="N28" i="100" s="1"/>
  <c r="B28" i="100"/>
  <c r="Z27" i="100"/>
  <c r="X27" i="100"/>
  <c r="R27" i="100"/>
  <c r="L27" i="100"/>
  <c r="N27" i="100" s="1"/>
  <c r="F27" i="100"/>
  <c r="B27" i="100"/>
  <c r="Z26" i="100"/>
  <c r="X26" i="100"/>
  <c r="R26" i="100"/>
  <c r="L26" i="100"/>
  <c r="N26" i="100" s="1"/>
  <c r="B26" i="100"/>
  <c r="X25" i="100"/>
  <c r="Z25" i="100" s="1"/>
  <c r="V25" i="100"/>
  <c r="R25" i="100"/>
  <c r="L25" i="100"/>
  <c r="N25" i="100" s="1"/>
  <c r="B25" i="100"/>
  <c r="Z24" i="100"/>
  <c r="X24" i="100"/>
  <c r="R24" i="100"/>
  <c r="N24" i="100"/>
  <c r="L24" i="100"/>
  <c r="B24" i="100"/>
  <c r="Z23" i="100"/>
  <c r="X23" i="100"/>
  <c r="R23" i="100"/>
  <c r="L23" i="100"/>
  <c r="N23" i="100" s="1"/>
  <c r="B23" i="100"/>
  <c r="Z22" i="100"/>
  <c r="X22" i="100"/>
  <c r="R22" i="100"/>
  <c r="L22" i="100"/>
  <c r="N22" i="100" s="1"/>
  <c r="B22" i="100"/>
  <c r="X21" i="100"/>
  <c r="Z21" i="100" s="1"/>
  <c r="V21" i="100"/>
  <c r="R21" i="100"/>
  <c r="L21" i="100"/>
  <c r="N21" i="100" s="1"/>
  <c r="B21" i="100"/>
  <c r="T20" i="100"/>
  <c r="R20" i="100"/>
  <c r="P20" i="100"/>
  <c r="X20" i="100" s="1"/>
  <c r="Z20" i="100" s="1"/>
  <c r="N20" i="100"/>
  <c r="H20" i="100"/>
  <c r="D20" i="100"/>
  <c r="L20" i="100" s="1"/>
  <c r="B20" i="100"/>
  <c r="T19" i="100"/>
  <c r="R19" i="100"/>
  <c r="P19" i="100"/>
  <c r="X19" i="100" s="1"/>
  <c r="H19" i="100"/>
  <c r="D19" i="100"/>
  <c r="L19" i="100" s="1"/>
  <c r="N19" i="100" s="1"/>
  <c r="T17" i="100"/>
  <c r="R17" i="100"/>
  <c r="P17" i="100"/>
  <c r="Z15" i="100"/>
  <c r="X15" i="100"/>
  <c r="R15" i="100"/>
  <c r="N15" i="100"/>
  <c r="L15" i="100"/>
  <c r="B15" i="100"/>
  <c r="Z14" i="100"/>
  <c r="X14" i="100"/>
  <c r="T14" i="100"/>
  <c r="R14" i="100"/>
  <c r="P14" i="100"/>
  <c r="N14" i="100"/>
  <c r="L14" i="100"/>
  <c r="H14" i="100"/>
  <c r="D14" i="100"/>
  <c r="X12" i="100"/>
  <c r="T12" i="100"/>
  <c r="V35" i="100" s="1"/>
  <c r="P12" i="100"/>
  <c r="R43" i="100" s="1"/>
  <c r="H12" i="100"/>
  <c r="D12" i="100"/>
  <c r="F23" i="100" s="1"/>
  <c r="D6" i="100"/>
  <c r="D4" i="100"/>
  <c r="Z45" i="99"/>
  <c r="X45" i="99"/>
  <c r="N45" i="99"/>
  <c r="L45" i="99"/>
  <c r="Z41" i="99"/>
  <c r="X41" i="99"/>
  <c r="T41" i="99"/>
  <c r="P41" i="99"/>
  <c r="L41" i="99"/>
  <c r="H41" i="99"/>
  <c r="N41" i="99" s="1"/>
  <c r="D41" i="99"/>
  <c r="Z39" i="99"/>
  <c r="X39" i="99"/>
  <c r="N39" i="99"/>
  <c r="L39" i="99"/>
  <c r="B39" i="99"/>
  <c r="T38" i="99"/>
  <c r="Z38" i="99" s="1"/>
  <c r="P38" i="99"/>
  <c r="X38" i="99" s="1"/>
  <c r="N38" i="99"/>
  <c r="H38" i="99"/>
  <c r="D38" i="99"/>
  <c r="B38" i="99"/>
  <c r="Z37" i="99"/>
  <c r="X37" i="99"/>
  <c r="N37" i="99"/>
  <c r="L37" i="99"/>
  <c r="B37" i="99"/>
  <c r="T36" i="99"/>
  <c r="Z36" i="99" s="1"/>
  <c r="P36" i="99"/>
  <c r="N36" i="99"/>
  <c r="L36" i="99"/>
  <c r="H36" i="99"/>
  <c r="D36" i="99"/>
  <c r="B36" i="99"/>
  <c r="Z35" i="99"/>
  <c r="X35" i="99"/>
  <c r="N35" i="99"/>
  <c r="L35" i="99"/>
  <c r="J35" i="99"/>
  <c r="B35" i="99"/>
  <c r="T34" i="99"/>
  <c r="Z34" i="99" s="1"/>
  <c r="P34" i="99"/>
  <c r="L34" i="99"/>
  <c r="H34" i="99"/>
  <c r="N34" i="99" s="1"/>
  <c r="D34" i="99"/>
  <c r="B34" i="99"/>
  <c r="Z33" i="99"/>
  <c r="X33" i="99"/>
  <c r="N33" i="99"/>
  <c r="L33" i="99"/>
  <c r="B33" i="99"/>
  <c r="Z32" i="99"/>
  <c r="X32" i="99"/>
  <c r="N32" i="99"/>
  <c r="L32" i="99"/>
  <c r="B32" i="99"/>
  <c r="Z31" i="99"/>
  <c r="X31" i="99"/>
  <c r="N31" i="99"/>
  <c r="L31" i="99"/>
  <c r="B31" i="99"/>
  <c r="Z30" i="99"/>
  <c r="X30" i="99"/>
  <c r="N30" i="99"/>
  <c r="L30" i="99"/>
  <c r="B30" i="99"/>
  <c r="X29" i="99"/>
  <c r="T29" i="99"/>
  <c r="Z29" i="99" s="1"/>
  <c r="P29" i="99"/>
  <c r="N29" i="99"/>
  <c r="L29" i="99"/>
  <c r="H29" i="99"/>
  <c r="D29" i="99"/>
  <c r="B29" i="99"/>
  <c r="Z28" i="99"/>
  <c r="X28" i="99"/>
  <c r="N28" i="99"/>
  <c r="L28" i="99"/>
  <c r="B28" i="99"/>
  <c r="Z27" i="99"/>
  <c r="X27" i="99"/>
  <c r="N27" i="99"/>
  <c r="L27" i="99"/>
  <c r="B27" i="99"/>
  <c r="Z26" i="99"/>
  <c r="X26" i="99"/>
  <c r="N26" i="99"/>
  <c r="L26" i="99"/>
  <c r="B26" i="99"/>
  <c r="Z25" i="99"/>
  <c r="X25" i="99"/>
  <c r="N25" i="99"/>
  <c r="L25" i="99"/>
  <c r="B25" i="99"/>
  <c r="Z24" i="99"/>
  <c r="X24" i="99"/>
  <c r="N24" i="99"/>
  <c r="L24" i="99"/>
  <c r="B24" i="99"/>
  <c r="Z23" i="99"/>
  <c r="X23" i="99"/>
  <c r="N23" i="99"/>
  <c r="L23" i="99"/>
  <c r="B23" i="99"/>
  <c r="Z22" i="99"/>
  <c r="X22" i="99"/>
  <c r="N22" i="99"/>
  <c r="L22" i="99"/>
  <c r="J22" i="99"/>
  <c r="B22" i="99"/>
  <c r="Z21" i="99"/>
  <c r="T21" i="99"/>
  <c r="P21" i="99"/>
  <c r="X21" i="99" s="1"/>
  <c r="L21" i="99"/>
  <c r="H21" i="99"/>
  <c r="N21" i="99" s="1"/>
  <c r="D21" i="99"/>
  <c r="B21" i="99"/>
  <c r="T20" i="99"/>
  <c r="Z20" i="99" s="1"/>
  <c r="P20" i="99"/>
  <c r="N20" i="99"/>
  <c r="H20" i="99"/>
  <c r="D20" i="99"/>
  <c r="L20" i="99" s="1"/>
  <c r="Z16" i="99"/>
  <c r="X16" i="99"/>
  <c r="T16" i="99"/>
  <c r="P16" i="99"/>
  <c r="H16" i="99"/>
  <c r="N16" i="99" s="1"/>
  <c r="D16" i="99"/>
  <c r="Z14" i="99"/>
  <c r="X14" i="99"/>
  <c r="T14" i="99"/>
  <c r="P14" i="99"/>
  <c r="N14" i="99"/>
  <c r="H14" i="99"/>
  <c r="D14" i="99"/>
  <c r="L14" i="99" s="1"/>
  <c r="B14" i="99"/>
  <c r="T13" i="99"/>
  <c r="P13" i="99"/>
  <c r="N13" i="99"/>
  <c r="H13" i="99"/>
  <c r="D13" i="99"/>
  <c r="L13" i="99" s="1"/>
  <c r="B13" i="99"/>
  <c r="H12" i="99"/>
  <c r="J27" i="99" s="1"/>
  <c r="D12" i="99"/>
  <c r="F21" i="99" s="1"/>
  <c r="D6" i="99"/>
  <c r="D4" i="99"/>
  <c r="Z85" i="98"/>
  <c r="X85" i="98"/>
  <c r="L85" i="98"/>
  <c r="N85" i="98" s="1"/>
  <c r="X81" i="98"/>
  <c r="Z81" i="98" s="1"/>
  <c r="T81" i="98"/>
  <c r="P81" i="98"/>
  <c r="H81" i="98"/>
  <c r="N81" i="98" s="1"/>
  <c r="D81" i="98"/>
  <c r="L81" i="98" s="1"/>
  <c r="B81" i="98"/>
  <c r="T80" i="98"/>
  <c r="P80" i="98"/>
  <c r="X80" i="98" s="1"/>
  <c r="Z80" i="98" s="1"/>
  <c r="Z78" i="98"/>
  <c r="X78" i="98"/>
  <c r="L78" i="98"/>
  <c r="N78" i="98" s="1"/>
  <c r="B78" i="98"/>
  <c r="X77" i="98"/>
  <c r="T77" i="98"/>
  <c r="P77" i="98"/>
  <c r="H77" i="98"/>
  <c r="D77" i="98"/>
  <c r="L77" i="98" s="1"/>
  <c r="N77" i="98" s="1"/>
  <c r="B77" i="98"/>
  <c r="X76" i="98"/>
  <c r="Z76" i="98" s="1"/>
  <c r="L76" i="98"/>
  <c r="N76" i="98" s="1"/>
  <c r="B76" i="98"/>
  <c r="T75" i="98"/>
  <c r="P75" i="98"/>
  <c r="H75" i="98"/>
  <c r="D75" i="98"/>
  <c r="L75" i="98" s="1"/>
  <c r="N75" i="98" s="1"/>
  <c r="B75" i="98"/>
  <c r="Z74" i="98"/>
  <c r="X74" i="98"/>
  <c r="N74" i="98"/>
  <c r="L74" i="98"/>
  <c r="B74" i="98"/>
  <c r="Z73" i="98"/>
  <c r="X73" i="98"/>
  <c r="L73" i="98"/>
  <c r="N73" i="98" s="1"/>
  <c r="B73" i="98"/>
  <c r="Z72" i="98"/>
  <c r="X72" i="98"/>
  <c r="N72" i="98"/>
  <c r="L72" i="98"/>
  <c r="B72" i="98"/>
  <c r="X71" i="98"/>
  <c r="Z71" i="98" s="1"/>
  <c r="N71" i="98"/>
  <c r="L71" i="98"/>
  <c r="B71" i="98"/>
  <c r="Z70" i="98"/>
  <c r="X70" i="98"/>
  <c r="N70" i="98"/>
  <c r="L70" i="98"/>
  <c r="B70" i="98"/>
  <c r="Z69" i="98"/>
  <c r="X69" i="98"/>
  <c r="N69" i="98"/>
  <c r="L69" i="98"/>
  <c r="B69" i="98"/>
  <c r="X68" i="98"/>
  <c r="Z68" i="98" s="1"/>
  <c r="N68" i="98"/>
  <c r="L68" i="98"/>
  <c r="B68" i="98"/>
  <c r="Z67" i="98"/>
  <c r="X67" i="98"/>
  <c r="T67" i="98"/>
  <c r="P67" i="98"/>
  <c r="H67" i="98"/>
  <c r="N67" i="98" s="1"/>
  <c r="D67" i="98"/>
  <c r="L67" i="98" s="1"/>
  <c r="B67" i="98"/>
  <c r="Z66" i="98"/>
  <c r="X66" i="98"/>
  <c r="L66" i="98"/>
  <c r="N66" i="98" s="1"/>
  <c r="B66" i="98"/>
  <c r="X65" i="98"/>
  <c r="T65" i="98"/>
  <c r="P65" i="98"/>
  <c r="H65" i="98"/>
  <c r="D65" i="98"/>
  <c r="L65" i="98" s="1"/>
  <c r="N65" i="98" s="1"/>
  <c r="B65" i="98"/>
  <c r="Z64" i="98"/>
  <c r="X64" i="98"/>
  <c r="L64" i="98"/>
  <c r="N64" i="98" s="1"/>
  <c r="B64" i="98"/>
  <c r="Z63" i="98"/>
  <c r="X63" i="98"/>
  <c r="N63" i="98"/>
  <c r="L63" i="98"/>
  <c r="B63" i="98"/>
  <c r="X62" i="98"/>
  <c r="Z62" i="98" s="1"/>
  <c r="N62" i="98"/>
  <c r="L62" i="98"/>
  <c r="B62" i="98"/>
  <c r="T61" i="98"/>
  <c r="P61" i="98"/>
  <c r="X61" i="98" s="1"/>
  <c r="Z61" i="98" s="1"/>
  <c r="H61" i="98"/>
  <c r="D61" i="98"/>
  <c r="B61" i="98"/>
  <c r="X60" i="98"/>
  <c r="Z60" i="98" s="1"/>
  <c r="N60" i="98"/>
  <c r="L60" i="98"/>
  <c r="B60" i="98"/>
  <c r="X59" i="98"/>
  <c r="Z59" i="98" s="1"/>
  <c r="N59" i="98"/>
  <c r="L59" i="98"/>
  <c r="B59" i="98"/>
  <c r="Z58" i="98"/>
  <c r="X58" i="98"/>
  <c r="N58" i="98"/>
  <c r="L58" i="98"/>
  <c r="B58" i="98"/>
  <c r="T57" i="98"/>
  <c r="P57" i="98"/>
  <c r="X57" i="98" s="1"/>
  <c r="L57" i="98"/>
  <c r="N57" i="98" s="1"/>
  <c r="H57" i="98"/>
  <c r="D57" i="98"/>
  <c r="B57" i="98"/>
  <c r="Z56" i="98"/>
  <c r="X56" i="98"/>
  <c r="N56" i="98"/>
  <c r="L56" i="98"/>
  <c r="B56" i="98"/>
  <c r="Z55" i="98"/>
  <c r="X55" i="98"/>
  <c r="L55" i="98"/>
  <c r="N55" i="98" s="1"/>
  <c r="B55" i="98"/>
  <c r="T54" i="98"/>
  <c r="P54" i="98"/>
  <c r="X54" i="98" s="1"/>
  <c r="Z54" i="98" s="1"/>
  <c r="H54" i="98"/>
  <c r="D54" i="98"/>
  <c r="L54" i="98" s="1"/>
  <c r="N54" i="98" s="1"/>
  <c r="B54" i="98"/>
  <c r="Z53" i="98"/>
  <c r="X53" i="98"/>
  <c r="N53" i="98"/>
  <c r="L53" i="98"/>
  <c r="B53" i="98"/>
  <c r="Z52" i="98"/>
  <c r="X52" i="98"/>
  <c r="T52" i="98"/>
  <c r="P52" i="98"/>
  <c r="N52" i="98"/>
  <c r="L52" i="98"/>
  <c r="H52" i="98"/>
  <c r="D52" i="98"/>
  <c r="B52" i="98"/>
  <c r="X51" i="98"/>
  <c r="Z51" i="98" s="1"/>
  <c r="N51" i="98"/>
  <c r="L51" i="98"/>
  <c r="B51" i="98"/>
  <c r="T50" i="98"/>
  <c r="P50" i="98"/>
  <c r="X50" i="98" s="1"/>
  <c r="L50" i="98"/>
  <c r="H50" i="98"/>
  <c r="N50" i="98" s="1"/>
  <c r="D50" i="98"/>
  <c r="B50" i="98"/>
  <c r="X49" i="98"/>
  <c r="Z49" i="98" s="1"/>
  <c r="N49" i="98"/>
  <c r="L49" i="98"/>
  <c r="B49" i="98"/>
  <c r="T48" i="98"/>
  <c r="P48" i="98"/>
  <c r="X48" i="98" s="1"/>
  <c r="Z48" i="98" s="1"/>
  <c r="N48" i="98"/>
  <c r="H48" i="98"/>
  <c r="D48" i="98"/>
  <c r="L48" i="98" s="1"/>
  <c r="B48" i="98"/>
  <c r="X47" i="98"/>
  <c r="Z47" i="98" s="1"/>
  <c r="L47" i="98"/>
  <c r="N47" i="98" s="1"/>
  <c r="B47" i="98"/>
  <c r="X46" i="98"/>
  <c r="Z46" i="98" s="1"/>
  <c r="N46" i="98"/>
  <c r="L46" i="98"/>
  <c r="B46" i="98"/>
  <c r="T45" i="98"/>
  <c r="P45" i="98"/>
  <c r="X45" i="98" s="1"/>
  <c r="Z45" i="98" s="1"/>
  <c r="H45" i="98"/>
  <c r="D45" i="98"/>
  <c r="L45" i="98" s="1"/>
  <c r="B45" i="98"/>
  <c r="X44" i="98"/>
  <c r="Z44" i="98" s="1"/>
  <c r="N44" i="98"/>
  <c r="L44" i="98"/>
  <c r="B44" i="98"/>
  <c r="Z43" i="98"/>
  <c r="X43" i="98"/>
  <c r="T43" i="98"/>
  <c r="P43" i="98"/>
  <c r="H43" i="98"/>
  <c r="N43" i="98" s="1"/>
  <c r="D43" i="98"/>
  <c r="L43" i="98" s="1"/>
  <c r="B43" i="98"/>
  <c r="Z42" i="98"/>
  <c r="X42" i="98"/>
  <c r="L42" i="98"/>
  <c r="N42" i="98" s="1"/>
  <c r="B42" i="98"/>
  <c r="X41" i="98"/>
  <c r="T41" i="98"/>
  <c r="P41" i="98"/>
  <c r="H41" i="98"/>
  <c r="D41" i="98"/>
  <c r="L41" i="98" s="1"/>
  <c r="N41" i="98" s="1"/>
  <c r="B41" i="98"/>
  <c r="Z40" i="98"/>
  <c r="X40" i="98"/>
  <c r="L40" i="98"/>
  <c r="N40" i="98" s="1"/>
  <c r="B40" i="98"/>
  <c r="T39" i="98"/>
  <c r="P39" i="98"/>
  <c r="H39" i="98"/>
  <c r="D39" i="98"/>
  <c r="L39" i="98" s="1"/>
  <c r="N39" i="98" s="1"/>
  <c r="B39" i="98"/>
  <c r="Z38" i="98"/>
  <c r="X38" i="98"/>
  <c r="N38" i="98"/>
  <c r="L38" i="98"/>
  <c r="B38" i="98"/>
  <c r="Z37" i="98"/>
  <c r="X37" i="98"/>
  <c r="L37" i="98"/>
  <c r="N37" i="98" s="1"/>
  <c r="B37" i="98"/>
  <c r="Z36" i="98"/>
  <c r="X36" i="98"/>
  <c r="N36" i="98"/>
  <c r="L36" i="98"/>
  <c r="B36" i="98"/>
  <c r="X35" i="98"/>
  <c r="Z35" i="98" s="1"/>
  <c r="N35" i="98"/>
  <c r="L35" i="98"/>
  <c r="B35" i="98"/>
  <c r="Z34" i="98"/>
  <c r="X34" i="98"/>
  <c r="N34" i="98"/>
  <c r="L34" i="98"/>
  <c r="B34" i="98"/>
  <c r="Z33" i="98"/>
  <c r="X33" i="98"/>
  <c r="L33" i="98"/>
  <c r="N33" i="98" s="1"/>
  <c r="B33" i="98"/>
  <c r="X32" i="98"/>
  <c r="T32" i="98"/>
  <c r="Z32" i="98" s="1"/>
  <c r="P32" i="98"/>
  <c r="H32" i="98"/>
  <c r="F32" i="98"/>
  <c r="D32" i="98"/>
  <c r="L32" i="98" s="1"/>
  <c r="B32" i="98"/>
  <c r="Z31" i="98"/>
  <c r="X31" i="98"/>
  <c r="L31" i="98"/>
  <c r="N31" i="98" s="1"/>
  <c r="B31" i="98"/>
  <c r="Z30" i="98"/>
  <c r="X30" i="98"/>
  <c r="L30" i="98"/>
  <c r="N30" i="98" s="1"/>
  <c r="B30" i="98"/>
  <c r="X29" i="98"/>
  <c r="Z29" i="98" s="1"/>
  <c r="N29" i="98"/>
  <c r="L29" i="98"/>
  <c r="B29" i="98"/>
  <c r="Z28" i="98"/>
  <c r="X28" i="98"/>
  <c r="N28" i="98"/>
  <c r="L28" i="98"/>
  <c r="B28" i="98"/>
  <c r="Z27" i="98"/>
  <c r="X27" i="98"/>
  <c r="L27" i="98"/>
  <c r="N27" i="98" s="1"/>
  <c r="B27" i="98"/>
  <c r="Z26" i="98"/>
  <c r="X26" i="98"/>
  <c r="L26" i="98"/>
  <c r="N26" i="98" s="1"/>
  <c r="B26" i="98"/>
  <c r="X25" i="98"/>
  <c r="Z25" i="98" s="1"/>
  <c r="N25" i="98"/>
  <c r="L25" i="98"/>
  <c r="B25" i="98"/>
  <c r="Z24" i="98"/>
  <c r="X24" i="98"/>
  <c r="L24" i="98"/>
  <c r="N24" i="98" s="1"/>
  <c r="B24" i="98"/>
  <c r="T23" i="98"/>
  <c r="P23" i="98"/>
  <c r="X23" i="98" s="1"/>
  <c r="Z23" i="98" s="1"/>
  <c r="J23" i="98"/>
  <c r="H23" i="98"/>
  <c r="D23" i="98"/>
  <c r="B23" i="98"/>
  <c r="X22" i="98"/>
  <c r="T22" i="98"/>
  <c r="Z22" i="98" s="1"/>
  <c r="P22" i="98"/>
  <c r="L22" i="98"/>
  <c r="N22" i="98" s="1"/>
  <c r="H22" i="98"/>
  <c r="D22" i="98"/>
  <c r="X18" i="98"/>
  <c r="Z18" i="98" s="1"/>
  <c r="N18" i="98"/>
  <c r="L18" i="98"/>
  <c r="B18" i="98"/>
  <c r="Z17" i="98"/>
  <c r="X17" i="98"/>
  <c r="N17" i="98"/>
  <c r="L17" i="98"/>
  <c r="B17" i="98"/>
  <c r="Z16" i="98"/>
  <c r="X16" i="98"/>
  <c r="T16" i="98"/>
  <c r="P16" i="98"/>
  <c r="L16" i="98"/>
  <c r="H16" i="98"/>
  <c r="N16" i="98" s="1"/>
  <c r="D16" i="98"/>
  <c r="T14" i="98"/>
  <c r="P14" i="98"/>
  <c r="L14" i="98"/>
  <c r="H14" i="98"/>
  <c r="N14" i="98" s="1"/>
  <c r="D14" i="98"/>
  <c r="B14" i="98"/>
  <c r="T13" i="98"/>
  <c r="P13" i="98"/>
  <c r="N13" i="98"/>
  <c r="L13" i="98"/>
  <c r="H13" i="98"/>
  <c r="D13" i="98"/>
  <c r="B13" i="98"/>
  <c r="H12" i="98"/>
  <c r="D12" i="98"/>
  <c r="D6" i="98"/>
  <c r="D4" i="98"/>
  <c r="Z89" i="96"/>
  <c r="X89" i="96"/>
  <c r="N89" i="96"/>
  <c r="L89" i="96"/>
  <c r="X85" i="96"/>
  <c r="T85" i="96"/>
  <c r="Z85" i="96" s="1"/>
  <c r="P85" i="96"/>
  <c r="N85" i="96"/>
  <c r="L85" i="96"/>
  <c r="H85" i="96"/>
  <c r="D85" i="96"/>
  <c r="X83" i="96"/>
  <c r="Z83" i="96" s="1"/>
  <c r="N83" i="96"/>
  <c r="L83" i="96"/>
  <c r="B83" i="96"/>
  <c r="T82" i="96"/>
  <c r="P82" i="96"/>
  <c r="X82" i="96" s="1"/>
  <c r="Z82" i="96" s="1"/>
  <c r="L82" i="96"/>
  <c r="H82" i="96"/>
  <c r="D82" i="96"/>
  <c r="B82" i="96"/>
  <c r="X81" i="96"/>
  <c r="Z81" i="96" s="1"/>
  <c r="N81" i="96"/>
  <c r="L81" i="96"/>
  <c r="B81" i="96"/>
  <c r="Z80" i="96"/>
  <c r="X80" i="96"/>
  <c r="T80" i="96"/>
  <c r="P80" i="96"/>
  <c r="H80" i="96"/>
  <c r="N80" i="96" s="1"/>
  <c r="D80" i="96"/>
  <c r="B80" i="96"/>
  <c r="Z79" i="96"/>
  <c r="X79" i="96"/>
  <c r="L79" i="96"/>
  <c r="N79" i="96" s="1"/>
  <c r="B79" i="96"/>
  <c r="V78" i="96"/>
  <c r="T78" i="96"/>
  <c r="P78" i="96"/>
  <c r="H78" i="96"/>
  <c r="D78" i="96"/>
  <c r="L78" i="96" s="1"/>
  <c r="N78" i="96" s="1"/>
  <c r="B78" i="96"/>
  <c r="X77" i="96"/>
  <c r="Z77" i="96" s="1"/>
  <c r="N77" i="96"/>
  <c r="L77" i="96"/>
  <c r="B77" i="96"/>
  <c r="X76" i="96"/>
  <c r="Z76" i="96" s="1"/>
  <c r="N76" i="96"/>
  <c r="L76" i="96"/>
  <c r="B76" i="96"/>
  <c r="X75" i="96"/>
  <c r="Z75" i="96" s="1"/>
  <c r="N75" i="96"/>
  <c r="L75" i="96"/>
  <c r="B75" i="96"/>
  <c r="Z74" i="96"/>
  <c r="X74" i="96"/>
  <c r="N74" i="96"/>
  <c r="L74" i="96"/>
  <c r="B74" i="96"/>
  <c r="X73" i="96"/>
  <c r="Z73" i="96" s="1"/>
  <c r="N73" i="96"/>
  <c r="L73" i="96"/>
  <c r="B73" i="96"/>
  <c r="X72" i="96"/>
  <c r="Z72" i="96" s="1"/>
  <c r="N72" i="96"/>
  <c r="L72" i="96"/>
  <c r="B72" i="96"/>
  <c r="X71" i="96"/>
  <c r="Z71" i="96" s="1"/>
  <c r="N71" i="96"/>
  <c r="L71" i="96"/>
  <c r="B71" i="96"/>
  <c r="T70" i="96"/>
  <c r="P70" i="96"/>
  <c r="X70" i="96" s="1"/>
  <c r="Z70" i="96" s="1"/>
  <c r="L70" i="96"/>
  <c r="H70" i="96"/>
  <c r="D70" i="96"/>
  <c r="B70" i="96"/>
  <c r="X69" i="96"/>
  <c r="Z69" i="96" s="1"/>
  <c r="N69" i="96"/>
  <c r="L69" i="96"/>
  <c r="B69" i="96"/>
  <c r="Z68" i="96"/>
  <c r="X68" i="96"/>
  <c r="T68" i="96"/>
  <c r="P68" i="96"/>
  <c r="H68" i="96"/>
  <c r="D68" i="96"/>
  <c r="L68" i="96" s="1"/>
  <c r="B68" i="96"/>
  <c r="Z67" i="96"/>
  <c r="X67" i="96"/>
  <c r="L67" i="96"/>
  <c r="N67" i="96" s="1"/>
  <c r="B67" i="96"/>
  <c r="X66" i="96"/>
  <c r="Z66" i="96" s="1"/>
  <c r="V66" i="96"/>
  <c r="N66" i="96"/>
  <c r="L66" i="96"/>
  <c r="B66" i="96"/>
  <c r="Z65" i="96"/>
  <c r="X65" i="96"/>
  <c r="L65" i="96"/>
  <c r="N65" i="96" s="1"/>
  <c r="B65" i="96"/>
  <c r="Z64" i="96"/>
  <c r="X64" i="96"/>
  <c r="L64" i="96"/>
  <c r="N64" i="96" s="1"/>
  <c r="B64" i="96"/>
  <c r="Z63" i="96"/>
  <c r="X63" i="96"/>
  <c r="L63" i="96"/>
  <c r="N63" i="96" s="1"/>
  <c r="B63" i="96"/>
  <c r="X62" i="96"/>
  <c r="V62" i="96"/>
  <c r="T62" i="96"/>
  <c r="P62" i="96"/>
  <c r="H62" i="96"/>
  <c r="D62" i="96"/>
  <c r="L62" i="96" s="1"/>
  <c r="N62" i="96" s="1"/>
  <c r="B62" i="96"/>
  <c r="X61" i="96"/>
  <c r="Z61" i="96" s="1"/>
  <c r="L61" i="96"/>
  <c r="N61" i="96" s="1"/>
  <c r="B61" i="96"/>
  <c r="X60" i="96"/>
  <c r="Z60" i="96" s="1"/>
  <c r="N60" i="96"/>
  <c r="L60" i="96"/>
  <c r="B60" i="96"/>
  <c r="X59" i="96"/>
  <c r="Z59" i="96" s="1"/>
  <c r="N59" i="96"/>
  <c r="L59" i="96"/>
  <c r="J59" i="96"/>
  <c r="B59" i="96"/>
  <c r="Z58" i="96"/>
  <c r="T58" i="96"/>
  <c r="P58" i="96"/>
  <c r="X58" i="96" s="1"/>
  <c r="H58" i="96"/>
  <c r="D58" i="96"/>
  <c r="B58" i="96"/>
  <c r="X57" i="96"/>
  <c r="Z57" i="96" s="1"/>
  <c r="N57" i="96"/>
  <c r="L57" i="96"/>
  <c r="B57" i="96"/>
  <c r="X56" i="96"/>
  <c r="Z56" i="96" s="1"/>
  <c r="T56" i="96"/>
  <c r="P56" i="96"/>
  <c r="H56" i="96"/>
  <c r="D56" i="96"/>
  <c r="L56" i="96" s="1"/>
  <c r="B56" i="96"/>
  <c r="Z55" i="96"/>
  <c r="X55" i="96"/>
  <c r="L55" i="96"/>
  <c r="N55" i="96" s="1"/>
  <c r="B55" i="96"/>
  <c r="X54" i="96"/>
  <c r="V54" i="96"/>
  <c r="T54" i="96"/>
  <c r="P54" i="96"/>
  <c r="N54" i="96"/>
  <c r="H54" i="96"/>
  <c r="D54" i="96"/>
  <c r="L54" i="96" s="1"/>
  <c r="B54" i="96"/>
  <c r="Z53" i="96"/>
  <c r="X53" i="96"/>
  <c r="N53" i="96"/>
  <c r="L53" i="96"/>
  <c r="B53" i="96"/>
  <c r="T52" i="96"/>
  <c r="P52" i="96"/>
  <c r="X52" i="96" s="1"/>
  <c r="N52" i="96"/>
  <c r="H52" i="96"/>
  <c r="D52" i="96"/>
  <c r="L52" i="96" s="1"/>
  <c r="B52" i="96"/>
  <c r="Z51" i="96"/>
  <c r="X51" i="96"/>
  <c r="N51" i="96"/>
  <c r="L51" i="96"/>
  <c r="B51" i="96"/>
  <c r="T50" i="96"/>
  <c r="P50" i="96"/>
  <c r="L50" i="96"/>
  <c r="N50" i="96" s="1"/>
  <c r="H50" i="96"/>
  <c r="D50" i="96"/>
  <c r="B50" i="96"/>
  <c r="Z49" i="96"/>
  <c r="X49" i="96"/>
  <c r="N49" i="96"/>
  <c r="L49" i="96"/>
  <c r="B49" i="96"/>
  <c r="T48" i="96"/>
  <c r="P48" i="96"/>
  <c r="X48" i="96" s="1"/>
  <c r="Z48" i="96" s="1"/>
  <c r="L48" i="96"/>
  <c r="J48" i="96"/>
  <c r="H48" i="96"/>
  <c r="D48" i="96"/>
  <c r="B48" i="96"/>
  <c r="X47" i="96"/>
  <c r="Z47" i="96" s="1"/>
  <c r="N47" i="96"/>
  <c r="L47" i="96"/>
  <c r="B47" i="96"/>
  <c r="Z46" i="96"/>
  <c r="X46" i="96"/>
  <c r="N46" i="96"/>
  <c r="L46" i="96"/>
  <c r="B46" i="96"/>
  <c r="T45" i="96"/>
  <c r="P45" i="96"/>
  <c r="X45" i="96" s="1"/>
  <c r="Z45" i="96" s="1"/>
  <c r="L45" i="96"/>
  <c r="N45" i="96" s="1"/>
  <c r="H45" i="96"/>
  <c r="D45" i="96"/>
  <c r="B45" i="96"/>
  <c r="X44" i="96"/>
  <c r="Z44" i="96" s="1"/>
  <c r="V44" i="96"/>
  <c r="N44" i="96"/>
  <c r="L44" i="96"/>
  <c r="B44" i="96"/>
  <c r="V43" i="96"/>
  <c r="T43" i="96"/>
  <c r="P43" i="96"/>
  <c r="H43" i="96"/>
  <c r="D43" i="96"/>
  <c r="B43" i="96"/>
  <c r="X42" i="96"/>
  <c r="Z42" i="96" s="1"/>
  <c r="N42" i="96"/>
  <c r="L42" i="96"/>
  <c r="B42" i="96"/>
  <c r="T41" i="96"/>
  <c r="P41" i="96"/>
  <c r="X41" i="96" s="1"/>
  <c r="Z41" i="96" s="1"/>
  <c r="H41" i="96"/>
  <c r="N41" i="96" s="1"/>
  <c r="D41" i="96"/>
  <c r="L41" i="96" s="1"/>
  <c r="B41" i="96"/>
  <c r="X40" i="96"/>
  <c r="Z40" i="96" s="1"/>
  <c r="N40" i="96"/>
  <c r="L40" i="96"/>
  <c r="B40" i="96"/>
  <c r="X39" i="96"/>
  <c r="Z39" i="96" s="1"/>
  <c r="T39" i="96"/>
  <c r="P39" i="96"/>
  <c r="N39" i="96"/>
  <c r="L39" i="96"/>
  <c r="J39" i="96"/>
  <c r="H39" i="96"/>
  <c r="D39" i="96"/>
  <c r="B39" i="96"/>
  <c r="Z38" i="96"/>
  <c r="X38" i="96"/>
  <c r="L38" i="96"/>
  <c r="N38" i="96" s="1"/>
  <c r="B38" i="96"/>
  <c r="X37" i="96"/>
  <c r="Z37" i="96" s="1"/>
  <c r="N37" i="96"/>
  <c r="L37" i="96"/>
  <c r="B37" i="96"/>
  <c r="X36" i="96"/>
  <c r="Z36" i="96" s="1"/>
  <c r="N36" i="96"/>
  <c r="L36" i="96"/>
  <c r="J36" i="96"/>
  <c r="B36" i="96"/>
  <c r="Z35" i="96"/>
  <c r="X35" i="96"/>
  <c r="L35" i="96"/>
  <c r="N35" i="96" s="1"/>
  <c r="B35" i="96"/>
  <c r="X34" i="96"/>
  <c r="Z34" i="96" s="1"/>
  <c r="L34" i="96"/>
  <c r="N34" i="96" s="1"/>
  <c r="B34" i="96"/>
  <c r="X33" i="96"/>
  <c r="Z33" i="96" s="1"/>
  <c r="N33" i="96"/>
  <c r="L33" i="96"/>
  <c r="B33" i="96"/>
  <c r="Z32" i="96"/>
  <c r="X32" i="96"/>
  <c r="V32" i="96"/>
  <c r="T32" i="96"/>
  <c r="P32" i="96"/>
  <c r="H32" i="96"/>
  <c r="D32" i="96"/>
  <c r="B32" i="96"/>
  <c r="X31" i="96"/>
  <c r="Z31" i="96" s="1"/>
  <c r="L31" i="96"/>
  <c r="N31" i="96" s="1"/>
  <c r="B31" i="96"/>
  <c r="X30" i="96"/>
  <c r="Z30" i="96" s="1"/>
  <c r="N30" i="96"/>
  <c r="L30" i="96"/>
  <c r="B30" i="96"/>
  <c r="Z29" i="96"/>
  <c r="X29" i="96"/>
  <c r="V29" i="96"/>
  <c r="L29" i="96"/>
  <c r="N29" i="96" s="1"/>
  <c r="B29" i="96"/>
  <c r="Z28" i="96"/>
  <c r="X28" i="96"/>
  <c r="L28" i="96"/>
  <c r="N28" i="96" s="1"/>
  <c r="B28" i="96"/>
  <c r="X27" i="96"/>
  <c r="Z27" i="96" s="1"/>
  <c r="L27" i="96"/>
  <c r="N27" i="96" s="1"/>
  <c r="B27" i="96"/>
  <c r="X26" i="96"/>
  <c r="Z26" i="96" s="1"/>
  <c r="N26" i="96"/>
  <c r="L26" i="96"/>
  <c r="B26" i="96"/>
  <c r="Z25" i="96"/>
  <c r="X25" i="96"/>
  <c r="L25" i="96"/>
  <c r="N25" i="96" s="1"/>
  <c r="B25" i="96"/>
  <c r="Z24" i="96"/>
  <c r="X24" i="96"/>
  <c r="L24" i="96"/>
  <c r="N24" i="96" s="1"/>
  <c r="B24" i="96"/>
  <c r="T23" i="96"/>
  <c r="P23" i="96"/>
  <c r="H23" i="96"/>
  <c r="D23" i="96"/>
  <c r="B23" i="96"/>
  <c r="T22" i="96"/>
  <c r="P22" i="96"/>
  <c r="X22" i="96" s="1"/>
  <c r="Z22" i="96" s="1"/>
  <c r="L22" i="96"/>
  <c r="J22" i="96"/>
  <c r="H22" i="96"/>
  <c r="D22" i="96"/>
  <c r="T20" i="96"/>
  <c r="T87" i="96" s="1"/>
  <c r="T91" i="96" s="1"/>
  <c r="Z18" i="96"/>
  <c r="X18" i="96"/>
  <c r="N18" i="96"/>
  <c r="L18" i="96"/>
  <c r="B18" i="96"/>
  <c r="Z17" i="96"/>
  <c r="X17" i="96"/>
  <c r="V17" i="96"/>
  <c r="L17" i="96"/>
  <c r="N17" i="96" s="1"/>
  <c r="B17" i="96"/>
  <c r="T16" i="96"/>
  <c r="P16" i="96"/>
  <c r="X16" i="96" s="1"/>
  <c r="J16" i="96"/>
  <c r="H16" i="96"/>
  <c r="D16" i="96"/>
  <c r="T14" i="96"/>
  <c r="P14" i="96"/>
  <c r="X14" i="96" s="1"/>
  <c r="H14" i="96"/>
  <c r="D14" i="96"/>
  <c r="B14" i="96"/>
  <c r="T13" i="96"/>
  <c r="X13" i="96" s="1"/>
  <c r="Z13" i="96" s="1"/>
  <c r="P13" i="96"/>
  <c r="H13" i="96"/>
  <c r="H12" i="96" s="1"/>
  <c r="J83" i="96" s="1"/>
  <c r="D13" i="96"/>
  <c r="B13" i="96"/>
  <c r="T12" i="96"/>
  <c r="P12" i="96"/>
  <c r="R42" i="96" s="1"/>
  <c r="D6" i="96"/>
  <c r="D4" i="96"/>
  <c r="Z79" i="95"/>
  <c r="X79" i="95"/>
  <c r="N79" i="95"/>
  <c r="L79" i="95"/>
  <c r="T75" i="95"/>
  <c r="Z75" i="95" s="1"/>
  <c r="P75" i="95"/>
  <c r="X75" i="95" s="1"/>
  <c r="N75" i="95"/>
  <c r="H75" i="95"/>
  <c r="D75" i="95"/>
  <c r="L75" i="95" s="1"/>
  <c r="Z73" i="95"/>
  <c r="X73" i="95"/>
  <c r="N73" i="95"/>
  <c r="L73" i="95"/>
  <c r="B73" i="95"/>
  <c r="X72" i="95"/>
  <c r="Z72" i="95" s="1"/>
  <c r="T72" i="95"/>
  <c r="P72" i="95"/>
  <c r="N72" i="95"/>
  <c r="H72" i="95"/>
  <c r="D72" i="95"/>
  <c r="L72" i="95" s="1"/>
  <c r="B72" i="95"/>
  <c r="Z71" i="95"/>
  <c r="X71" i="95"/>
  <c r="L71" i="95"/>
  <c r="N71" i="95" s="1"/>
  <c r="B71" i="95"/>
  <c r="T70" i="95"/>
  <c r="P70" i="95"/>
  <c r="H70" i="95"/>
  <c r="D70" i="95"/>
  <c r="L70" i="95" s="1"/>
  <c r="B70" i="95"/>
  <c r="Z69" i="95"/>
  <c r="X69" i="95"/>
  <c r="N69" i="95"/>
  <c r="L69" i="95"/>
  <c r="B69" i="95"/>
  <c r="X68" i="95"/>
  <c r="Z68" i="95" s="1"/>
  <c r="L68" i="95"/>
  <c r="N68" i="95" s="1"/>
  <c r="B68" i="95"/>
  <c r="Z67" i="95"/>
  <c r="X67" i="95"/>
  <c r="N67" i="95"/>
  <c r="L67" i="95"/>
  <c r="B67" i="95"/>
  <c r="X66" i="95"/>
  <c r="Z66" i="95" s="1"/>
  <c r="L66" i="95"/>
  <c r="N66" i="95" s="1"/>
  <c r="B66" i="95"/>
  <c r="Z65" i="95"/>
  <c r="X65" i="95"/>
  <c r="N65" i="95"/>
  <c r="L65" i="95"/>
  <c r="B65" i="95"/>
  <c r="X64" i="95"/>
  <c r="Z64" i="95" s="1"/>
  <c r="L64" i="95"/>
  <c r="N64" i="95" s="1"/>
  <c r="B64" i="95"/>
  <c r="Z63" i="95"/>
  <c r="X63" i="95"/>
  <c r="V63" i="95"/>
  <c r="N63" i="95"/>
  <c r="L63" i="95"/>
  <c r="B63" i="95"/>
  <c r="T62" i="95"/>
  <c r="P62" i="95"/>
  <c r="X62" i="95" s="1"/>
  <c r="Z62" i="95" s="1"/>
  <c r="H62" i="95"/>
  <c r="D62" i="95"/>
  <c r="B62" i="95"/>
  <c r="Z61" i="95"/>
  <c r="X61" i="95"/>
  <c r="N61" i="95"/>
  <c r="L61" i="95"/>
  <c r="B61" i="95"/>
  <c r="X60" i="95"/>
  <c r="Z60" i="95" s="1"/>
  <c r="T60" i="95"/>
  <c r="P60" i="95"/>
  <c r="N60" i="95"/>
  <c r="H60" i="95"/>
  <c r="D60" i="95"/>
  <c r="L60" i="95" s="1"/>
  <c r="B60" i="95"/>
  <c r="Z59" i="95"/>
  <c r="X59" i="95"/>
  <c r="L59" i="95"/>
  <c r="N59" i="95" s="1"/>
  <c r="B59" i="95"/>
  <c r="X58" i="95"/>
  <c r="T58" i="95"/>
  <c r="P58" i="95"/>
  <c r="H58" i="95"/>
  <c r="D58" i="95"/>
  <c r="B58" i="95"/>
  <c r="Z57" i="95"/>
  <c r="X57" i="95"/>
  <c r="V57" i="95"/>
  <c r="N57" i="95"/>
  <c r="L57" i="95"/>
  <c r="B57" i="95"/>
  <c r="T56" i="95"/>
  <c r="P56" i="95"/>
  <c r="H56" i="95"/>
  <c r="D56" i="95"/>
  <c r="L56" i="95" s="1"/>
  <c r="N56" i="95" s="1"/>
  <c r="B56" i="95"/>
  <c r="Z55" i="95"/>
  <c r="X55" i="95"/>
  <c r="N55" i="95"/>
  <c r="L55" i="95"/>
  <c r="B55" i="95"/>
  <c r="X54" i="95"/>
  <c r="Z54" i="95" s="1"/>
  <c r="N54" i="95"/>
  <c r="L54" i="95"/>
  <c r="B54" i="95"/>
  <c r="T53" i="95"/>
  <c r="P53" i="95"/>
  <c r="N53" i="95"/>
  <c r="L53" i="95"/>
  <c r="H53" i="95"/>
  <c r="D53" i="95"/>
  <c r="B53" i="95"/>
  <c r="X52" i="95"/>
  <c r="Z52" i="95" s="1"/>
  <c r="L52" i="95"/>
  <c r="N52" i="95" s="1"/>
  <c r="B52" i="95"/>
  <c r="Z51" i="95"/>
  <c r="T51" i="95"/>
  <c r="P51" i="95"/>
  <c r="X51" i="95" s="1"/>
  <c r="N51" i="95"/>
  <c r="H51" i="95"/>
  <c r="D51" i="95"/>
  <c r="L51" i="95" s="1"/>
  <c r="B51" i="95"/>
  <c r="X50" i="95"/>
  <c r="Z50" i="95" s="1"/>
  <c r="L50" i="95"/>
  <c r="N50" i="95" s="1"/>
  <c r="B50" i="95"/>
  <c r="Z49" i="95"/>
  <c r="X49" i="95"/>
  <c r="V49" i="95"/>
  <c r="T49" i="95"/>
  <c r="P49" i="95"/>
  <c r="L49" i="95"/>
  <c r="N49" i="95" s="1"/>
  <c r="H49" i="95"/>
  <c r="D49" i="95"/>
  <c r="B49" i="95"/>
  <c r="X48" i="95"/>
  <c r="Z48" i="95" s="1"/>
  <c r="L48" i="95"/>
  <c r="N48" i="95" s="1"/>
  <c r="B48" i="95"/>
  <c r="Z47" i="95"/>
  <c r="X47" i="95"/>
  <c r="V47" i="95"/>
  <c r="T47" i="95"/>
  <c r="P47" i="95"/>
  <c r="H47" i="95"/>
  <c r="D47" i="95"/>
  <c r="B47" i="95"/>
  <c r="X46" i="95"/>
  <c r="Z46" i="95" s="1"/>
  <c r="L46" i="95"/>
  <c r="N46" i="95" s="1"/>
  <c r="B46" i="95"/>
  <c r="Z45" i="95"/>
  <c r="T45" i="95"/>
  <c r="P45" i="95"/>
  <c r="X45" i="95" s="1"/>
  <c r="N45" i="95"/>
  <c r="H45" i="95"/>
  <c r="D45" i="95"/>
  <c r="L45" i="95" s="1"/>
  <c r="B45" i="95"/>
  <c r="X44" i="95"/>
  <c r="Z44" i="95" s="1"/>
  <c r="L44" i="95"/>
  <c r="N44" i="95" s="1"/>
  <c r="B44" i="95"/>
  <c r="X43" i="95"/>
  <c r="Z43" i="95" s="1"/>
  <c r="T43" i="95"/>
  <c r="P43" i="95"/>
  <c r="N43" i="95"/>
  <c r="L43" i="95"/>
  <c r="H43" i="95"/>
  <c r="D43" i="95"/>
  <c r="B43" i="95"/>
  <c r="X42" i="95"/>
  <c r="Z42" i="95" s="1"/>
  <c r="L42" i="95"/>
  <c r="N42" i="95" s="1"/>
  <c r="F42" i="95"/>
  <c r="B42" i="95"/>
  <c r="T41" i="95"/>
  <c r="P41" i="95"/>
  <c r="N41" i="95"/>
  <c r="L41" i="95"/>
  <c r="H41" i="95"/>
  <c r="D41" i="95"/>
  <c r="B41" i="95"/>
  <c r="X40" i="95"/>
  <c r="Z40" i="95" s="1"/>
  <c r="L40" i="95"/>
  <c r="N40" i="95" s="1"/>
  <c r="B40" i="95"/>
  <c r="T39" i="95"/>
  <c r="P39" i="95"/>
  <c r="X39" i="95" s="1"/>
  <c r="Z39" i="95" s="1"/>
  <c r="N39" i="95"/>
  <c r="H39" i="95"/>
  <c r="F39" i="95"/>
  <c r="D39" i="95"/>
  <c r="L39" i="95" s="1"/>
  <c r="B39" i="95"/>
  <c r="Z38" i="95"/>
  <c r="X38" i="95"/>
  <c r="L38" i="95"/>
  <c r="N38" i="95" s="1"/>
  <c r="B38" i="95"/>
  <c r="Z37" i="95"/>
  <c r="X37" i="95"/>
  <c r="N37" i="95"/>
  <c r="L37" i="95"/>
  <c r="F37" i="95"/>
  <c r="B37" i="95"/>
  <c r="Z36" i="95"/>
  <c r="X36" i="95"/>
  <c r="N36" i="95"/>
  <c r="L36" i="95"/>
  <c r="B36" i="95"/>
  <c r="X35" i="95"/>
  <c r="Z35" i="95" s="1"/>
  <c r="N35" i="95"/>
  <c r="L35" i="95"/>
  <c r="B35" i="95"/>
  <c r="Z34" i="95"/>
  <c r="X34" i="95"/>
  <c r="N34" i="95"/>
  <c r="L34" i="95"/>
  <c r="B34" i="95"/>
  <c r="Z33" i="95"/>
  <c r="X33" i="95"/>
  <c r="N33" i="95"/>
  <c r="L33" i="95"/>
  <c r="F33" i="95"/>
  <c r="B33" i="95"/>
  <c r="T32" i="95"/>
  <c r="P32" i="95"/>
  <c r="H32" i="95"/>
  <c r="D32" i="95"/>
  <c r="L32" i="95" s="1"/>
  <c r="N32" i="95" s="1"/>
  <c r="B32" i="95"/>
  <c r="X31" i="95"/>
  <c r="Z31" i="95" s="1"/>
  <c r="N31" i="95"/>
  <c r="L31" i="95"/>
  <c r="B31" i="95"/>
  <c r="X30" i="95"/>
  <c r="Z30" i="95" s="1"/>
  <c r="L30" i="95"/>
  <c r="N30" i="95" s="1"/>
  <c r="B30" i="95"/>
  <c r="Z29" i="95"/>
  <c r="X29" i="95"/>
  <c r="N29" i="95"/>
  <c r="L29" i="95"/>
  <c r="B29" i="95"/>
  <c r="X28" i="95"/>
  <c r="Z28" i="95" s="1"/>
  <c r="L28" i="95"/>
  <c r="N28" i="95" s="1"/>
  <c r="B28" i="95"/>
  <c r="X27" i="95"/>
  <c r="Z27" i="95" s="1"/>
  <c r="N27" i="95"/>
  <c r="L27" i="95"/>
  <c r="B27" i="95"/>
  <c r="X26" i="95"/>
  <c r="Z26" i="95" s="1"/>
  <c r="L26" i="95"/>
  <c r="N26" i="95" s="1"/>
  <c r="B26" i="95"/>
  <c r="Z25" i="95"/>
  <c r="X25" i="95"/>
  <c r="N25" i="95"/>
  <c r="L25" i="95"/>
  <c r="B25" i="95"/>
  <c r="X24" i="95"/>
  <c r="Z24" i="95" s="1"/>
  <c r="L24" i="95"/>
  <c r="N24" i="95" s="1"/>
  <c r="B24" i="95"/>
  <c r="X23" i="95"/>
  <c r="T23" i="95"/>
  <c r="P23" i="95"/>
  <c r="H23" i="95"/>
  <c r="F23" i="95"/>
  <c r="D23" i="95"/>
  <c r="B23" i="95"/>
  <c r="Z22" i="95"/>
  <c r="T22" i="95"/>
  <c r="X22" i="95" s="1"/>
  <c r="P22" i="95"/>
  <c r="H22" i="95"/>
  <c r="D22" i="95"/>
  <c r="L22" i="95" s="1"/>
  <c r="Z18" i="95"/>
  <c r="X18" i="95"/>
  <c r="L18" i="95"/>
  <c r="N18" i="95" s="1"/>
  <c r="B18" i="95"/>
  <c r="Z17" i="95"/>
  <c r="X17" i="95"/>
  <c r="N17" i="95"/>
  <c r="L17" i="95"/>
  <c r="B17" i="95"/>
  <c r="T16" i="95"/>
  <c r="P16" i="95"/>
  <c r="H16" i="95"/>
  <c r="D16" i="95"/>
  <c r="T14" i="95"/>
  <c r="P14" i="95"/>
  <c r="H14" i="95"/>
  <c r="D14" i="95"/>
  <c r="D12" i="95" s="1"/>
  <c r="F75" i="95" s="1"/>
  <c r="B14" i="95"/>
  <c r="T13" i="95"/>
  <c r="X13" i="95" s="1"/>
  <c r="P13" i="95"/>
  <c r="H13" i="95"/>
  <c r="D13" i="95"/>
  <c r="B13" i="95"/>
  <c r="T12" i="95"/>
  <c r="D6" i="95"/>
  <c r="D4" i="95"/>
  <c r="X69" i="94"/>
  <c r="Z69" i="94" s="1"/>
  <c r="N69" i="94"/>
  <c r="L69" i="94"/>
  <c r="T65" i="94"/>
  <c r="P65" i="94"/>
  <c r="P64" i="94" s="1"/>
  <c r="H65" i="94"/>
  <c r="H64" i="94" s="1"/>
  <c r="D65" i="94"/>
  <c r="D64" i="94" s="1"/>
  <c r="B65" i="94"/>
  <c r="R64" i="94"/>
  <c r="N64" i="94"/>
  <c r="L64" i="94"/>
  <c r="X62" i="94"/>
  <c r="Z62" i="94" s="1"/>
  <c r="L62" i="94"/>
  <c r="N62" i="94" s="1"/>
  <c r="B62" i="94"/>
  <c r="T61" i="94"/>
  <c r="P61" i="94"/>
  <c r="X61" i="94" s="1"/>
  <c r="Z61" i="94" s="1"/>
  <c r="H61" i="94"/>
  <c r="D61" i="94"/>
  <c r="L61" i="94" s="1"/>
  <c r="B61" i="94"/>
  <c r="Z60" i="94"/>
  <c r="X60" i="94"/>
  <c r="N60" i="94"/>
  <c r="L60" i="94"/>
  <c r="B60" i="94"/>
  <c r="Z59" i="94"/>
  <c r="X59" i="94"/>
  <c r="N59" i="94"/>
  <c r="L59" i="94"/>
  <c r="B59" i="94"/>
  <c r="Z58" i="94"/>
  <c r="X58" i="94"/>
  <c r="L58" i="94"/>
  <c r="N58" i="94" s="1"/>
  <c r="B58" i="94"/>
  <c r="Z57" i="94"/>
  <c r="X57" i="94"/>
  <c r="L57" i="94"/>
  <c r="N57" i="94" s="1"/>
  <c r="B57" i="94"/>
  <c r="Z56" i="94"/>
  <c r="X56" i="94"/>
  <c r="N56" i="94"/>
  <c r="L56" i="94"/>
  <c r="B56" i="94"/>
  <c r="T55" i="94"/>
  <c r="X55" i="94" s="1"/>
  <c r="Z55" i="94" s="1"/>
  <c r="P55" i="94"/>
  <c r="H55" i="94"/>
  <c r="D55" i="94"/>
  <c r="L55" i="94" s="1"/>
  <c r="N55" i="94" s="1"/>
  <c r="B55" i="94"/>
  <c r="Z54" i="94"/>
  <c r="X54" i="94"/>
  <c r="L54" i="94"/>
  <c r="N54" i="94" s="1"/>
  <c r="B54" i="94"/>
  <c r="Z53" i="94"/>
  <c r="X53" i="94"/>
  <c r="N53" i="94"/>
  <c r="L53" i="94"/>
  <c r="B53" i="94"/>
  <c r="T52" i="94"/>
  <c r="P52" i="94"/>
  <c r="H52" i="94"/>
  <c r="D52" i="94"/>
  <c r="L52" i="94" s="1"/>
  <c r="N52" i="94" s="1"/>
  <c r="B52" i="94"/>
  <c r="X51" i="94"/>
  <c r="Z51" i="94" s="1"/>
  <c r="N51" i="94"/>
  <c r="L51" i="94"/>
  <c r="B51" i="94"/>
  <c r="X50" i="94"/>
  <c r="Z50" i="94" s="1"/>
  <c r="N50" i="94"/>
  <c r="L50" i="94"/>
  <c r="B50" i="94"/>
  <c r="Z49" i="94"/>
  <c r="X49" i="94"/>
  <c r="N49" i="94"/>
  <c r="L49" i="94"/>
  <c r="B49" i="94"/>
  <c r="X48" i="94"/>
  <c r="T48" i="94"/>
  <c r="P48" i="94"/>
  <c r="N48" i="94"/>
  <c r="H48" i="94"/>
  <c r="D48" i="94"/>
  <c r="L48" i="94" s="1"/>
  <c r="B48" i="94"/>
  <c r="Z47" i="94"/>
  <c r="X47" i="94"/>
  <c r="N47" i="94"/>
  <c r="L47" i="94"/>
  <c r="B47" i="94"/>
  <c r="X46" i="94"/>
  <c r="T46" i="94"/>
  <c r="P46" i="94"/>
  <c r="H46" i="94"/>
  <c r="L46" i="94" s="1"/>
  <c r="D46" i="94"/>
  <c r="B46" i="94"/>
  <c r="X45" i="94"/>
  <c r="Z45" i="94" s="1"/>
  <c r="R45" i="94"/>
  <c r="N45" i="94"/>
  <c r="L45" i="94"/>
  <c r="B45" i="94"/>
  <c r="T44" i="94"/>
  <c r="P44" i="94"/>
  <c r="H44" i="94"/>
  <c r="D44" i="94"/>
  <c r="L44" i="94" s="1"/>
  <c r="N44" i="94" s="1"/>
  <c r="B44" i="94"/>
  <c r="X43" i="94"/>
  <c r="Z43" i="94" s="1"/>
  <c r="L43" i="94"/>
  <c r="N43" i="94" s="1"/>
  <c r="B43" i="94"/>
  <c r="T42" i="94"/>
  <c r="P42" i="94"/>
  <c r="H42" i="94"/>
  <c r="D42" i="94"/>
  <c r="B42" i="94"/>
  <c r="Z41" i="94"/>
  <c r="X41" i="94"/>
  <c r="L41" i="94"/>
  <c r="N41" i="94" s="1"/>
  <c r="B41" i="94"/>
  <c r="X40" i="94"/>
  <c r="T40" i="94"/>
  <c r="P40" i="94"/>
  <c r="H40" i="94"/>
  <c r="D40" i="94"/>
  <c r="L40" i="94" s="1"/>
  <c r="N40" i="94" s="1"/>
  <c r="B40" i="94"/>
  <c r="Z39" i="94"/>
  <c r="X39" i="94"/>
  <c r="N39" i="94"/>
  <c r="L39" i="94"/>
  <c r="B39" i="94"/>
  <c r="T38" i="94"/>
  <c r="P38" i="94"/>
  <c r="L38" i="94"/>
  <c r="N38" i="94" s="1"/>
  <c r="H38" i="94"/>
  <c r="D38" i="94"/>
  <c r="B38" i="94"/>
  <c r="Z37" i="94"/>
  <c r="X37" i="94"/>
  <c r="N37" i="94"/>
  <c r="L37" i="94"/>
  <c r="B37" i="94"/>
  <c r="Z36" i="94"/>
  <c r="X36" i="94"/>
  <c r="L36" i="94"/>
  <c r="N36" i="94" s="1"/>
  <c r="B36" i="94"/>
  <c r="Z35" i="94"/>
  <c r="X35" i="94"/>
  <c r="L35" i="94"/>
  <c r="N35" i="94" s="1"/>
  <c r="B35" i="94"/>
  <c r="Z34" i="94"/>
  <c r="X34" i="94"/>
  <c r="N34" i="94"/>
  <c r="L34" i="94"/>
  <c r="B34" i="94"/>
  <c r="Z33" i="94"/>
  <c r="X33" i="94"/>
  <c r="N33" i="94"/>
  <c r="L33" i="94"/>
  <c r="B33" i="94"/>
  <c r="T32" i="94"/>
  <c r="P32" i="94"/>
  <c r="X32" i="94" s="1"/>
  <c r="H32" i="94"/>
  <c r="D32" i="94"/>
  <c r="B32" i="94"/>
  <c r="X31" i="94"/>
  <c r="Z31" i="94" s="1"/>
  <c r="N31" i="94"/>
  <c r="L31" i="94"/>
  <c r="B31" i="94"/>
  <c r="Z30" i="94"/>
  <c r="X30" i="94"/>
  <c r="L30" i="94"/>
  <c r="N30" i="94" s="1"/>
  <c r="B30" i="94"/>
  <c r="Z29" i="94"/>
  <c r="X29" i="94"/>
  <c r="L29" i="94"/>
  <c r="N29" i="94" s="1"/>
  <c r="B29" i="94"/>
  <c r="X28" i="94"/>
  <c r="Z28" i="94" s="1"/>
  <c r="L28" i="94"/>
  <c r="N28" i="94" s="1"/>
  <c r="B28" i="94"/>
  <c r="X27" i="94"/>
  <c r="Z27" i="94" s="1"/>
  <c r="N27" i="94"/>
  <c r="L27" i="94"/>
  <c r="B27" i="94"/>
  <c r="Z26" i="94"/>
  <c r="X26" i="94"/>
  <c r="L26" i="94"/>
  <c r="N26" i="94" s="1"/>
  <c r="B26" i="94"/>
  <c r="Z25" i="94"/>
  <c r="X25" i="94"/>
  <c r="L25" i="94"/>
  <c r="N25" i="94" s="1"/>
  <c r="B25" i="94"/>
  <c r="X24" i="94"/>
  <c r="Z24" i="94" s="1"/>
  <c r="L24" i="94"/>
  <c r="N24" i="94" s="1"/>
  <c r="B24" i="94"/>
  <c r="T23" i="94"/>
  <c r="P23" i="94"/>
  <c r="X23" i="94" s="1"/>
  <c r="H23" i="94"/>
  <c r="D23" i="94"/>
  <c r="L23" i="94" s="1"/>
  <c r="N23" i="94" s="1"/>
  <c r="B23" i="94"/>
  <c r="T22" i="94"/>
  <c r="P22" i="94"/>
  <c r="L22" i="94"/>
  <c r="H22" i="94"/>
  <c r="N22" i="94" s="1"/>
  <c r="D22" i="94"/>
  <c r="X18" i="94"/>
  <c r="Z18" i="94" s="1"/>
  <c r="R18" i="94"/>
  <c r="L18" i="94"/>
  <c r="N18" i="94" s="1"/>
  <c r="B18" i="94"/>
  <c r="X17" i="94"/>
  <c r="Z17" i="94" s="1"/>
  <c r="N17" i="94"/>
  <c r="L17" i="94"/>
  <c r="B17" i="94"/>
  <c r="X16" i="94"/>
  <c r="T16" i="94"/>
  <c r="Z16" i="94" s="1"/>
  <c r="P16" i="94"/>
  <c r="H16" i="94"/>
  <c r="D16" i="94"/>
  <c r="X14" i="94"/>
  <c r="T14" i="94"/>
  <c r="Z14" i="94" s="1"/>
  <c r="P14" i="94"/>
  <c r="H14" i="94"/>
  <c r="D14" i="94"/>
  <c r="B14" i="94"/>
  <c r="Z13" i="94"/>
  <c r="T13" i="94"/>
  <c r="X13" i="94" s="1"/>
  <c r="P13" i="94"/>
  <c r="H13" i="94"/>
  <c r="H12" i="94" s="1"/>
  <c r="D13" i="94"/>
  <c r="L13" i="94" s="1"/>
  <c r="N13" i="94" s="1"/>
  <c r="B13" i="94"/>
  <c r="P12" i="94"/>
  <c r="R57" i="94" s="1"/>
  <c r="D6" i="94"/>
  <c r="D4" i="94"/>
  <c r="Z77" i="93"/>
  <c r="X77" i="93"/>
  <c r="L77" i="93"/>
  <c r="N77" i="93" s="1"/>
  <c r="X73" i="93"/>
  <c r="T73" i="93"/>
  <c r="Z73" i="93" s="1"/>
  <c r="P73" i="93"/>
  <c r="H73" i="93"/>
  <c r="N73" i="93" s="1"/>
  <c r="D73" i="93"/>
  <c r="X71" i="93"/>
  <c r="Z71" i="93" s="1"/>
  <c r="N71" i="93"/>
  <c r="L71" i="93"/>
  <c r="F71" i="93"/>
  <c r="B71" i="93"/>
  <c r="Z70" i="93"/>
  <c r="X70" i="93"/>
  <c r="T70" i="93"/>
  <c r="P70" i="93"/>
  <c r="N70" i="93"/>
  <c r="L70" i="93"/>
  <c r="H70" i="93"/>
  <c r="D70" i="93"/>
  <c r="B70" i="93"/>
  <c r="X69" i="93"/>
  <c r="Z69" i="93" s="1"/>
  <c r="N69" i="93"/>
  <c r="L69" i="93"/>
  <c r="B69" i="93"/>
  <c r="Z68" i="93"/>
  <c r="T68" i="93"/>
  <c r="X68" i="93" s="1"/>
  <c r="P68" i="93"/>
  <c r="H68" i="93"/>
  <c r="L68" i="93" s="1"/>
  <c r="N68" i="93" s="1"/>
  <c r="D68" i="93"/>
  <c r="B68" i="93"/>
  <c r="X67" i="93"/>
  <c r="Z67" i="93" s="1"/>
  <c r="L67" i="93"/>
  <c r="N67" i="93" s="1"/>
  <c r="B67" i="93"/>
  <c r="Z66" i="93"/>
  <c r="X66" i="93"/>
  <c r="N66" i="93"/>
  <c r="L66" i="93"/>
  <c r="B66" i="93"/>
  <c r="Z65" i="93"/>
  <c r="X65" i="93"/>
  <c r="L65" i="93"/>
  <c r="N65" i="93" s="1"/>
  <c r="F65" i="93"/>
  <c r="B65" i="93"/>
  <c r="Z64" i="93"/>
  <c r="X64" i="93"/>
  <c r="L64" i="93"/>
  <c r="N64" i="93" s="1"/>
  <c r="B64" i="93"/>
  <c r="X63" i="93"/>
  <c r="Z63" i="93" s="1"/>
  <c r="L63" i="93"/>
  <c r="N63" i="93" s="1"/>
  <c r="B63" i="93"/>
  <c r="Z62" i="93"/>
  <c r="X62" i="93"/>
  <c r="N62" i="93"/>
  <c r="L62" i="93"/>
  <c r="B62" i="93"/>
  <c r="Z61" i="93"/>
  <c r="X61" i="93"/>
  <c r="L61" i="93"/>
  <c r="N61" i="93" s="1"/>
  <c r="B61" i="93"/>
  <c r="T60" i="93"/>
  <c r="P60" i="93"/>
  <c r="X60" i="93" s="1"/>
  <c r="Z60" i="93" s="1"/>
  <c r="H60" i="93"/>
  <c r="F60" i="93"/>
  <c r="D60" i="93"/>
  <c r="L60" i="93" s="1"/>
  <c r="N60" i="93" s="1"/>
  <c r="B60" i="93"/>
  <c r="X59" i="93"/>
  <c r="Z59" i="93" s="1"/>
  <c r="N59" i="93"/>
  <c r="L59" i="93"/>
  <c r="B59" i="93"/>
  <c r="Z58" i="93"/>
  <c r="X58" i="93"/>
  <c r="N58" i="93"/>
  <c r="L58" i="93"/>
  <c r="B58" i="93"/>
  <c r="X57" i="93"/>
  <c r="Z57" i="93" s="1"/>
  <c r="L57" i="93"/>
  <c r="N57" i="93" s="1"/>
  <c r="B57" i="93"/>
  <c r="X56" i="93"/>
  <c r="Z56" i="93" s="1"/>
  <c r="T56" i="93"/>
  <c r="P56" i="93"/>
  <c r="N56" i="93"/>
  <c r="L56" i="93"/>
  <c r="H56" i="93"/>
  <c r="D56" i="93"/>
  <c r="B56" i="93"/>
  <c r="Z55" i="93"/>
  <c r="X55" i="93"/>
  <c r="N55" i="93"/>
  <c r="L55" i="93"/>
  <c r="B55" i="93"/>
  <c r="T54" i="93"/>
  <c r="X54" i="93" s="1"/>
  <c r="Z54" i="93" s="1"/>
  <c r="P54" i="93"/>
  <c r="N54" i="93"/>
  <c r="H54" i="93"/>
  <c r="L54" i="93" s="1"/>
  <c r="D54" i="93"/>
  <c r="B54" i="93"/>
  <c r="Z53" i="93"/>
  <c r="X53" i="93"/>
  <c r="N53" i="93"/>
  <c r="L53" i="93"/>
  <c r="B53" i="93"/>
  <c r="Z52" i="93"/>
  <c r="X52" i="93"/>
  <c r="N52" i="93"/>
  <c r="L52" i="93"/>
  <c r="B52" i="93"/>
  <c r="X51" i="93"/>
  <c r="T51" i="93"/>
  <c r="Z51" i="93" s="1"/>
  <c r="P51" i="93"/>
  <c r="N51" i="93"/>
  <c r="H51" i="93"/>
  <c r="D51" i="93"/>
  <c r="L51" i="93" s="1"/>
  <c r="B51" i="93"/>
  <c r="Z50" i="93"/>
  <c r="X50" i="93"/>
  <c r="N50" i="93"/>
  <c r="L50" i="93"/>
  <c r="B50" i="93"/>
  <c r="T49" i="93"/>
  <c r="P49" i="93"/>
  <c r="L49" i="93"/>
  <c r="H49" i="93"/>
  <c r="N49" i="93" s="1"/>
  <c r="D49" i="93"/>
  <c r="B49" i="93"/>
  <c r="Z48" i="93"/>
  <c r="X48" i="93"/>
  <c r="N48" i="93"/>
  <c r="L48" i="93"/>
  <c r="B48" i="93"/>
  <c r="T47" i="93"/>
  <c r="P47" i="93"/>
  <c r="X47" i="93" s="1"/>
  <c r="L47" i="93"/>
  <c r="H47" i="93"/>
  <c r="N47" i="93" s="1"/>
  <c r="D47" i="93"/>
  <c r="B47" i="93"/>
  <c r="Z46" i="93"/>
  <c r="X46" i="93"/>
  <c r="N46" i="93"/>
  <c r="L46" i="93"/>
  <c r="B46" i="93"/>
  <c r="T45" i="93"/>
  <c r="P45" i="93"/>
  <c r="X45" i="93" s="1"/>
  <c r="Z45" i="93" s="1"/>
  <c r="L45" i="93"/>
  <c r="H45" i="93"/>
  <c r="N45" i="93" s="1"/>
  <c r="D45" i="93"/>
  <c r="B45" i="93"/>
  <c r="X44" i="93"/>
  <c r="Z44" i="93" s="1"/>
  <c r="N44" i="93"/>
  <c r="L44" i="93"/>
  <c r="B44" i="93"/>
  <c r="X43" i="93"/>
  <c r="T43" i="93"/>
  <c r="Z43" i="93" s="1"/>
  <c r="P43" i="93"/>
  <c r="H43" i="93"/>
  <c r="D43" i="93"/>
  <c r="B43" i="93"/>
  <c r="Z42" i="93"/>
  <c r="X42" i="93"/>
  <c r="N42" i="93"/>
  <c r="L42" i="93"/>
  <c r="B42" i="93"/>
  <c r="X41" i="93"/>
  <c r="T41" i="93"/>
  <c r="Z41" i="93" s="1"/>
  <c r="P41" i="93"/>
  <c r="H41" i="93"/>
  <c r="D41" i="93"/>
  <c r="B41" i="93"/>
  <c r="Z40" i="93"/>
  <c r="X40" i="93"/>
  <c r="L40" i="93"/>
  <c r="N40" i="93" s="1"/>
  <c r="B40" i="93"/>
  <c r="X39" i="93"/>
  <c r="T39" i="93"/>
  <c r="P39" i="93"/>
  <c r="H39" i="93"/>
  <c r="D39" i="93"/>
  <c r="L39" i="93" s="1"/>
  <c r="N39" i="93" s="1"/>
  <c r="B39" i="93"/>
  <c r="Z38" i="93"/>
  <c r="X38" i="93"/>
  <c r="N38" i="93"/>
  <c r="L38" i="93"/>
  <c r="B38" i="93"/>
  <c r="X37" i="93"/>
  <c r="Z37" i="93" s="1"/>
  <c r="L37" i="93"/>
  <c r="N37" i="93" s="1"/>
  <c r="F37" i="93"/>
  <c r="B37" i="93"/>
  <c r="X36" i="93"/>
  <c r="Z36" i="93" s="1"/>
  <c r="N36" i="93"/>
  <c r="L36" i="93"/>
  <c r="B36" i="93"/>
  <c r="X35" i="93"/>
  <c r="Z35" i="93" s="1"/>
  <c r="N35" i="93"/>
  <c r="L35" i="93"/>
  <c r="B35" i="93"/>
  <c r="Z34" i="93"/>
  <c r="X34" i="93"/>
  <c r="N34" i="93"/>
  <c r="L34" i="93"/>
  <c r="B34" i="93"/>
  <c r="X33" i="93"/>
  <c r="Z33" i="93" s="1"/>
  <c r="L33" i="93"/>
  <c r="N33" i="93" s="1"/>
  <c r="F33" i="93"/>
  <c r="B33" i="93"/>
  <c r="X32" i="93"/>
  <c r="Z32" i="93" s="1"/>
  <c r="T32" i="93"/>
  <c r="P32" i="93"/>
  <c r="H32" i="93"/>
  <c r="D32" i="93"/>
  <c r="L32" i="93" s="1"/>
  <c r="N32" i="93" s="1"/>
  <c r="B32" i="93"/>
  <c r="Z31" i="93"/>
  <c r="X31" i="93"/>
  <c r="L31" i="93"/>
  <c r="N31" i="93" s="1"/>
  <c r="B31" i="93"/>
  <c r="Z30" i="93"/>
  <c r="X30" i="93"/>
  <c r="N30" i="93"/>
  <c r="L30" i="93"/>
  <c r="B30" i="93"/>
  <c r="X29" i="93"/>
  <c r="Z29" i="93" s="1"/>
  <c r="N29" i="93"/>
  <c r="L29" i="93"/>
  <c r="B29" i="93"/>
  <c r="Z28" i="93"/>
  <c r="X28" i="93"/>
  <c r="N28" i="93"/>
  <c r="L28" i="93"/>
  <c r="B28" i="93"/>
  <c r="Z27" i="93"/>
  <c r="X27" i="93"/>
  <c r="L27" i="93"/>
  <c r="N27" i="93" s="1"/>
  <c r="B27" i="93"/>
  <c r="Z26" i="93"/>
  <c r="X26" i="93"/>
  <c r="N26" i="93"/>
  <c r="L26" i="93"/>
  <c r="B26" i="93"/>
  <c r="X25" i="93"/>
  <c r="Z25" i="93" s="1"/>
  <c r="N25" i="93"/>
  <c r="L25" i="93"/>
  <c r="B25" i="93"/>
  <c r="Z24" i="93"/>
  <c r="X24" i="93"/>
  <c r="N24" i="93"/>
  <c r="L24" i="93"/>
  <c r="B24" i="93"/>
  <c r="T23" i="93"/>
  <c r="P23" i="93"/>
  <c r="H23" i="93"/>
  <c r="D23" i="93"/>
  <c r="B23" i="93"/>
  <c r="T22" i="93"/>
  <c r="P22" i="93"/>
  <c r="X22" i="93" s="1"/>
  <c r="H22" i="93"/>
  <c r="D22" i="93"/>
  <c r="Z18" i="93"/>
  <c r="X18" i="93"/>
  <c r="V18" i="93"/>
  <c r="N18" i="93"/>
  <c r="L18" i="93"/>
  <c r="B18" i="93"/>
  <c r="Z17" i="93"/>
  <c r="T17" i="93"/>
  <c r="P17" i="93"/>
  <c r="X17" i="93" s="1"/>
  <c r="H17" i="93"/>
  <c r="D17" i="93"/>
  <c r="L17" i="93" s="1"/>
  <c r="T15" i="93"/>
  <c r="P15" i="93"/>
  <c r="X15" i="93" s="1"/>
  <c r="Z15" i="93" s="1"/>
  <c r="L15" i="93"/>
  <c r="H15" i="93"/>
  <c r="N15" i="93" s="1"/>
  <c r="D15" i="93"/>
  <c r="B15" i="93"/>
  <c r="T14" i="93"/>
  <c r="P14" i="93"/>
  <c r="X14" i="93" s="1"/>
  <c r="Z14" i="93" s="1"/>
  <c r="L14" i="93"/>
  <c r="H14" i="93"/>
  <c r="N14" i="93" s="1"/>
  <c r="D14" i="93"/>
  <c r="B14" i="93"/>
  <c r="X13" i="93"/>
  <c r="T13" i="93"/>
  <c r="P13" i="93"/>
  <c r="H13" i="93"/>
  <c r="D13" i="93"/>
  <c r="D12" i="93" s="1"/>
  <c r="F70" i="93" s="1"/>
  <c r="B13" i="93"/>
  <c r="T12" i="93"/>
  <c r="D6" i="93"/>
  <c r="D4" i="93"/>
  <c r="R93" i="92"/>
  <c r="Z91" i="92"/>
  <c r="X91" i="92"/>
  <c r="N91" i="92"/>
  <c r="L91" i="92"/>
  <c r="F91" i="92"/>
  <c r="T87" i="92"/>
  <c r="P87" i="92"/>
  <c r="X87" i="92" s="1"/>
  <c r="Z87" i="92" s="1"/>
  <c r="J87" i="92"/>
  <c r="H87" i="92"/>
  <c r="N87" i="92" s="1"/>
  <c r="D87" i="92"/>
  <c r="L87" i="92" s="1"/>
  <c r="B87" i="92"/>
  <c r="X86" i="92"/>
  <c r="T86" i="92"/>
  <c r="P86" i="92"/>
  <c r="H86" i="92"/>
  <c r="F86" i="92"/>
  <c r="D86" i="92"/>
  <c r="B86" i="92"/>
  <c r="T85" i="92"/>
  <c r="X83" i="92"/>
  <c r="Z83" i="92" s="1"/>
  <c r="R83" i="92"/>
  <c r="N83" i="92"/>
  <c r="L83" i="92"/>
  <c r="B83" i="92"/>
  <c r="X82" i="92"/>
  <c r="Z82" i="92" s="1"/>
  <c r="T82" i="92"/>
  <c r="P82" i="92"/>
  <c r="H82" i="92"/>
  <c r="N82" i="92" s="1"/>
  <c r="D82" i="92"/>
  <c r="L82" i="92" s="1"/>
  <c r="B82" i="92"/>
  <c r="Z81" i="92"/>
  <c r="X81" i="92"/>
  <c r="L81" i="92"/>
  <c r="N81" i="92" s="1"/>
  <c r="B81" i="92"/>
  <c r="Z80" i="92"/>
  <c r="X80" i="92"/>
  <c r="N80" i="92"/>
  <c r="L80" i="92"/>
  <c r="B80" i="92"/>
  <c r="Z79" i="92"/>
  <c r="X79" i="92"/>
  <c r="L79" i="92"/>
  <c r="N79" i="92" s="1"/>
  <c r="B79" i="92"/>
  <c r="Z78" i="92"/>
  <c r="V78" i="92"/>
  <c r="T78" i="92"/>
  <c r="P78" i="92"/>
  <c r="X78" i="92" s="1"/>
  <c r="H78" i="92"/>
  <c r="D78" i="92"/>
  <c r="L78" i="92" s="1"/>
  <c r="B78" i="92"/>
  <c r="Z77" i="92"/>
  <c r="X77" i="92"/>
  <c r="N77" i="92"/>
  <c r="L77" i="92"/>
  <c r="J77" i="92"/>
  <c r="F77" i="92"/>
  <c r="B77" i="92"/>
  <c r="X76" i="92"/>
  <c r="T76" i="92"/>
  <c r="Z76" i="92" s="1"/>
  <c r="P76" i="92"/>
  <c r="H76" i="92"/>
  <c r="N76" i="92" s="1"/>
  <c r="D76" i="92"/>
  <c r="L76" i="92" s="1"/>
  <c r="B76" i="92"/>
  <c r="Z75" i="92"/>
  <c r="X75" i="92"/>
  <c r="N75" i="92"/>
  <c r="L75" i="92"/>
  <c r="B75" i="92"/>
  <c r="X74" i="92"/>
  <c r="Z74" i="92" s="1"/>
  <c r="T74" i="92"/>
  <c r="P74" i="92"/>
  <c r="N74" i="92"/>
  <c r="H74" i="92"/>
  <c r="D74" i="92"/>
  <c r="L74" i="92" s="1"/>
  <c r="B74" i="92"/>
  <c r="Z73" i="92"/>
  <c r="X73" i="92"/>
  <c r="N73" i="92"/>
  <c r="L73" i="92"/>
  <c r="B73" i="92"/>
  <c r="X72" i="92"/>
  <c r="Z72" i="92" s="1"/>
  <c r="V72" i="92"/>
  <c r="N72" i="92"/>
  <c r="L72" i="92"/>
  <c r="B72" i="92"/>
  <c r="Z71" i="92"/>
  <c r="X71" i="92"/>
  <c r="L71" i="92"/>
  <c r="N71" i="92" s="1"/>
  <c r="J71" i="92"/>
  <c r="B71" i="92"/>
  <c r="Z70" i="92"/>
  <c r="X70" i="92"/>
  <c r="L70" i="92"/>
  <c r="N70" i="92" s="1"/>
  <c r="B70" i="92"/>
  <c r="Z69" i="92"/>
  <c r="X69" i="92"/>
  <c r="L69" i="92"/>
  <c r="N69" i="92" s="1"/>
  <c r="B69" i="92"/>
  <c r="X68" i="92"/>
  <c r="Z68" i="92" s="1"/>
  <c r="L68" i="92"/>
  <c r="N68" i="92" s="1"/>
  <c r="B68" i="92"/>
  <c r="Z67" i="92"/>
  <c r="X67" i="92"/>
  <c r="V67" i="92"/>
  <c r="R67" i="92"/>
  <c r="N67" i="92"/>
  <c r="L67" i="92"/>
  <c r="B67" i="92"/>
  <c r="X66" i="92"/>
  <c r="T66" i="92"/>
  <c r="Z66" i="92" s="1"/>
  <c r="P66" i="92"/>
  <c r="J66" i="92"/>
  <c r="H66" i="92"/>
  <c r="D66" i="92"/>
  <c r="B66" i="92"/>
  <c r="Z65" i="92"/>
  <c r="X65" i="92"/>
  <c r="L65" i="92"/>
  <c r="N65" i="92" s="1"/>
  <c r="B65" i="92"/>
  <c r="X64" i="92"/>
  <c r="Z64" i="92" s="1"/>
  <c r="V64" i="92"/>
  <c r="L64" i="92"/>
  <c r="N64" i="92" s="1"/>
  <c r="B64" i="92"/>
  <c r="X63" i="92"/>
  <c r="Z63" i="92" s="1"/>
  <c r="L63" i="92"/>
  <c r="N63" i="92" s="1"/>
  <c r="J63" i="92"/>
  <c r="F63" i="92"/>
  <c r="B63" i="92"/>
  <c r="X62" i="92"/>
  <c r="Z62" i="92" s="1"/>
  <c r="V62" i="92"/>
  <c r="N62" i="92"/>
  <c r="L62" i="92"/>
  <c r="B62" i="92"/>
  <c r="X61" i="92"/>
  <c r="Z61" i="92" s="1"/>
  <c r="V61" i="92"/>
  <c r="N61" i="92"/>
  <c r="L61" i="92"/>
  <c r="F61" i="92"/>
  <c r="B61" i="92"/>
  <c r="X60" i="92"/>
  <c r="T60" i="92"/>
  <c r="P60" i="92"/>
  <c r="J60" i="92"/>
  <c r="H60" i="92"/>
  <c r="D60" i="92"/>
  <c r="B60" i="92"/>
  <c r="X59" i="92"/>
  <c r="Z59" i="92" s="1"/>
  <c r="N59" i="92"/>
  <c r="L59" i="92"/>
  <c r="F59" i="92"/>
  <c r="B59" i="92"/>
  <c r="X58" i="92"/>
  <c r="Z58" i="92" s="1"/>
  <c r="L58" i="92"/>
  <c r="N58" i="92" s="1"/>
  <c r="B58" i="92"/>
  <c r="X57" i="92"/>
  <c r="Z57" i="92" s="1"/>
  <c r="V57" i="92"/>
  <c r="R57" i="92"/>
  <c r="N57" i="92"/>
  <c r="L57" i="92"/>
  <c r="B57" i="92"/>
  <c r="T56" i="92"/>
  <c r="P56" i="92"/>
  <c r="X56" i="92" s="1"/>
  <c r="H56" i="92"/>
  <c r="F56" i="92"/>
  <c r="D56" i="92"/>
  <c r="L56" i="92" s="1"/>
  <c r="N56" i="92" s="1"/>
  <c r="B56" i="92"/>
  <c r="Z55" i="92"/>
  <c r="X55" i="92"/>
  <c r="N55" i="92"/>
  <c r="L55" i="92"/>
  <c r="J55" i="92"/>
  <c r="B55" i="92"/>
  <c r="Z54" i="92"/>
  <c r="T54" i="92"/>
  <c r="P54" i="92"/>
  <c r="X54" i="92" s="1"/>
  <c r="J54" i="92"/>
  <c r="H54" i="92"/>
  <c r="D54" i="92"/>
  <c r="B54" i="92"/>
  <c r="X53" i="92"/>
  <c r="Z53" i="92" s="1"/>
  <c r="N53" i="92"/>
  <c r="L53" i="92"/>
  <c r="F53" i="92"/>
  <c r="B53" i="92"/>
  <c r="X52" i="92"/>
  <c r="V52" i="92"/>
  <c r="T52" i="92"/>
  <c r="Z52" i="92" s="1"/>
  <c r="P52" i="92"/>
  <c r="H52" i="92"/>
  <c r="N52" i="92" s="1"/>
  <c r="F52" i="92"/>
  <c r="D52" i="92"/>
  <c r="L52" i="92" s="1"/>
  <c r="B52" i="92"/>
  <c r="Z51" i="92"/>
  <c r="X51" i="92"/>
  <c r="N51" i="92"/>
  <c r="L51" i="92"/>
  <c r="B51" i="92"/>
  <c r="Z50" i="92"/>
  <c r="X50" i="92"/>
  <c r="T50" i="92"/>
  <c r="P50" i="92"/>
  <c r="N50" i="92"/>
  <c r="H50" i="92"/>
  <c r="D50" i="92"/>
  <c r="L50" i="92" s="1"/>
  <c r="B50" i="92"/>
  <c r="Z49" i="92"/>
  <c r="X49" i="92"/>
  <c r="L49" i="92"/>
  <c r="N49" i="92" s="1"/>
  <c r="B49" i="92"/>
  <c r="V48" i="92"/>
  <c r="T48" i="92"/>
  <c r="P48" i="92"/>
  <c r="H48" i="92"/>
  <c r="D48" i="92"/>
  <c r="L48" i="92" s="1"/>
  <c r="N48" i="92" s="1"/>
  <c r="B48" i="92"/>
  <c r="X47" i="92"/>
  <c r="Z47" i="92" s="1"/>
  <c r="V47" i="92"/>
  <c r="L47" i="92"/>
  <c r="N47" i="92" s="1"/>
  <c r="F47" i="92"/>
  <c r="B47" i="92"/>
  <c r="T46" i="92"/>
  <c r="Z46" i="92" s="1"/>
  <c r="R46" i="92"/>
  <c r="P46" i="92"/>
  <c r="X46" i="92" s="1"/>
  <c r="L46" i="92"/>
  <c r="H46" i="92"/>
  <c r="N46" i="92" s="1"/>
  <c r="F46" i="92"/>
  <c r="D46" i="92"/>
  <c r="B46" i="92"/>
  <c r="Z45" i="92"/>
  <c r="X45" i="92"/>
  <c r="V45" i="92"/>
  <c r="R45" i="92"/>
  <c r="N45" i="92"/>
  <c r="L45" i="92"/>
  <c r="F45" i="92"/>
  <c r="B45" i="92"/>
  <c r="T44" i="92"/>
  <c r="P44" i="92"/>
  <c r="X44" i="92" s="1"/>
  <c r="Z44" i="92" s="1"/>
  <c r="N44" i="92"/>
  <c r="L44" i="92"/>
  <c r="H44" i="92"/>
  <c r="F44" i="92"/>
  <c r="D44" i="92"/>
  <c r="B44" i="92"/>
  <c r="X43" i="92"/>
  <c r="Z43" i="92" s="1"/>
  <c r="N43" i="92"/>
  <c r="L43" i="92"/>
  <c r="J43" i="92"/>
  <c r="B43" i="92"/>
  <c r="V42" i="92"/>
  <c r="T42" i="92"/>
  <c r="P42" i="92"/>
  <c r="X42" i="92" s="1"/>
  <c r="Z42" i="92" s="1"/>
  <c r="J42" i="92"/>
  <c r="H42" i="92"/>
  <c r="D42" i="92"/>
  <c r="B42" i="92"/>
  <c r="X41" i="92"/>
  <c r="Z41" i="92" s="1"/>
  <c r="N41" i="92"/>
  <c r="L41" i="92"/>
  <c r="F41" i="92"/>
  <c r="B41" i="92"/>
  <c r="X40" i="92"/>
  <c r="Z40" i="92" s="1"/>
  <c r="V40" i="92"/>
  <c r="N40" i="92"/>
  <c r="L40" i="92"/>
  <c r="F40" i="92"/>
  <c r="B40" i="92"/>
  <c r="X39" i="92"/>
  <c r="Z39" i="92" s="1"/>
  <c r="V39" i="92"/>
  <c r="L39" i="92"/>
  <c r="N39" i="92" s="1"/>
  <c r="F39" i="92"/>
  <c r="B39" i="92"/>
  <c r="V38" i="92"/>
  <c r="T38" i="92"/>
  <c r="Z38" i="92" s="1"/>
  <c r="R38" i="92"/>
  <c r="P38" i="92"/>
  <c r="X38" i="92" s="1"/>
  <c r="L38" i="92"/>
  <c r="H38" i="92"/>
  <c r="N38" i="92" s="1"/>
  <c r="F38" i="92"/>
  <c r="D38" i="92"/>
  <c r="B38" i="92"/>
  <c r="X37" i="92"/>
  <c r="Z37" i="92" s="1"/>
  <c r="V37" i="92"/>
  <c r="R37" i="92"/>
  <c r="N37" i="92"/>
  <c r="L37" i="92"/>
  <c r="F37" i="92"/>
  <c r="B37" i="92"/>
  <c r="T36" i="92"/>
  <c r="P36" i="92"/>
  <c r="X36" i="92" s="1"/>
  <c r="Z36" i="92" s="1"/>
  <c r="L36" i="92"/>
  <c r="N36" i="92" s="1"/>
  <c r="H36" i="92"/>
  <c r="F36" i="92"/>
  <c r="D36" i="92"/>
  <c r="B36" i="92"/>
  <c r="X35" i="92"/>
  <c r="Z35" i="92" s="1"/>
  <c r="V35" i="92"/>
  <c r="N35" i="92"/>
  <c r="L35" i="92"/>
  <c r="J35" i="92"/>
  <c r="B35" i="92"/>
  <c r="Z34" i="92"/>
  <c r="X34" i="92"/>
  <c r="V34" i="92"/>
  <c r="L34" i="92"/>
  <c r="N34" i="92" s="1"/>
  <c r="F34" i="92"/>
  <c r="B34" i="92"/>
  <c r="Z33" i="92"/>
  <c r="X33" i="92"/>
  <c r="V33" i="92"/>
  <c r="L33" i="92"/>
  <c r="N33" i="92" s="1"/>
  <c r="F33" i="92"/>
  <c r="B33" i="92"/>
  <c r="X32" i="92"/>
  <c r="Z32" i="92" s="1"/>
  <c r="V32" i="92"/>
  <c r="R32" i="92"/>
  <c r="L32" i="92"/>
  <c r="N32" i="92" s="1"/>
  <c r="F32" i="92"/>
  <c r="B32" i="92"/>
  <c r="X31" i="92"/>
  <c r="Z31" i="92" s="1"/>
  <c r="V31" i="92"/>
  <c r="L31" i="92"/>
  <c r="N31" i="92" s="1"/>
  <c r="J31" i="92"/>
  <c r="B31" i="92"/>
  <c r="Z30" i="92"/>
  <c r="X30" i="92"/>
  <c r="V30" i="92"/>
  <c r="L30" i="92"/>
  <c r="N30" i="92" s="1"/>
  <c r="F30" i="92"/>
  <c r="B30" i="92"/>
  <c r="V29" i="92"/>
  <c r="T29" i="92"/>
  <c r="P29" i="92"/>
  <c r="X29" i="92" s="1"/>
  <c r="Z29" i="92" s="1"/>
  <c r="H29" i="92"/>
  <c r="N29" i="92" s="1"/>
  <c r="F29" i="92"/>
  <c r="D29" i="92"/>
  <c r="L29" i="92" s="1"/>
  <c r="B29" i="92"/>
  <c r="X28" i="92"/>
  <c r="Z28" i="92" s="1"/>
  <c r="V28" i="92"/>
  <c r="N28" i="92"/>
  <c r="L28" i="92"/>
  <c r="F28" i="92"/>
  <c r="B28" i="92"/>
  <c r="X27" i="92"/>
  <c r="Z27" i="92" s="1"/>
  <c r="V27" i="92"/>
  <c r="L27" i="92"/>
  <c r="N27" i="92" s="1"/>
  <c r="F27" i="92"/>
  <c r="B27" i="92"/>
  <c r="X26" i="92"/>
  <c r="Z26" i="92" s="1"/>
  <c r="V26" i="92"/>
  <c r="N26" i="92"/>
  <c r="L26" i="92"/>
  <c r="F26" i="92"/>
  <c r="B26" i="92"/>
  <c r="X25" i="92"/>
  <c r="Z25" i="92" s="1"/>
  <c r="L25" i="92"/>
  <c r="N25" i="92" s="1"/>
  <c r="F25" i="92"/>
  <c r="B25" i="92"/>
  <c r="X24" i="92"/>
  <c r="Z24" i="92" s="1"/>
  <c r="V24" i="92"/>
  <c r="N24" i="92"/>
  <c r="L24" i="92"/>
  <c r="F24" i="92"/>
  <c r="B24" i="92"/>
  <c r="X23" i="92"/>
  <c r="Z23" i="92" s="1"/>
  <c r="V23" i="92"/>
  <c r="L23" i="92"/>
  <c r="N23" i="92" s="1"/>
  <c r="F23" i="92"/>
  <c r="B23" i="92"/>
  <c r="X22" i="92"/>
  <c r="Z22" i="92" s="1"/>
  <c r="V22" i="92"/>
  <c r="L22" i="92"/>
  <c r="N22" i="92" s="1"/>
  <c r="F22" i="92"/>
  <c r="B22" i="92"/>
  <c r="X21" i="92"/>
  <c r="Z21" i="92" s="1"/>
  <c r="L21" i="92"/>
  <c r="N21" i="92" s="1"/>
  <c r="F21" i="92"/>
  <c r="B21" i="92"/>
  <c r="X20" i="92"/>
  <c r="Z20" i="92" s="1"/>
  <c r="V20" i="92"/>
  <c r="N20" i="92"/>
  <c r="L20" i="92"/>
  <c r="F20" i="92"/>
  <c r="B20" i="92"/>
  <c r="X19" i="92"/>
  <c r="Z19" i="92" s="1"/>
  <c r="V19" i="92"/>
  <c r="T19" i="92"/>
  <c r="P19" i="92"/>
  <c r="L19" i="92"/>
  <c r="N19" i="92" s="1"/>
  <c r="H19" i="92"/>
  <c r="F19" i="92"/>
  <c r="D19" i="92"/>
  <c r="B19" i="92"/>
  <c r="X18" i="92"/>
  <c r="Z18" i="92" s="1"/>
  <c r="T18" i="92"/>
  <c r="P18" i="92"/>
  <c r="H18" i="92"/>
  <c r="F18" i="92"/>
  <c r="D18" i="92"/>
  <c r="L18" i="92" s="1"/>
  <c r="N18" i="92" s="1"/>
  <c r="Z16" i="92"/>
  <c r="F16" i="92"/>
  <c r="Z14" i="92"/>
  <c r="X14" i="92"/>
  <c r="T14" i="92"/>
  <c r="T16" i="92" s="1"/>
  <c r="T89" i="92" s="1"/>
  <c r="T93" i="92" s="1"/>
  <c r="P14" i="92"/>
  <c r="N14" i="92"/>
  <c r="H14" i="92"/>
  <c r="F14" i="92"/>
  <c r="D14" i="92"/>
  <c r="L14" i="92" s="1"/>
  <c r="Z12" i="92"/>
  <c r="X12" i="92"/>
  <c r="T12" i="92"/>
  <c r="V49" i="92" s="1"/>
  <c r="P12" i="92"/>
  <c r="R58" i="92" s="1"/>
  <c r="H12" i="92"/>
  <c r="J85" i="92" s="1"/>
  <c r="D12" i="92"/>
  <c r="F62" i="92" s="1"/>
  <c r="D6" i="92"/>
  <c r="D4" i="92"/>
  <c r="X75" i="89"/>
  <c r="Z75" i="89" s="1"/>
  <c r="L75" i="89"/>
  <c r="N75" i="89" s="1"/>
  <c r="T71" i="89"/>
  <c r="Z71" i="89" s="1"/>
  <c r="P71" i="89"/>
  <c r="X71" i="89" s="1"/>
  <c r="N71" i="89"/>
  <c r="L71" i="89"/>
  <c r="H71" i="89"/>
  <c r="F71" i="89"/>
  <c r="D71" i="89"/>
  <c r="Z69" i="89"/>
  <c r="X69" i="89"/>
  <c r="N69" i="89"/>
  <c r="L69" i="89"/>
  <c r="B69" i="89"/>
  <c r="X68" i="89"/>
  <c r="T68" i="89"/>
  <c r="Z68" i="89" s="1"/>
  <c r="P68" i="89"/>
  <c r="H68" i="89"/>
  <c r="D68" i="89"/>
  <c r="B68" i="89"/>
  <c r="Z67" i="89"/>
  <c r="X67" i="89"/>
  <c r="L67" i="89"/>
  <c r="N67" i="89" s="1"/>
  <c r="B67" i="89"/>
  <c r="T66" i="89"/>
  <c r="Z66" i="89" s="1"/>
  <c r="P66" i="89"/>
  <c r="X66" i="89" s="1"/>
  <c r="H66" i="89"/>
  <c r="N66" i="89" s="1"/>
  <c r="D66" i="89"/>
  <c r="L66" i="89" s="1"/>
  <c r="B66" i="89"/>
  <c r="X65" i="89"/>
  <c r="Z65" i="89" s="1"/>
  <c r="N65" i="89"/>
  <c r="L65" i="89"/>
  <c r="B65" i="89"/>
  <c r="X64" i="89"/>
  <c r="Z64" i="89" s="1"/>
  <c r="N64" i="89"/>
  <c r="L64" i="89"/>
  <c r="B64" i="89"/>
  <c r="X63" i="89"/>
  <c r="Z63" i="89" s="1"/>
  <c r="N63" i="89"/>
  <c r="L63" i="89"/>
  <c r="B63" i="89"/>
  <c r="X62" i="89"/>
  <c r="Z62" i="89" s="1"/>
  <c r="N62" i="89"/>
  <c r="L62" i="89"/>
  <c r="B62" i="89"/>
  <c r="X61" i="89"/>
  <c r="Z61" i="89" s="1"/>
  <c r="N61" i="89"/>
  <c r="L61" i="89"/>
  <c r="B61" i="89"/>
  <c r="X60" i="89"/>
  <c r="Z60" i="89" s="1"/>
  <c r="N60" i="89"/>
  <c r="L60" i="89"/>
  <c r="B60" i="89"/>
  <c r="T59" i="89"/>
  <c r="P59" i="89"/>
  <c r="X59" i="89" s="1"/>
  <c r="L59" i="89"/>
  <c r="J59" i="89"/>
  <c r="H59" i="89"/>
  <c r="N59" i="89" s="1"/>
  <c r="D59" i="89"/>
  <c r="B59" i="89"/>
  <c r="Z58" i="89"/>
  <c r="X58" i="89"/>
  <c r="N58" i="89"/>
  <c r="L58" i="89"/>
  <c r="B58" i="89"/>
  <c r="Z57" i="89"/>
  <c r="X57" i="89"/>
  <c r="N57" i="89"/>
  <c r="L57" i="89"/>
  <c r="B57" i="89"/>
  <c r="X56" i="89"/>
  <c r="T56" i="89"/>
  <c r="Z56" i="89" s="1"/>
  <c r="P56" i="89"/>
  <c r="H56" i="89"/>
  <c r="D56" i="89"/>
  <c r="B56" i="89"/>
  <c r="Z55" i="89"/>
  <c r="X55" i="89"/>
  <c r="L55" i="89"/>
  <c r="N55" i="89" s="1"/>
  <c r="B55" i="89"/>
  <c r="Z54" i="89"/>
  <c r="X54" i="89"/>
  <c r="R54" i="89"/>
  <c r="N54" i="89"/>
  <c r="L54" i="89"/>
  <c r="B54" i="89"/>
  <c r="Z53" i="89"/>
  <c r="X53" i="89"/>
  <c r="N53" i="89"/>
  <c r="L53" i="89"/>
  <c r="B53" i="89"/>
  <c r="T52" i="89"/>
  <c r="Z52" i="89" s="1"/>
  <c r="P52" i="89"/>
  <c r="X52" i="89" s="1"/>
  <c r="H52" i="89"/>
  <c r="D52" i="89"/>
  <c r="L52" i="89" s="1"/>
  <c r="B52" i="89"/>
  <c r="X51" i="89"/>
  <c r="Z51" i="89" s="1"/>
  <c r="N51" i="89"/>
  <c r="L51" i="89"/>
  <c r="B51" i="89"/>
  <c r="X50" i="89"/>
  <c r="Z50" i="89" s="1"/>
  <c r="T50" i="89"/>
  <c r="P50" i="89"/>
  <c r="N50" i="89"/>
  <c r="J50" i="89"/>
  <c r="H50" i="89"/>
  <c r="D50" i="89"/>
  <c r="L50" i="89" s="1"/>
  <c r="B50" i="89"/>
  <c r="Z49" i="89"/>
  <c r="X49" i="89"/>
  <c r="N49" i="89"/>
  <c r="L49" i="89"/>
  <c r="F49" i="89"/>
  <c r="B49" i="89"/>
  <c r="X48" i="89"/>
  <c r="T48" i="89"/>
  <c r="Z48" i="89" s="1"/>
  <c r="P48" i="89"/>
  <c r="H48" i="89"/>
  <c r="F48" i="89"/>
  <c r="D48" i="89"/>
  <c r="B48" i="89"/>
  <c r="Z47" i="89"/>
  <c r="X47" i="89"/>
  <c r="L47" i="89"/>
  <c r="N47" i="89" s="1"/>
  <c r="B47" i="89"/>
  <c r="T46" i="89"/>
  <c r="Z46" i="89" s="1"/>
  <c r="P46" i="89"/>
  <c r="X46" i="89" s="1"/>
  <c r="H46" i="89"/>
  <c r="D46" i="89"/>
  <c r="L46" i="89" s="1"/>
  <c r="B46" i="89"/>
  <c r="X45" i="89"/>
  <c r="Z45" i="89" s="1"/>
  <c r="N45" i="89"/>
  <c r="L45" i="89"/>
  <c r="B45" i="89"/>
  <c r="X44" i="89"/>
  <c r="Z44" i="89" s="1"/>
  <c r="T44" i="89"/>
  <c r="P44" i="89"/>
  <c r="H44" i="89"/>
  <c r="D44" i="89"/>
  <c r="L44" i="89" s="1"/>
  <c r="N44" i="89" s="1"/>
  <c r="B44" i="89"/>
  <c r="Z43" i="89"/>
  <c r="X43" i="89"/>
  <c r="N43" i="89"/>
  <c r="L43" i="89"/>
  <c r="B43" i="89"/>
  <c r="T42" i="89"/>
  <c r="P42" i="89"/>
  <c r="L42" i="89"/>
  <c r="H42" i="89"/>
  <c r="N42" i="89" s="1"/>
  <c r="D42" i="89"/>
  <c r="B42" i="89"/>
  <c r="Z41" i="89"/>
  <c r="X41" i="89"/>
  <c r="L41" i="89"/>
  <c r="N41" i="89" s="1"/>
  <c r="J41" i="89"/>
  <c r="B41" i="89"/>
  <c r="T40" i="89"/>
  <c r="P40" i="89"/>
  <c r="X40" i="89" s="1"/>
  <c r="N40" i="89"/>
  <c r="H40" i="89"/>
  <c r="D40" i="89"/>
  <c r="L40" i="89" s="1"/>
  <c r="B40" i="89"/>
  <c r="X39" i="89"/>
  <c r="Z39" i="89" s="1"/>
  <c r="L39" i="89"/>
  <c r="N39" i="89" s="1"/>
  <c r="B39" i="89"/>
  <c r="T38" i="89"/>
  <c r="P38" i="89"/>
  <c r="X38" i="89" s="1"/>
  <c r="Z38" i="89" s="1"/>
  <c r="J38" i="89"/>
  <c r="H38" i="89"/>
  <c r="D38" i="89"/>
  <c r="L38" i="89" s="1"/>
  <c r="N38" i="89" s="1"/>
  <c r="B38" i="89"/>
  <c r="Z37" i="89"/>
  <c r="X37" i="89"/>
  <c r="N37" i="89"/>
  <c r="L37" i="89"/>
  <c r="B37" i="89"/>
  <c r="X36" i="89"/>
  <c r="Z36" i="89" s="1"/>
  <c r="L36" i="89"/>
  <c r="N36" i="89" s="1"/>
  <c r="J36" i="89"/>
  <c r="B36" i="89"/>
  <c r="Z35" i="89"/>
  <c r="X35" i="89"/>
  <c r="N35" i="89"/>
  <c r="L35" i="89"/>
  <c r="B35" i="89"/>
  <c r="Z34" i="89"/>
  <c r="X34" i="89"/>
  <c r="R34" i="89"/>
  <c r="N34" i="89"/>
  <c r="L34" i="89"/>
  <c r="F34" i="89"/>
  <c r="B34" i="89"/>
  <c r="Z33" i="89"/>
  <c r="X33" i="89"/>
  <c r="N33" i="89"/>
  <c r="L33" i="89"/>
  <c r="B33" i="89"/>
  <c r="X32" i="89"/>
  <c r="T32" i="89"/>
  <c r="P32" i="89"/>
  <c r="N32" i="89"/>
  <c r="H32" i="89"/>
  <c r="L32" i="89" s="1"/>
  <c r="D32" i="89"/>
  <c r="B32" i="89"/>
  <c r="Z31" i="89"/>
  <c r="X31" i="89"/>
  <c r="L31" i="89"/>
  <c r="N31" i="89" s="1"/>
  <c r="B31" i="89"/>
  <c r="Z30" i="89"/>
  <c r="X30" i="89"/>
  <c r="R30" i="89"/>
  <c r="L30" i="89"/>
  <c r="N30" i="89" s="1"/>
  <c r="B30" i="89"/>
  <c r="Z29" i="89"/>
  <c r="X29" i="89"/>
  <c r="R29" i="89"/>
  <c r="L29" i="89"/>
  <c r="N29" i="89" s="1"/>
  <c r="B29" i="89"/>
  <c r="X28" i="89"/>
  <c r="Z28" i="89" s="1"/>
  <c r="L28" i="89"/>
  <c r="N28" i="89" s="1"/>
  <c r="B28" i="89"/>
  <c r="Z27" i="89"/>
  <c r="X27" i="89"/>
  <c r="L27" i="89"/>
  <c r="N27" i="89" s="1"/>
  <c r="B27" i="89"/>
  <c r="Z26" i="89"/>
  <c r="X26" i="89"/>
  <c r="R26" i="89"/>
  <c r="L26" i="89"/>
  <c r="N26" i="89" s="1"/>
  <c r="B26" i="89"/>
  <c r="Z25" i="89"/>
  <c r="X25" i="89"/>
  <c r="L25" i="89"/>
  <c r="N25" i="89" s="1"/>
  <c r="J25" i="89"/>
  <c r="B25" i="89"/>
  <c r="X24" i="89"/>
  <c r="Z24" i="89" s="1"/>
  <c r="R24" i="89"/>
  <c r="L24" i="89"/>
  <c r="N24" i="89" s="1"/>
  <c r="J24" i="89"/>
  <c r="B24" i="89"/>
  <c r="T23" i="89"/>
  <c r="P23" i="89"/>
  <c r="X23" i="89" s="1"/>
  <c r="Z23" i="89" s="1"/>
  <c r="N23" i="89"/>
  <c r="H23" i="89"/>
  <c r="L23" i="89" s="1"/>
  <c r="D23" i="89"/>
  <c r="B23" i="89"/>
  <c r="X22" i="89"/>
  <c r="Z22" i="89" s="1"/>
  <c r="T22" i="89"/>
  <c r="R22" i="89"/>
  <c r="P22" i="89"/>
  <c r="H22" i="89"/>
  <c r="D22" i="89"/>
  <c r="L22" i="89" s="1"/>
  <c r="N22" i="89" s="1"/>
  <c r="P20" i="89"/>
  <c r="P73" i="89" s="1"/>
  <c r="D20" i="89"/>
  <c r="D73" i="89" s="1"/>
  <c r="X18" i="89"/>
  <c r="Z18" i="89" s="1"/>
  <c r="N18" i="89"/>
  <c r="L18" i="89"/>
  <c r="B18" i="89"/>
  <c r="X17" i="89"/>
  <c r="Z17" i="89" s="1"/>
  <c r="N17" i="89"/>
  <c r="L17" i="89"/>
  <c r="F17" i="89"/>
  <c r="B17" i="89"/>
  <c r="Z16" i="89"/>
  <c r="X16" i="89"/>
  <c r="T16" i="89"/>
  <c r="P16" i="89"/>
  <c r="L16" i="89"/>
  <c r="N16" i="89" s="1"/>
  <c r="H16" i="89"/>
  <c r="D16" i="89"/>
  <c r="T14" i="89"/>
  <c r="P14" i="89"/>
  <c r="L14" i="89"/>
  <c r="N14" i="89" s="1"/>
  <c r="H14" i="89"/>
  <c r="D14" i="89"/>
  <c r="B14" i="89"/>
  <c r="T13" i="89"/>
  <c r="P13" i="89"/>
  <c r="P12" i="89" s="1"/>
  <c r="R59" i="89" s="1"/>
  <c r="L13" i="89"/>
  <c r="N13" i="89" s="1"/>
  <c r="H13" i="89"/>
  <c r="D13" i="89"/>
  <c r="B13" i="89"/>
  <c r="H12" i="89"/>
  <c r="J49" i="89" s="1"/>
  <c r="D12" i="89"/>
  <c r="D6" i="89"/>
  <c r="D4" i="89"/>
  <c r="X84" i="88"/>
  <c r="Z84" i="88" s="1"/>
  <c r="R84" i="88"/>
  <c r="L84" i="88"/>
  <c r="N84" i="88" s="1"/>
  <c r="Z80" i="88"/>
  <c r="X80" i="88"/>
  <c r="T80" i="88"/>
  <c r="P80" i="88"/>
  <c r="N80" i="88"/>
  <c r="L80" i="88"/>
  <c r="H80" i="88"/>
  <c r="D80" i="88"/>
  <c r="X78" i="88"/>
  <c r="Z78" i="88" s="1"/>
  <c r="N78" i="88"/>
  <c r="L78" i="88"/>
  <c r="B78" i="88"/>
  <c r="T77" i="88"/>
  <c r="P77" i="88"/>
  <c r="X77" i="88" s="1"/>
  <c r="L77" i="88"/>
  <c r="J77" i="88"/>
  <c r="H77" i="88"/>
  <c r="D77" i="88"/>
  <c r="B77" i="88"/>
  <c r="X76" i="88"/>
  <c r="Z76" i="88" s="1"/>
  <c r="N76" i="88"/>
  <c r="L76" i="88"/>
  <c r="J76" i="88"/>
  <c r="B76" i="88"/>
  <c r="Z75" i="88"/>
  <c r="T75" i="88"/>
  <c r="P75" i="88"/>
  <c r="X75" i="88" s="1"/>
  <c r="L75" i="88"/>
  <c r="N75" i="88" s="1"/>
  <c r="H75" i="88"/>
  <c r="D75" i="88"/>
  <c r="B75" i="88"/>
  <c r="X74" i="88"/>
  <c r="Z74" i="88" s="1"/>
  <c r="N74" i="88"/>
  <c r="L74" i="88"/>
  <c r="B74" i="88"/>
  <c r="Z73" i="88"/>
  <c r="T73" i="88"/>
  <c r="P73" i="88"/>
  <c r="X73" i="88" s="1"/>
  <c r="L73" i="88"/>
  <c r="N73" i="88" s="1"/>
  <c r="H73" i="88"/>
  <c r="D73" i="88"/>
  <c r="B73" i="88"/>
  <c r="X72" i="88"/>
  <c r="Z72" i="88" s="1"/>
  <c r="N72" i="88"/>
  <c r="L72" i="88"/>
  <c r="B72" i="88"/>
  <c r="X71" i="88"/>
  <c r="Z71" i="88" s="1"/>
  <c r="V71" i="88"/>
  <c r="N71" i="88"/>
  <c r="L71" i="88"/>
  <c r="B71" i="88"/>
  <c r="Z70" i="88"/>
  <c r="X70" i="88"/>
  <c r="N70" i="88"/>
  <c r="L70" i="88"/>
  <c r="B70" i="88"/>
  <c r="X69" i="88"/>
  <c r="Z69" i="88" s="1"/>
  <c r="V69" i="88"/>
  <c r="N69" i="88"/>
  <c r="L69" i="88"/>
  <c r="B69" i="88"/>
  <c r="X68" i="88"/>
  <c r="Z68" i="88" s="1"/>
  <c r="L68" i="88"/>
  <c r="N68" i="88" s="1"/>
  <c r="B68" i="88"/>
  <c r="X67" i="88"/>
  <c r="Z67" i="88" s="1"/>
  <c r="N67" i="88"/>
  <c r="L67" i="88"/>
  <c r="B67" i="88"/>
  <c r="Z66" i="88"/>
  <c r="X66" i="88"/>
  <c r="L66" i="88"/>
  <c r="N66" i="88" s="1"/>
  <c r="J66" i="88"/>
  <c r="B66" i="88"/>
  <c r="T65" i="88"/>
  <c r="P65" i="88"/>
  <c r="X65" i="88" s="1"/>
  <c r="H65" i="88"/>
  <c r="D65" i="88"/>
  <c r="B65" i="88"/>
  <c r="Z64" i="88"/>
  <c r="X64" i="88"/>
  <c r="N64" i="88"/>
  <c r="L64" i="88"/>
  <c r="B64" i="88"/>
  <c r="T63" i="88"/>
  <c r="R63" i="88"/>
  <c r="P63" i="88"/>
  <c r="H63" i="88"/>
  <c r="N63" i="88" s="1"/>
  <c r="D63" i="88"/>
  <c r="L63" i="88" s="1"/>
  <c r="B63" i="88"/>
  <c r="X62" i="88"/>
  <c r="Z62" i="88" s="1"/>
  <c r="R62" i="88"/>
  <c r="N62" i="88"/>
  <c r="L62" i="88"/>
  <c r="B62" i="88"/>
  <c r="X61" i="88"/>
  <c r="Z61" i="88" s="1"/>
  <c r="N61" i="88"/>
  <c r="L61" i="88"/>
  <c r="B61" i="88"/>
  <c r="Z60" i="88"/>
  <c r="X60" i="88"/>
  <c r="L60" i="88"/>
  <c r="N60" i="88" s="1"/>
  <c r="B60" i="88"/>
  <c r="T59" i="88"/>
  <c r="P59" i="88"/>
  <c r="X59" i="88" s="1"/>
  <c r="N59" i="88"/>
  <c r="H59" i="88"/>
  <c r="D59" i="88"/>
  <c r="L59" i="88" s="1"/>
  <c r="B59" i="88"/>
  <c r="Z58" i="88"/>
  <c r="X58" i="88"/>
  <c r="L58" i="88"/>
  <c r="N58" i="88" s="1"/>
  <c r="B58" i="88"/>
  <c r="T57" i="88"/>
  <c r="P57" i="88"/>
  <c r="H57" i="88"/>
  <c r="D57" i="88"/>
  <c r="B57" i="88"/>
  <c r="X56" i="88"/>
  <c r="Z56" i="88" s="1"/>
  <c r="R56" i="88"/>
  <c r="N56" i="88"/>
  <c r="L56" i="88"/>
  <c r="B56" i="88"/>
  <c r="Z55" i="88"/>
  <c r="X55" i="88"/>
  <c r="L55" i="88"/>
  <c r="N55" i="88" s="1"/>
  <c r="B55" i="88"/>
  <c r="T54" i="88"/>
  <c r="P54" i="88"/>
  <c r="H54" i="88"/>
  <c r="N54" i="88" s="1"/>
  <c r="D54" i="88"/>
  <c r="L54" i="88" s="1"/>
  <c r="B54" i="88"/>
  <c r="X53" i="88"/>
  <c r="Z53" i="88" s="1"/>
  <c r="V53" i="88"/>
  <c r="N53" i="88"/>
  <c r="L53" i="88"/>
  <c r="B53" i="88"/>
  <c r="T52" i="88"/>
  <c r="P52" i="88"/>
  <c r="X52" i="88" s="1"/>
  <c r="Z52" i="88" s="1"/>
  <c r="L52" i="88"/>
  <c r="J52" i="88"/>
  <c r="H52" i="88"/>
  <c r="D52" i="88"/>
  <c r="B52" i="88"/>
  <c r="X51" i="88"/>
  <c r="Z51" i="88" s="1"/>
  <c r="N51" i="88"/>
  <c r="L51" i="88"/>
  <c r="J51" i="88"/>
  <c r="B51" i="88"/>
  <c r="T50" i="88"/>
  <c r="R50" i="88"/>
  <c r="P50" i="88"/>
  <c r="X50" i="88" s="1"/>
  <c r="H50" i="88"/>
  <c r="D50" i="88"/>
  <c r="L50" i="88" s="1"/>
  <c r="B50" i="88"/>
  <c r="Z49" i="88"/>
  <c r="X49" i="88"/>
  <c r="N49" i="88"/>
  <c r="L49" i="88"/>
  <c r="B49" i="88"/>
  <c r="X48" i="88"/>
  <c r="Z48" i="88" s="1"/>
  <c r="T48" i="88"/>
  <c r="P48" i="88"/>
  <c r="L48" i="88"/>
  <c r="N48" i="88" s="1"/>
  <c r="H48" i="88"/>
  <c r="D48" i="88"/>
  <c r="B48" i="88"/>
  <c r="Z47" i="88"/>
  <c r="X47" i="88"/>
  <c r="N47" i="88"/>
  <c r="L47" i="88"/>
  <c r="B47" i="88"/>
  <c r="T46" i="88"/>
  <c r="P46" i="88"/>
  <c r="N46" i="88"/>
  <c r="H46" i="88"/>
  <c r="D46" i="88"/>
  <c r="L46" i="88" s="1"/>
  <c r="B46" i="88"/>
  <c r="X45" i="88"/>
  <c r="Z45" i="88" s="1"/>
  <c r="R45" i="88"/>
  <c r="L45" i="88"/>
  <c r="N45" i="88" s="1"/>
  <c r="B45" i="88"/>
  <c r="X44" i="88"/>
  <c r="Z44" i="88" s="1"/>
  <c r="L44" i="88"/>
  <c r="N44" i="88" s="1"/>
  <c r="J44" i="88"/>
  <c r="B44" i="88"/>
  <c r="T43" i="88"/>
  <c r="P43" i="88"/>
  <c r="X43" i="88" s="1"/>
  <c r="H43" i="88"/>
  <c r="D43" i="88"/>
  <c r="L43" i="88" s="1"/>
  <c r="B43" i="88"/>
  <c r="Z42" i="88"/>
  <c r="X42" i="88"/>
  <c r="N42" i="88"/>
  <c r="L42" i="88"/>
  <c r="B42" i="88"/>
  <c r="Z41" i="88"/>
  <c r="X41" i="88"/>
  <c r="T41" i="88"/>
  <c r="P41" i="88"/>
  <c r="H41" i="88"/>
  <c r="D41" i="88"/>
  <c r="L41" i="88" s="1"/>
  <c r="N41" i="88" s="1"/>
  <c r="B41" i="88"/>
  <c r="Z40" i="88"/>
  <c r="X40" i="88"/>
  <c r="L40" i="88"/>
  <c r="N40" i="88" s="1"/>
  <c r="J40" i="88"/>
  <c r="B40" i="88"/>
  <c r="X39" i="88"/>
  <c r="T39" i="88"/>
  <c r="P39" i="88"/>
  <c r="H39" i="88"/>
  <c r="D39" i="88"/>
  <c r="B39" i="88"/>
  <c r="Z38" i="88"/>
  <c r="X38" i="88"/>
  <c r="V38" i="88"/>
  <c r="N38" i="88"/>
  <c r="L38" i="88"/>
  <c r="B38" i="88"/>
  <c r="T37" i="88"/>
  <c r="P37" i="88"/>
  <c r="H37" i="88"/>
  <c r="D37" i="88"/>
  <c r="L37" i="88" s="1"/>
  <c r="B37" i="88"/>
  <c r="X36" i="88"/>
  <c r="Z36" i="88" s="1"/>
  <c r="R36" i="88"/>
  <c r="N36" i="88"/>
  <c r="L36" i="88"/>
  <c r="B36" i="88"/>
  <c r="X35" i="88"/>
  <c r="Z35" i="88" s="1"/>
  <c r="L35" i="88"/>
  <c r="N35" i="88" s="1"/>
  <c r="J35" i="88"/>
  <c r="B35" i="88"/>
  <c r="Z34" i="88"/>
  <c r="X34" i="88"/>
  <c r="N34" i="88"/>
  <c r="L34" i="88"/>
  <c r="B34" i="88"/>
  <c r="Z33" i="88"/>
  <c r="X33" i="88"/>
  <c r="L33" i="88"/>
  <c r="N33" i="88" s="1"/>
  <c r="B33" i="88"/>
  <c r="T32" i="88"/>
  <c r="R32" i="88"/>
  <c r="P32" i="88"/>
  <c r="H32" i="88"/>
  <c r="D32" i="88"/>
  <c r="L32" i="88" s="1"/>
  <c r="B32" i="88"/>
  <c r="X31" i="88"/>
  <c r="Z31" i="88" s="1"/>
  <c r="R31" i="88"/>
  <c r="N31" i="88"/>
  <c r="L31" i="88"/>
  <c r="B31" i="88"/>
  <c r="Z30" i="88"/>
  <c r="X30" i="88"/>
  <c r="L30" i="88"/>
  <c r="N30" i="88" s="1"/>
  <c r="J30" i="88"/>
  <c r="B30" i="88"/>
  <c r="X29" i="88"/>
  <c r="Z29" i="88" s="1"/>
  <c r="R29" i="88"/>
  <c r="L29" i="88"/>
  <c r="N29" i="88" s="1"/>
  <c r="B29" i="88"/>
  <c r="Z28" i="88"/>
  <c r="X28" i="88"/>
  <c r="L28" i="88"/>
  <c r="N28" i="88" s="1"/>
  <c r="B28" i="88"/>
  <c r="X27" i="88"/>
  <c r="Z27" i="88" s="1"/>
  <c r="V27" i="88"/>
  <c r="R27" i="88"/>
  <c r="N27" i="88"/>
  <c r="L27" i="88"/>
  <c r="B27" i="88"/>
  <c r="Z26" i="88"/>
  <c r="X26" i="88"/>
  <c r="R26" i="88"/>
  <c r="N26" i="88"/>
  <c r="L26" i="88"/>
  <c r="J26" i="88"/>
  <c r="B26" i="88"/>
  <c r="X25" i="88"/>
  <c r="Z25" i="88" s="1"/>
  <c r="R25" i="88"/>
  <c r="L25" i="88"/>
  <c r="N25" i="88" s="1"/>
  <c r="B25" i="88"/>
  <c r="Z24" i="88"/>
  <c r="X24" i="88"/>
  <c r="L24" i="88"/>
  <c r="N24" i="88" s="1"/>
  <c r="J24" i="88"/>
  <c r="B24" i="88"/>
  <c r="X23" i="88"/>
  <c r="T23" i="88"/>
  <c r="P23" i="88"/>
  <c r="H23" i="88"/>
  <c r="D23" i="88"/>
  <c r="B23" i="88"/>
  <c r="X22" i="88"/>
  <c r="Z22" i="88" s="1"/>
  <c r="T22" i="88"/>
  <c r="P22" i="88"/>
  <c r="J22" i="88"/>
  <c r="H22" i="88"/>
  <c r="D22" i="88"/>
  <c r="L22" i="88" s="1"/>
  <c r="X18" i="88"/>
  <c r="Z18" i="88" s="1"/>
  <c r="N18" i="88"/>
  <c r="L18" i="88"/>
  <c r="B18" i="88"/>
  <c r="Z17" i="88"/>
  <c r="X17" i="88"/>
  <c r="R17" i="88"/>
  <c r="N17" i="88"/>
  <c r="L17" i="88"/>
  <c r="B17" i="88"/>
  <c r="T16" i="88"/>
  <c r="Z16" i="88" s="1"/>
  <c r="P16" i="88"/>
  <c r="X16" i="88" s="1"/>
  <c r="N16" i="88"/>
  <c r="L16" i="88"/>
  <c r="J16" i="88"/>
  <c r="H16" i="88"/>
  <c r="D16" i="88"/>
  <c r="T14" i="88"/>
  <c r="P14" i="88"/>
  <c r="X14" i="88" s="1"/>
  <c r="H14" i="88"/>
  <c r="D14" i="88"/>
  <c r="B14" i="88"/>
  <c r="T13" i="88"/>
  <c r="P13" i="88"/>
  <c r="X13" i="88" s="1"/>
  <c r="Z13" i="88" s="1"/>
  <c r="L13" i="88"/>
  <c r="H13" i="88"/>
  <c r="H12" i="88" s="1"/>
  <c r="D13" i="88"/>
  <c r="B13" i="88"/>
  <c r="T12" i="88"/>
  <c r="P12" i="88"/>
  <c r="R60" i="88" s="1"/>
  <c r="D6" i="88"/>
  <c r="D4" i="88"/>
  <c r="V31" i="87"/>
  <c r="R31" i="87"/>
  <c r="V28" i="87"/>
  <c r="R28" i="87"/>
  <c r="Z26" i="87"/>
  <c r="X26" i="87"/>
  <c r="V26" i="87"/>
  <c r="R26" i="87"/>
  <c r="N26" i="87"/>
  <c r="L26" i="87"/>
  <c r="V24" i="87"/>
  <c r="J24" i="87"/>
  <c r="V22" i="87"/>
  <c r="T22" i="87"/>
  <c r="Z22" i="87" s="1"/>
  <c r="P22" i="87"/>
  <c r="X22" i="87" s="1"/>
  <c r="N22" i="87"/>
  <c r="L22" i="87"/>
  <c r="J22" i="87"/>
  <c r="H22" i="87"/>
  <c r="D22" i="87"/>
  <c r="X20" i="87"/>
  <c r="Z20" i="87" s="1"/>
  <c r="V20" i="87"/>
  <c r="R20" i="87"/>
  <c r="L20" i="87"/>
  <c r="N20" i="87" s="1"/>
  <c r="J20" i="87"/>
  <c r="B20" i="87"/>
  <c r="T19" i="87"/>
  <c r="P19" i="87"/>
  <c r="X19" i="87" s="1"/>
  <c r="Z19" i="87" s="1"/>
  <c r="J19" i="87"/>
  <c r="H19" i="87"/>
  <c r="D19" i="87"/>
  <c r="B19" i="87"/>
  <c r="T18" i="87"/>
  <c r="Z18" i="87" s="1"/>
  <c r="R18" i="87"/>
  <c r="P18" i="87"/>
  <c r="X18" i="87" s="1"/>
  <c r="L18" i="87"/>
  <c r="J18" i="87"/>
  <c r="H18" i="87"/>
  <c r="D18" i="87"/>
  <c r="R16" i="87"/>
  <c r="J16" i="87"/>
  <c r="H16" i="87"/>
  <c r="T14" i="87"/>
  <c r="Z14" i="87" s="1"/>
  <c r="R14" i="87"/>
  <c r="P14" i="87"/>
  <c r="X14" i="87" s="1"/>
  <c r="J14" i="87"/>
  <c r="H14" i="87"/>
  <c r="N14" i="87" s="1"/>
  <c r="D14" i="87"/>
  <c r="T12" i="87"/>
  <c r="Z12" i="87" s="1"/>
  <c r="P12" i="87"/>
  <c r="X12" i="87" s="1"/>
  <c r="N12" i="87"/>
  <c r="H12" i="87"/>
  <c r="J26" i="87" s="1"/>
  <c r="D12" i="87"/>
  <c r="D6" i="87"/>
  <c r="D4" i="87"/>
  <c r="Z32" i="86"/>
  <c r="X32" i="86"/>
  <c r="L32" i="86"/>
  <c r="N32" i="86" s="1"/>
  <c r="X28" i="86"/>
  <c r="T28" i="86"/>
  <c r="Z28" i="86" s="1"/>
  <c r="P28" i="86"/>
  <c r="H28" i="86"/>
  <c r="N28" i="86" s="1"/>
  <c r="D28" i="86"/>
  <c r="L28" i="86" s="1"/>
  <c r="X26" i="86"/>
  <c r="Z26" i="86" s="1"/>
  <c r="R26" i="86"/>
  <c r="N26" i="86"/>
  <c r="L26" i="86"/>
  <c r="B26" i="86"/>
  <c r="X25" i="86"/>
  <c r="Z25" i="86" s="1"/>
  <c r="T25" i="86"/>
  <c r="R25" i="86"/>
  <c r="P25" i="86"/>
  <c r="N25" i="86"/>
  <c r="L25" i="86"/>
  <c r="H25" i="86"/>
  <c r="D25" i="86"/>
  <c r="B25" i="86"/>
  <c r="Z24" i="86"/>
  <c r="X24" i="86"/>
  <c r="R24" i="86"/>
  <c r="N24" i="86"/>
  <c r="L24" i="86"/>
  <c r="J24" i="86"/>
  <c r="B24" i="86"/>
  <c r="T23" i="86"/>
  <c r="P23" i="86"/>
  <c r="N23" i="86"/>
  <c r="L23" i="86"/>
  <c r="H23" i="86"/>
  <c r="D23" i="86"/>
  <c r="B23" i="86"/>
  <c r="X22" i="86"/>
  <c r="Z22" i="86" s="1"/>
  <c r="L22" i="86"/>
  <c r="N22" i="86" s="1"/>
  <c r="B22" i="86"/>
  <c r="T21" i="86"/>
  <c r="P21" i="86"/>
  <c r="X21" i="86" s="1"/>
  <c r="Z21" i="86" s="1"/>
  <c r="H21" i="86"/>
  <c r="D21" i="86"/>
  <c r="L21" i="86" s="1"/>
  <c r="B21" i="86"/>
  <c r="T20" i="86"/>
  <c r="Z20" i="86" s="1"/>
  <c r="R20" i="86"/>
  <c r="P20" i="86"/>
  <c r="X20" i="86" s="1"/>
  <c r="H20" i="86"/>
  <c r="D20" i="86"/>
  <c r="H18" i="86"/>
  <c r="Z16" i="86"/>
  <c r="X16" i="86"/>
  <c r="N16" i="86"/>
  <c r="L16" i="86"/>
  <c r="B16" i="86"/>
  <c r="Z15" i="86"/>
  <c r="X15" i="86"/>
  <c r="T15" i="86"/>
  <c r="P15" i="86"/>
  <c r="L15" i="86"/>
  <c r="N15" i="86" s="1"/>
  <c r="H15" i="86"/>
  <c r="D15" i="86"/>
  <c r="X13" i="86"/>
  <c r="Z13" i="86" s="1"/>
  <c r="T13" i="86"/>
  <c r="P13" i="86"/>
  <c r="H13" i="86"/>
  <c r="H12" i="86" s="1"/>
  <c r="D13" i="86"/>
  <c r="B13" i="86"/>
  <c r="T12" i="86"/>
  <c r="P12" i="86"/>
  <c r="D6" i="86"/>
  <c r="D4" i="86"/>
  <c r="Z121" i="85"/>
  <c r="X121" i="85"/>
  <c r="N121" i="85"/>
  <c r="L121" i="85"/>
  <c r="T117" i="85"/>
  <c r="Z117" i="85" s="1"/>
  <c r="P117" i="85"/>
  <c r="X117" i="85" s="1"/>
  <c r="H117" i="85"/>
  <c r="D117" i="85"/>
  <c r="Z115" i="85"/>
  <c r="X115" i="85"/>
  <c r="N115" i="85"/>
  <c r="L115" i="85"/>
  <c r="B115" i="85"/>
  <c r="Z114" i="85"/>
  <c r="X114" i="85"/>
  <c r="T114" i="85"/>
  <c r="P114" i="85"/>
  <c r="N114" i="85"/>
  <c r="L114" i="85"/>
  <c r="H114" i="85"/>
  <c r="D114" i="85"/>
  <c r="B114" i="85"/>
  <c r="Z113" i="85"/>
  <c r="X113" i="85"/>
  <c r="L113" i="85"/>
  <c r="N113" i="85" s="1"/>
  <c r="B113" i="85"/>
  <c r="X112" i="85"/>
  <c r="Z112" i="85" s="1"/>
  <c r="T112" i="85"/>
  <c r="P112" i="85"/>
  <c r="H112" i="85"/>
  <c r="D112" i="85"/>
  <c r="B112" i="85"/>
  <c r="X111" i="85"/>
  <c r="Z111" i="85" s="1"/>
  <c r="N111" i="85"/>
  <c r="L111" i="85"/>
  <c r="B111" i="85"/>
  <c r="T110" i="85"/>
  <c r="P110" i="85"/>
  <c r="H110" i="85"/>
  <c r="D110" i="85"/>
  <c r="L110" i="85" s="1"/>
  <c r="N110" i="85" s="1"/>
  <c r="B110" i="85"/>
  <c r="X109" i="85"/>
  <c r="Z109" i="85" s="1"/>
  <c r="L109" i="85"/>
  <c r="N109" i="85" s="1"/>
  <c r="B109" i="85"/>
  <c r="Z108" i="85"/>
  <c r="X108" i="85"/>
  <c r="N108" i="85"/>
  <c r="L108" i="85"/>
  <c r="B108" i="85"/>
  <c r="Z107" i="85"/>
  <c r="X107" i="85"/>
  <c r="N107" i="85"/>
  <c r="L107" i="85"/>
  <c r="B107" i="85"/>
  <c r="Z106" i="85"/>
  <c r="X106" i="85"/>
  <c r="N106" i="85"/>
  <c r="L106" i="85"/>
  <c r="B106" i="85"/>
  <c r="X105" i="85"/>
  <c r="Z105" i="85" s="1"/>
  <c r="R105" i="85"/>
  <c r="N105" i="85"/>
  <c r="L105" i="85"/>
  <c r="B105" i="85"/>
  <c r="T104" i="85"/>
  <c r="P104" i="85"/>
  <c r="X104" i="85" s="1"/>
  <c r="Z104" i="85" s="1"/>
  <c r="H104" i="85"/>
  <c r="D104" i="85"/>
  <c r="L104" i="85" s="1"/>
  <c r="N104" i="85" s="1"/>
  <c r="B104" i="85"/>
  <c r="Z103" i="85"/>
  <c r="X103" i="85"/>
  <c r="L103" i="85"/>
  <c r="N103" i="85" s="1"/>
  <c r="B103" i="85"/>
  <c r="X102" i="85"/>
  <c r="T102" i="85"/>
  <c r="P102" i="85"/>
  <c r="H102" i="85"/>
  <c r="D102" i="85"/>
  <c r="B102" i="85"/>
  <c r="Z101" i="85"/>
  <c r="X101" i="85"/>
  <c r="L101" i="85"/>
  <c r="N101" i="85" s="1"/>
  <c r="B101" i="85"/>
  <c r="Z100" i="85"/>
  <c r="X100" i="85"/>
  <c r="L100" i="85"/>
  <c r="N100" i="85" s="1"/>
  <c r="B100" i="85"/>
  <c r="X99" i="85"/>
  <c r="Z99" i="85" s="1"/>
  <c r="N99" i="85"/>
  <c r="L99" i="85"/>
  <c r="B99" i="85"/>
  <c r="T98" i="85"/>
  <c r="P98" i="85"/>
  <c r="H98" i="85"/>
  <c r="N98" i="85" s="1"/>
  <c r="D98" i="85"/>
  <c r="L98" i="85" s="1"/>
  <c r="B98" i="85"/>
  <c r="X97" i="85"/>
  <c r="Z97" i="85" s="1"/>
  <c r="R97" i="85"/>
  <c r="N97" i="85"/>
  <c r="L97" i="85"/>
  <c r="B97" i="85"/>
  <c r="Z96" i="85"/>
  <c r="X96" i="85"/>
  <c r="N96" i="85"/>
  <c r="L96" i="85"/>
  <c r="B96" i="85"/>
  <c r="T95" i="85"/>
  <c r="P95" i="85"/>
  <c r="N95" i="85"/>
  <c r="H95" i="85"/>
  <c r="D95" i="85"/>
  <c r="L95" i="85" s="1"/>
  <c r="B95" i="85"/>
  <c r="X94" i="85"/>
  <c r="Z94" i="85" s="1"/>
  <c r="N94" i="85"/>
  <c r="L94" i="85"/>
  <c r="B94" i="85"/>
  <c r="T93" i="85"/>
  <c r="P93" i="85"/>
  <c r="X93" i="85" s="1"/>
  <c r="Z93" i="85" s="1"/>
  <c r="L93" i="85"/>
  <c r="N93" i="85" s="1"/>
  <c r="H93" i="85"/>
  <c r="D93" i="85"/>
  <c r="B93" i="85"/>
  <c r="Z92" i="85"/>
  <c r="X92" i="85"/>
  <c r="N92" i="85"/>
  <c r="L92" i="85"/>
  <c r="B92" i="85"/>
  <c r="T91" i="85"/>
  <c r="X91" i="85" s="1"/>
  <c r="Z91" i="85" s="1"/>
  <c r="P91" i="85"/>
  <c r="H91" i="85"/>
  <c r="N91" i="85" s="1"/>
  <c r="D91" i="85"/>
  <c r="L91" i="85" s="1"/>
  <c r="B91" i="85"/>
  <c r="X90" i="85"/>
  <c r="Z90" i="85" s="1"/>
  <c r="L90" i="85"/>
  <c r="N90" i="85" s="1"/>
  <c r="B90" i="85"/>
  <c r="Z89" i="85"/>
  <c r="T89" i="85"/>
  <c r="P89" i="85"/>
  <c r="X89" i="85" s="1"/>
  <c r="H89" i="85"/>
  <c r="D89" i="85"/>
  <c r="L89" i="85" s="1"/>
  <c r="N89" i="85" s="1"/>
  <c r="B89" i="85"/>
  <c r="X88" i="85"/>
  <c r="Z88" i="85" s="1"/>
  <c r="L88" i="85"/>
  <c r="N88" i="85" s="1"/>
  <c r="B88" i="85"/>
  <c r="Z87" i="85"/>
  <c r="X87" i="85"/>
  <c r="T87" i="85"/>
  <c r="P87" i="85"/>
  <c r="L87" i="85"/>
  <c r="H87" i="85"/>
  <c r="N87" i="85" s="1"/>
  <c r="D87" i="85"/>
  <c r="B87" i="85"/>
  <c r="X86" i="85"/>
  <c r="Z86" i="85" s="1"/>
  <c r="L86" i="85"/>
  <c r="N86" i="85" s="1"/>
  <c r="B86" i="85"/>
  <c r="T85" i="85"/>
  <c r="P85" i="85"/>
  <c r="X85" i="85" s="1"/>
  <c r="H85" i="85"/>
  <c r="D85" i="85"/>
  <c r="L85" i="85" s="1"/>
  <c r="N85" i="85" s="1"/>
  <c r="B85" i="85"/>
  <c r="X84" i="85"/>
  <c r="Z84" i="85" s="1"/>
  <c r="R84" i="85"/>
  <c r="N84" i="85"/>
  <c r="L84" i="85"/>
  <c r="B84" i="85"/>
  <c r="T83" i="85"/>
  <c r="R83" i="85"/>
  <c r="P83" i="85"/>
  <c r="X83" i="85" s="1"/>
  <c r="Z83" i="85" s="1"/>
  <c r="N83" i="85"/>
  <c r="H83" i="85"/>
  <c r="D83" i="85"/>
  <c r="L83" i="85" s="1"/>
  <c r="B83" i="85"/>
  <c r="X82" i="85"/>
  <c r="Z82" i="85" s="1"/>
  <c r="R82" i="85"/>
  <c r="N82" i="85"/>
  <c r="L82" i="85"/>
  <c r="B82" i="85"/>
  <c r="X81" i="85"/>
  <c r="T81" i="85"/>
  <c r="Z81" i="85" s="1"/>
  <c r="P81" i="85"/>
  <c r="N81" i="85"/>
  <c r="L81" i="85"/>
  <c r="H81" i="85"/>
  <c r="D81" i="85"/>
  <c r="B81" i="85"/>
  <c r="X80" i="85"/>
  <c r="Z80" i="85" s="1"/>
  <c r="L80" i="85"/>
  <c r="N80" i="85" s="1"/>
  <c r="B80" i="85"/>
  <c r="T79" i="85"/>
  <c r="P79" i="85"/>
  <c r="X79" i="85" s="1"/>
  <c r="Z79" i="85" s="1"/>
  <c r="H79" i="85"/>
  <c r="D79" i="85"/>
  <c r="L79" i="85" s="1"/>
  <c r="B79" i="85"/>
  <c r="X78" i="85"/>
  <c r="Z78" i="85" s="1"/>
  <c r="L78" i="85"/>
  <c r="N78" i="85" s="1"/>
  <c r="B78" i="85"/>
  <c r="Z77" i="85"/>
  <c r="T77" i="85"/>
  <c r="P77" i="85"/>
  <c r="X77" i="85" s="1"/>
  <c r="H77" i="85"/>
  <c r="D77" i="85"/>
  <c r="L77" i="85" s="1"/>
  <c r="N77" i="85" s="1"/>
  <c r="B77" i="85"/>
  <c r="X76" i="85"/>
  <c r="Z76" i="85" s="1"/>
  <c r="L76" i="85"/>
  <c r="N76" i="85" s="1"/>
  <c r="B76" i="85"/>
  <c r="Z75" i="85"/>
  <c r="X75" i="85"/>
  <c r="T75" i="85"/>
  <c r="P75" i="85"/>
  <c r="L75" i="85"/>
  <c r="H75" i="85"/>
  <c r="N75" i="85" s="1"/>
  <c r="D75" i="85"/>
  <c r="B75" i="85"/>
  <c r="X74" i="85"/>
  <c r="Z74" i="85" s="1"/>
  <c r="L74" i="85"/>
  <c r="N74" i="85" s="1"/>
  <c r="B74" i="85"/>
  <c r="T73" i="85"/>
  <c r="R73" i="85"/>
  <c r="P73" i="85"/>
  <c r="X73" i="85" s="1"/>
  <c r="H73" i="85"/>
  <c r="D73" i="85"/>
  <c r="L73" i="85" s="1"/>
  <c r="N73" i="85" s="1"/>
  <c r="B73" i="85"/>
  <c r="X72" i="85"/>
  <c r="Z72" i="85" s="1"/>
  <c r="R72" i="85"/>
  <c r="L72" i="85"/>
  <c r="N72" i="85" s="1"/>
  <c r="B72" i="85"/>
  <c r="Z71" i="85"/>
  <c r="X71" i="85"/>
  <c r="N71" i="85"/>
  <c r="L71" i="85"/>
  <c r="B71" i="85"/>
  <c r="X70" i="85"/>
  <c r="Z70" i="85" s="1"/>
  <c r="L70" i="85"/>
  <c r="N70" i="85" s="1"/>
  <c r="B70" i="85"/>
  <c r="Z69" i="85"/>
  <c r="X69" i="85"/>
  <c r="L69" i="85"/>
  <c r="N69" i="85" s="1"/>
  <c r="B69" i="85"/>
  <c r="T68" i="85"/>
  <c r="P68" i="85"/>
  <c r="H68" i="85"/>
  <c r="D68" i="85"/>
  <c r="L68" i="85" s="1"/>
  <c r="B68" i="85"/>
  <c r="Z67" i="85"/>
  <c r="X67" i="85"/>
  <c r="N67" i="85"/>
  <c r="L67" i="85"/>
  <c r="B67" i="85"/>
  <c r="X66" i="85"/>
  <c r="Z66" i="85" s="1"/>
  <c r="R66" i="85"/>
  <c r="L66" i="85"/>
  <c r="N66" i="85" s="1"/>
  <c r="B66" i="85"/>
  <c r="X65" i="85"/>
  <c r="Z65" i="85" s="1"/>
  <c r="N65" i="85"/>
  <c r="L65" i="85"/>
  <c r="B65" i="85"/>
  <c r="X64" i="85"/>
  <c r="Z64" i="85" s="1"/>
  <c r="L64" i="85"/>
  <c r="N64" i="85" s="1"/>
  <c r="B64" i="85"/>
  <c r="Z63" i="85"/>
  <c r="X63" i="85"/>
  <c r="N63" i="85"/>
  <c r="L63" i="85"/>
  <c r="B63" i="85"/>
  <c r="X62" i="85"/>
  <c r="Z62" i="85" s="1"/>
  <c r="R62" i="85"/>
  <c r="L62" i="85"/>
  <c r="N62" i="85" s="1"/>
  <c r="B62" i="85"/>
  <c r="X61" i="85"/>
  <c r="Z61" i="85" s="1"/>
  <c r="N61" i="85"/>
  <c r="L61" i="85"/>
  <c r="B61" i="85"/>
  <c r="X60" i="85"/>
  <c r="Z60" i="85" s="1"/>
  <c r="L60" i="85"/>
  <c r="N60" i="85" s="1"/>
  <c r="B60" i="85"/>
  <c r="Z59" i="85"/>
  <c r="X59" i="85"/>
  <c r="T59" i="85"/>
  <c r="P59" i="85"/>
  <c r="L59" i="85"/>
  <c r="H59" i="85"/>
  <c r="N59" i="85" s="1"/>
  <c r="D59" i="85"/>
  <c r="B59" i="85"/>
  <c r="X58" i="85"/>
  <c r="Z58" i="85" s="1"/>
  <c r="T58" i="85"/>
  <c r="P58" i="85"/>
  <c r="H58" i="85"/>
  <c r="N58" i="85" s="1"/>
  <c r="D58" i="85"/>
  <c r="L58" i="85" s="1"/>
  <c r="X54" i="85"/>
  <c r="Z54" i="85" s="1"/>
  <c r="N54" i="85"/>
  <c r="L54" i="85"/>
  <c r="B54" i="85"/>
  <c r="Z53" i="85"/>
  <c r="X53" i="85"/>
  <c r="N53" i="85"/>
  <c r="L53" i="85"/>
  <c r="B53" i="85"/>
  <c r="X52" i="85"/>
  <c r="Z52" i="85" s="1"/>
  <c r="L52" i="85"/>
  <c r="N52" i="85" s="1"/>
  <c r="B52" i="85"/>
  <c r="Z51" i="85"/>
  <c r="X51" i="85"/>
  <c r="N51" i="85"/>
  <c r="L51" i="85"/>
  <c r="B51" i="85"/>
  <c r="X50" i="85"/>
  <c r="Z50" i="85" s="1"/>
  <c r="N50" i="85"/>
  <c r="L50" i="85"/>
  <c r="B50" i="85"/>
  <c r="Z49" i="85"/>
  <c r="X49" i="85"/>
  <c r="N49" i="85"/>
  <c r="L49" i="85"/>
  <c r="B49" i="85"/>
  <c r="X48" i="85"/>
  <c r="Z48" i="85" s="1"/>
  <c r="N48" i="85"/>
  <c r="L48" i="85"/>
  <c r="B48" i="85"/>
  <c r="Z47" i="85"/>
  <c r="X47" i="85"/>
  <c r="N47" i="85"/>
  <c r="L47" i="85"/>
  <c r="B47" i="85"/>
  <c r="X46" i="85"/>
  <c r="Z46" i="85" s="1"/>
  <c r="L46" i="85"/>
  <c r="N46" i="85" s="1"/>
  <c r="B46" i="85"/>
  <c r="Z45" i="85"/>
  <c r="X45" i="85"/>
  <c r="N45" i="85"/>
  <c r="L45" i="85"/>
  <c r="B45" i="85"/>
  <c r="X44" i="85"/>
  <c r="Z44" i="85" s="1"/>
  <c r="L44" i="85"/>
  <c r="N44" i="85" s="1"/>
  <c r="B44" i="85"/>
  <c r="Z43" i="85"/>
  <c r="X43" i="85"/>
  <c r="N43" i="85"/>
  <c r="L43" i="85"/>
  <c r="B43" i="85"/>
  <c r="X42" i="85"/>
  <c r="Z42" i="85" s="1"/>
  <c r="L42" i="85"/>
  <c r="N42" i="85" s="1"/>
  <c r="B42" i="85"/>
  <c r="Z41" i="85"/>
  <c r="X41" i="85"/>
  <c r="N41" i="85"/>
  <c r="L41" i="85"/>
  <c r="B41" i="85"/>
  <c r="X40" i="85"/>
  <c r="Z40" i="85" s="1"/>
  <c r="L40" i="85"/>
  <c r="N40" i="85" s="1"/>
  <c r="B40" i="85"/>
  <c r="Z39" i="85"/>
  <c r="X39" i="85"/>
  <c r="N39" i="85"/>
  <c r="L39" i="85"/>
  <c r="B39" i="85"/>
  <c r="X38" i="85"/>
  <c r="Z38" i="85" s="1"/>
  <c r="L38" i="85"/>
  <c r="N38" i="85" s="1"/>
  <c r="B38" i="85"/>
  <c r="Z37" i="85"/>
  <c r="X37" i="85"/>
  <c r="N37" i="85"/>
  <c r="L37" i="85"/>
  <c r="B37" i="85"/>
  <c r="T36" i="85"/>
  <c r="P36" i="85"/>
  <c r="X36" i="85" s="1"/>
  <c r="L36" i="85"/>
  <c r="N36" i="85" s="1"/>
  <c r="H36" i="85"/>
  <c r="D36" i="85"/>
  <c r="X34" i="85"/>
  <c r="T34" i="85"/>
  <c r="Z34" i="85" s="1"/>
  <c r="P34" i="85"/>
  <c r="L34" i="85"/>
  <c r="H34" i="85"/>
  <c r="N34" i="85" s="1"/>
  <c r="D34" i="85"/>
  <c r="B34" i="85"/>
  <c r="T33" i="85"/>
  <c r="P33" i="85"/>
  <c r="X33" i="85" s="1"/>
  <c r="H33" i="85"/>
  <c r="L33" i="85" s="1"/>
  <c r="N33" i="85" s="1"/>
  <c r="D33" i="85"/>
  <c r="B33" i="85"/>
  <c r="X32" i="85"/>
  <c r="Z32" i="85" s="1"/>
  <c r="T32" i="85"/>
  <c r="P32" i="85"/>
  <c r="L32" i="85"/>
  <c r="H32" i="85"/>
  <c r="N32" i="85" s="1"/>
  <c r="D32" i="85"/>
  <c r="B32" i="85"/>
  <c r="T31" i="85"/>
  <c r="P31" i="85"/>
  <c r="X31" i="85" s="1"/>
  <c r="H31" i="85"/>
  <c r="L31" i="85" s="1"/>
  <c r="N31" i="85" s="1"/>
  <c r="D31" i="85"/>
  <c r="B31" i="85"/>
  <c r="X30" i="85"/>
  <c r="T30" i="85"/>
  <c r="Z30" i="85" s="1"/>
  <c r="P30" i="85"/>
  <c r="L30" i="85"/>
  <c r="H30" i="85"/>
  <c r="D30" i="85"/>
  <c r="B30" i="85"/>
  <c r="T29" i="85"/>
  <c r="Z29" i="85" s="1"/>
  <c r="P29" i="85"/>
  <c r="X29" i="85" s="1"/>
  <c r="H29" i="85"/>
  <c r="L29" i="85" s="1"/>
  <c r="N29" i="85" s="1"/>
  <c r="D29" i="85"/>
  <c r="B29" i="85"/>
  <c r="X28" i="85"/>
  <c r="Z28" i="85" s="1"/>
  <c r="T28" i="85"/>
  <c r="P28" i="85"/>
  <c r="L28" i="85"/>
  <c r="H28" i="85"/>
  <c r="N28" i="85" s="1"/>
  <c r="D28" i="85"/>
  <c r="B28" i="85"/>
  <c r="T27" i="85"/>
  <c r="Z27" i="85" s="1"/>
  <c r="P27" i="85"/>
  <c r="N27" i="85"/>
  <c r="H27" i="85"/>
  <c r="L27" i="85" s="1"/>
  <c r="D27" i="85"/>
  <c r="B27" i="85"/>
  <c r="X26" i="85"/>
  <c r="T26" i="85"/>
  <c r="Z26" i="85" s="1"/>
  <c r="P26" i="85"/>
  <c r="L26" i="85"/>
  <c r="H26" i="85"/>
  <c r="N26" i="85" s="1"/>
  <c r="D26" i="85"/>
  <c r="B26" i="85"/>
  <c r="T25" i="85"/>
  <c r="P25" i="85"/>
  <c r="X25" i="85" s="1"/>
  <c r="H25" i="85"/>
  <c r="L25" i="85" s="1"/>
  <c r="N25" i="85" s="1"/>
  <c r="D25" i="85"/>
  <c r="B25" i="85"/>
  <c r="X24" i="85"/>
  <c r="Z24" i="85" s="1"/>
  <c r="T24" i="85"/>
  <c r="P24" i="85"/>
  <c r="L24" i="85"/>
  <c r="H24" i="85"/>
  <c r="N24" i="85" s="1"/>
  <c r="D24" i="85"/>
  <c r="B24" i="85"/>
  <c r="T23" i="85"/>
  <c r="Z23" i="85" s="1"/>
  <c r="P23" i="85"/>
  <c r="X23" i="85" s="1"/>
  <c r="N23" i="85"/>
  <c r="H23" i="85"/>
  <c r="L23" i="85" s="1"/>
  <c r="D23" i="85"/>
  <c r="B23" i="85"/>
  <c r="X22" i="85"/>
  <c r="T22" i="85"/>
  <c r="Z22" i="85" s="1"/>
  <c r="P22" i="85"/>
  <c r="L22" i="85"/>
  <c r="H22" i="85"/>
  <c r="D22" i="85"/>
  <c r="B22" i="85"/>
  <c r="T21" i="85"/>
  <c r="P21" i="85"/>
  <c r="X21" i="85" s="1"/>
  <c r="H21" i="85"/>
  <c r="L21" i="85" s="1"/>
  <c r="N21" i="85" s="1"/>
  <c r="D21" i="85"/>
  <c r="B21" i="85"/>
  <c r="X20" i="85"/>
  <c r="Z20" i="85" s="1"/>
  <c r="T20" i="85"/>
  <c r="P20" i="85"/>
  <c r="L20" i="85"/>
  <c r="H20" i="85"/>
  <c r="N20" i="85" s="1"/>
  <c r="D20" i="85"/>
  <c r="B20" i="85"/>
  <c r="T19" i="85"/>
  <c r="P19" i="85"/>
  <c r="X19" i="85" s="1"/>
  <c r="H19" i="85"/>
  <c r="L19" i="85" s="1"/>
  <c r="N19" i="85" s="1"/>
  <c r="D19" i="85"/>
  <c r="B19" i="85"/>
  <c r="X18" i="85"/>
  <c r="T18" i="85"/>
  <c r="Z18" i="85" s="1"/>
  <c r="P18" i="85"/>
  <c r="H18" i="85"/>
  <c r="D18" i="85"/>
  <c r="L18" i="85" s="1"/>
  <c r="B18" i="85"/>
  <c r="T17" i="85"/>
  <c r="Z17" i="85" s="1"/>
  <c r="P17" i="85"/>
  <c r="X17" i="85" s="1"/>
  <c r="H17" i="85"/>
  <c r="L17" i="85" s="1"/>
  <c r="N17" i="85" s="1"/>
  <c r="D17" i="85"/>
  <c r="B17" i="85"/>
  <c r="X16" i="85"/>
  <c r="Z16" i="85" s="1"/>
  <c r="T16" i="85"/>
  <c r="P16" i="85"/>
  <c r="L16" i="85"/>
  <c r="H16" i="85"/>
  <c r="N16" i="85" s="1"/>
  <c r="D16" i="85"/>
  <c r="B16" i="85"/>
  <c r="T15" i="85"/>
  <c r="P15" i="85"/>
  <c r="N15" i="85"/>
  <c r="H15" i="85"/>
  <c r="L15" i="85" s="1"/>
  <c r="D15" i="85"/>
  <c r="B15" i="85"/>
  <c r="X14" i="85"/>
  <c r="T14" i="85"/>
  <c r="Z14" i="85" s="1"/>
  <c r="P14" i="85"/>
  <c r="P12" i="85" s="1"/>
  <c r="L14" i="85"/>
  <c r="H14" i="85"/>
  <c r="D14" i="85"/>
  <c r="B14" i="85"/>
  <c r="T13" i="85"/>
  <c r="P13" i="85"/>
  <c r="X13" i="85" s="1"/>
  <c r="N13" i="85"/>
  <c r="H13" i="85"/>
  <c r="H12" i="85" s="1"/>
  <c r="J91" i="85" s="1"/>
  <c r="D13" i="85"/>
  <c r="B13" i="85"/>
  <c r="D6" i="85"/>
  <c r="D4" i="85"/>
  <c r="X84" i="84"/>
  <c r="Z84" i="84" s="1"/>
  <c r="L84" i="84"/>
  <c r="N84" i="84" s="1"/>
  <c r="T80" i="84"/>
  <c r="Z80" i="84" s="1"/>
  <c r="P80" i="84"/>
  <c r="X80" i="84" s="1"/>
  <c r="N80" i="84"/>
  <c r="L80" i="84"/>
  <c r="H80" i="84"/>
  <c r="D80" i="84"/>
  <c r="X78" i="84"/>
  <c r="Z78" i="84" s="1"/>
  <c r="L78" i="84"/>
  <c r="N78" i="84" s="1"/>
  <c r="F78" i="84"/>
  <c r="B78" i="84"/>
  <c r="T77" i="84"/>
  <c r="P77" i="84"/>
  <c r="X77" i="84" s="1"/>
  <c r="Z77" i="84" s="1"/>
  <c r="H77" i="84"/>
  <c r="F77" i="84"/>
  <c r="D77" i="84"/>
  <c r="L77" i="84" s="1"/>
  <c r="B77" i="84"/>
  <c r="X76" i="84"/>
  <c r="Z76" i="84" s="1"/>
  <c r="L76" i="84"/>
  <c r="N76" i="84" s="1"/>
  <c r="F76" i="84"/>
  <c r="B76" i="84"/>
  <c r="Z75" i="84"/>
  <c r="X75" i="84"/>
  <c r="T75" i="84"/>
  <c r="P75" i="84"/>
  <c r="H75" i="84"/>
  <c r="F75" i="84"/>
  <c r="D75" i="84"/>
  <c r="L75" i="84" s="1"/>
  <c r="N75" i="84" s="1"/>
  <c r="B75" i="84"/>
  <c r="X74" i="84"/>
  <c r="Z74" i="84" s="1"/>
  <c r="N74" i="84"/>
  <c r="L74" i="84"/>
  <c r="B74" i="84"/>
  <c r="Z73" i="84"/>
  <c r="X73" i="84"/>
  <c r="N73" i="84"/>
  <c r="L73" i="84"/>
  <c r="B73" i="84"/>
  <c r="X72" i="84"/>
  <c r="Z72" i="84" s="1"/>
  <c r="L72" i="84"/>
  <c r="N72" i="84" s="1"/>
  <c r="B72" i="84"/>
  <c r="Z71" i="84"/>
  <c r="X71" i="84"/>
  <c r="N71" i="84"/>
  <c r="L71" i="84"/>
  <c r="B71" i="84"/>
  <c r="X70" i="84"/>
  <c r="Z70" i="84" s="1"/>
  <c r="L70" i="84"/>
  <c r="N70" i="84" s="1"/>
  <c r="B70" i="84"/>
  <c r="Z69" i="84"/>
  <c r="X69" i="84"/>
  <c r="N69" i="84"/>
  <c r="L69" i="84"/>
  <c r="B69" i="84"/>
  <c r="T68" i="84"/>
  <c r="P68" i="84"/>
  <c r="H68" i="84"/>
  <c r="N68" i="84" s="1"/>
  <c r="D68" i="84"/>
  <c r="L68" i="84" s="1"/>
  <c r="B68" i="84"/>
  <c r="Z67" i="84"/>
  <c r="X67" i="84"/>
  <c r="N67" i="84"/>
  <c r="L67" i="84"/>
  <c r="B67" i="84"/>
  <c r="T66" i="84"/>
  <c r="Z66" i="84" s="1"/>
  <c r="P66" i="84"/>
  <c r="X66" i="84" s="1"/>
  <c r="L66" i="84"/>
  <c r="N66" i="84" s="1"/>
  <c r="H66" i="84"/>
  <c r="D66" i="84"/>
  <c r="B66" i="84"/>
  <c r="Z65" i="84"/>
  <c r="X65" i="84"/>
  <c r="N65" i="84"/>
  <c r="L65" i="84"/>
  <c r="B65" i="84"/>
  <c r="X64" i="84"/>
  <c r="Z64" i="84" s="1"/>
  <c r="L64" i="84"/>
  <c r="N64" i="84" s="1"/>
  <c r="F64" i="84"/>
  <c r="B64" i="84"/>
  <c r="Z63" i="84"/>
  <c r="X63" i="84"/>
  <c r="N63" i="84"/>
  <c r="L63" i="84"/>
  <c r="B63" i="84"/>
  <c r="T62" i="84"/>
  <c r="P62" i="84"/>
  <c r="L62" i="84"/>
  <c r="H62" i="84"/>
  <c r="N62" i="84" s="1"/>
  <c r="D62" i="84"/>
  <c r="B62" i="84"/>
  <c r="Z61" i="84"/>
  <c r="X61" i="84"/>
  <c r="N61" i="84"/>
  <c r="L61" i="84"/>
  <c r="B61" i="84"/>
  <c r="X60" i="84"/>
  <c r="Z60" i="84" s="1"/>
  <c r="N60" i="84"/>
  <c r="L60" i="84"/>
  <c r="B60" i="84"/>
  <c r="Z59" i="84"/>
  <c r="X59" i="84"/>
  <c r="N59" i="84"/>
  <c r="L59" i="84"/>
  <c r="B59" i="84"/>
  <c r="T58" i="84"/>
  <c r="P58" i="84"/>
  <c r="X58" i="84" s="1"/>
  <c r="H58" i="84"/>
  <c r="N58" i="84" s="1"/>
  <c r="D58" i="84"/>
  <c r="L58" i="84" s="1"/>
  <c r="B58" i="84"/>
  <c r="Z57" i="84"/>
  <c r="X57" i="84"/>
  <c r="N57" i="84"/>
  <c r="L57" i="84"/>
  <c r="B57" i="84"/>
  <c r="X56" i="84"/>
  <c r="Z56" i="84" s="1"/>
  <c r="T56" i="84"/>
  <c r="P56" i="84"/>
  <c r="H56" i="84"/>
  <c r="N56" i="84" s="1"/>
  <c r="D56" i="84"/>
  <c r="L56" i="84" s="1"/>
  <c r="B56" i="84"/>
  <c r="Z55" i="84"/>
  <c r="X55" i="84"/>
  <c r="N55" i="84"/>
  <c r="L55" i="84"/>
  <c r="B55" i="84"/>
  <c r="T54" i="84"/>
  <c r="P54" i="84"/>
  <c r="L54" i="84"/>
  <c r="H54" i="84"/>
  <c r="N54" i="84" s="1"/>
  <c r="D54" i="84"/>
  <c r="B54" i="84"/>
  <c r="Z53" i="84"/>
  <c r="X53" i="84"/>
  <c r="N53" i="84"/>
  <c r="L53" i="84"/>
  <c r="B53" i="84"/>
  <c r="T52" i="84"/>
  <c r="P52" i="84"/>
  <c r="X52" i="84" s="1"/>
  <c r="H52" i="84"/>
  <c r="D52" i="84"/>
  <c r="L52" i="84" s="1"/>
  <c r="B52" i="84"/>
  <c r="Z51" i="84"/>
  <c r="X51" i="84"/>
  <c r="N51" i="84"/>
  <c r="L51" i="84"/>
  <c r="B51" i="84"/>
  <c r="T50" i="84"/>
  <c r="P50" i="84"/>
  <c r="X50" i="84" s="1"/>
  <c r="L50" i="84"/>
  <c r="N50" i="84" s="1"/>
  <c r="H50" i="84"/>
  <c r="D50" i="84"/>
  <c r="B50" i="84"/>
  <c r="Z49" i="84"/>
  <c r="X49" i="84"/>
  <c r="N49" i="84"/>
  <c r="L49" i="84"/>
  <c r="B49" i="84"/>
  <c r="X48" i="84"/>
  <c r="T48" i="84"/>
  <c r="Z48" i="84" s="1"/>
  <c r="P48" i="84"/>
  <c r="H48" i="84"/>
  <c r="D48" i="84"/>
  <c r="B48" i="84"/>
  <c r="Z47" i="84"/>
  <c r="X47" i="84"/>
  <c r="N47" i="84"/>
  <c r="L47" i="84"/>
  <c r="B47" i="84"/>
  <c r="X46" i="84"/>
  <c r="Z46" i="84" s="1"/>
  <c r="L46" i="84"/>
  <c r="N46" i="84" s="1"/>
  <c r="B46" i="84"/>
  <c r="Z45" i="84"/>
  <c r="X45" i="84"/>
  <c r="T45" i="84"/>
  <c r="P45" i="84"/>
  <c r="H45" i="84"/>
  <c r="L45" i="84" s="1"/>
  <c r="N45" i="84" s="1"/>
  <c r="D45" i="84"/>
  <c r="B45" i="84"/>
  <c r="X44" i="84"/>
  <c r="Z44" i="84" s="1"/>
  <c r="L44" i="84"/>
  <c r="N44" i="84" s="1"/>
  <c r="B44" i="84"/>
  <c r="T43" i="84"/>
  <c r="P43" i="84"/>
  <c r="X43" i="84" s="1"/>
  <c r="Z43" i="84" s="1"/>
  <c r="H43" i="84"/>
  <c r="D43" i="84"/>
  <c r="L43" i="84" s="1"/>
  <c r="N43" i="84" s="1"/>
  <c r="B43" i="84"/>
  <c r="X42" i="84"/>
  <c r="Z42" i="84" s="1"/>
  <c r="L42" i="84"/>
  <c r="N42" i="84" s="1"/>
  <c r="F42" i="84"/>
  <c r="B42" i="84"/>
  <c r="T41" i="84"/>
  <c r="P41" i="84"/>
  <c r="X41" i="84" s="1"/>
  <c r="Z41" i="84" s="1"/>
  <c r="N41" i="84"/>
  <c r="H41" i="84"/>
  <c r="F41" i="84"/>
  <c r="D41" i="84"/>
  <c r="L41" i="84" s="1"/>
  <c r="B41" i="84"/>
  <c r="X40" i="84"/>
  <c r="Z40" i="84" s="1"/>
  <c r="L40" i="84"/>
  <c r="N40" i="84" s="1"/>
  <c r="B40" i="84"/>
  <c r="T39" i="84"/>
  <c r="X39" i="84" s="1"/>
  <c r="Z39" i="84" s="1"/>
  <c r="P39" i="84"/>
  <c r="N39" i="84"/>
  <c r="L39" i="84"/>
  <c r="H39" i="84"/>
  <c r="D39" i="84"/>
  <c r="B39" i="84"/>
  <c r="X38" i="84"/>
  <c r="Z38" i="84" s="1"/>
  <c r="L38" i="84"/>
  <c r="N38" i="84" s="1"/>
  <c r="F38" i="84"/>
  <c r="B38" i="84"/>
  <c r="Z37" i="84"/>
  <c r="X37" i="84"/>
  <c r="N37" i="84"/>
  <c r="L37" i="84"/>
  <c r="B37" i="84"/>
  <c r="X36" i="84"/>
  <c r="Z36" i="84" s="1"/>
  <c r="N36" i="84"/>
  <c r="L36" i="84"/>
  <c r="F36" i="84"/>
  <c r="B36" i="84"/>
  <c r="Z35" i="84"/>
  <c r="X35" i="84"/>
  <c r="N35" i="84"/>
  <c r="L35" i="84"/>
  <c r="B35" i="84"/>
  <c r="Z34" i="84"/>
  <c r="X34" i="84"/>
  <c r="N34" i="84"/>
  <c r="L34" i="84"/>
  <c r="F34" i="84"/>
  <c r="B34" i="84"/>
  <c r="Z33" i="84"/>
  <c r="X33" i="84"/>
  <c r="N33" i="84"/>
  <c r="L33" i="84"/>
  <c r="B33" i="84"/>
  <c r="X32" i="84"/>
  <c r="Z32" i="84" s="1"/>
  <c r="T32" i="84"/>
  <c r="P32" i="84"/>
  <c r="H32" i="84"/>
  <c r="D32" i="84"/>
  <c r="L32" i="84" s="1"/>
  <c r="B32" i="84"/>
  <c r="Z31" i="84"/>
  <c r="X31" i="84"/>
  <c r="N31" i="84"/>
  <c r="L31" i="84"/>
  <c r="B31" i="84"/>
  <c r="X30" i="84"/>
  <c r="Z30" i="84" s="1"/>
  <c r="L30" i="84"/>
  <c r="N30" i="84" s="1"/>
  <c r="F30" i="84"/>
  <c r="B30" i="84"/>
  <c r="Z29" i="84"/>
  <c r="X29" i="84"/>
  <c r="N29" i="84"/>
  <c r="L29" i="84"/>
  <c r="B29" i="84"/>
  <c r="X28" i="84"/>
  <c r="Z28" i="84" s="1"/>
  <c r="L28" i="84"/>
  <c r="N28" i="84" s="1"/>
  <c r="F28" i="84"/>
  <c r="B28" i="84"/>
  <c r="Z27" i="84"/>
  <c r="X27" i="84"/>
  <c r="N27" i="84"/>
  <c r="L27" i="84"/>
  <c r="B27" i="84"/>
  <c r="X26" i="84"/>
  <c r="Z26" i="84" s="1"/>
  <c r="L26" i="84"/>
  <c r="N26" i="84" s="1"/>
  <c r="F26" i="84"/>
  <c r="B26" i="84"/>
  <c r="Z25" i="84"/>
  <c r="X25" i="84"/>
  <c r="N25" i="84"/>
  <c r="L25" i="84"/>
  <c r="B25" i="84"/>
  <c r="X24" i="84"/>
  <c r="Z24" i="84" s="1"/>
  <c r="L24" i="84"/>
  <c r="N24" i="84" s="1"/>
  <c r="F24" i="84"/>
  <c r="B24" i="84"/>
  <c r="T23" i="84"/>
  <c r="P23" i="84"/>
  <c r="X23" i="84" s="1"/>
  <c r="Z23" i="84" s="1"/>
  <c r="H23" i="84"/>
  <c r="F23" i="84"/>
  <c r="D23" i="84"/>
  <c r="L23" i="84" s="1"/>
  <c r="N23" i="84" s="1"/>
  <c r="B23" i="84"/>
  <c r="T22" i="84"/>
  <c r="P22" i="84"/>
  <c r="X22" i="84" s="1"/>
  <c r="H22" i="84"/>
  <c r="D22" i="84"/>
  <c r="L22" i="84" s="1"/>
  <c r="X18" i="84"/>
  <c r="Z18" i="84" s="1"/>
  <c r="L18" i="84"/>
  <c r="N18" i="84" s="1"/>
  <c r="B18" i="84"/>
  <c r="Z17" i="84"/>
  <c r="X17" i="84"/>
  <c r="N17" i="84"/>
  <c r="L17" i="84"/>
  <c r="B17" i="84"/>
  <c r="T16" i="84"/>
  <c r="P16" i="84"/>
  <c r="X16" i="84" s="1"/>
  <c r="H16" i="84"/>
  <c r="D16" i="84"/>
  <c r="L16" i="84" s="1"/>
  <c r="T14" i="84"/>
  <c r="P14" i="84"/>
  <c r="X14" i="84" s="1"/>
  <c r="Z14" i="84" s="1"/>
  <c r="L14" i="84"/>
  <c r="N14" i="84" s="1"/>
  <c r="H14" i="84"/>
  <c r="D14" i="84"/>
  <c r="B14" i="84"/>
  <c r="T13" i="84"/>
  <c r="P13" i="84"/>
  <c r="H13" i="84"/>
  <c r="D13" i="84"/>
  <c r="B13" i="84"/>
  <c r="D12" i="84"/>
  <c r="F65" i="84" s="1"/>
  <c r="D6" i="84"/>
  <c r="D4" i="84"/>
  <c r="X31" i="83"/>
  <c r="Z31" i="83" s="1"/>
  <c r="L31" i="83"/>
  <c r="N31" i="83" s="1"/>
  <c r="T27" i="83"/>
  <c r="Z27" i="83" s="1"/>
  <c r="P27" i="83"/>
  <c r="X27" i="83" s="1"/>
  <c r="H27" i="83"/>
  <c r="N27" i="83" s="1"/>
  <c r="D27" i="83"/>
  <c r="L27" i="83" s="1"/>
  <c r="X25" i="83"/>
  <c r="Z25" i="83" s="1"/>
  <c r="R25" i="83"/>
  <c r="N25" i="83"/>
  <c r="L25" i="83"/>
  <c r="B25" i="83"/>
  <c r="Z24" i="83"/>
  <c r="X24" i="83"/>
  <c r="T24" i="83"/>
  <c r="P24" i="83"/>
  <c r="N24" i="83"/>
  <c r="L24" i="83"/>
  <c r="J24" i="83"/>
  <c r="H24" i="83"/>
  <c r="D24" i="83"/>
  <c r="B24" i="83"/>
  <c r="T23" i="83"/>
  <c r="P23" i="83"/>
  <c r="X23" i="83" s="1"/>
  <c r="N23" i="83"/>
  <c r="L23" i="83"/>
  <c r="H23" i="83"/>
  <c r="D23" i="83"/>
  <c r="X19" i="83"/>
  <c r="Z19" i="83" s="1"/>
  <c r="L19" i="83"/>
  <c r="N19" i="83" s="1"/>
  <c r="B19" i="83"/>
  <c r="Z18" i="83"/>
  <c r="X18" i="83"/>
  <c r="N18" i="83"/>
  <c r="L18" i="83"/>
  <c r="B18" i="83"/>
  <c r="X17" i="83"/>
  <c r="Z17" i="83" s="1"/>
  <c r="T17" i="83"/>
  <c r="P17" i="83"/>
  <c r="P21" i="83" s="1"/>
  <c r="H17" i="83"/>
  <c r="D17" i="83"/>
  <c r="X15" i="83"/>
  <c r="Z15" i="83" s="1"/>
  <c r="T15" i="83"/>
  <c r="P15" i="83"/>
  <c r="H15" i="83"/>
  <c r="D15" i="83"/>
  <c r="L15" i="83" s="1"/>
  <c r="B15" i="83"/>
  <c r="T14" i="83"/>
  <c r="T12" i="83" s="1"/>
  <c r="P14" i="83"/>
  <c r="N14" i="83"/>
  <c r="H14" i="83"/>
  <c r="L14" i="83" s="1"/>
  <c r="D14" i="83"/>
  <c r="B14" i="83"/>
  <c r="X13" i="83"/>
  <c r="Z13" i="83" s="1"/>
  <c r="T13" i="83"/>
  <c r="P13" i="83"/>
  <c r="P12" i="83" s="1"/>
  <c r="H13" i="83"/>
  <c r="D13" i="83"/>
  <c r="D12" i="83" s="1"/>
  <c r="F31" i="83" s="1"/>
  <c r="B13" i="83"/>
  <c r="H12" i="83"/>
  <c r="J25" i="83" s="1"/>
  <c r="D6" i="83"/>
  <c r="D4" i="83"/>
  <c r="R29" i="82"/>
  <c r="J29" i="82"/>
  <c r="F29" i="82"/>
  <c r="R26" i="82"/>
  <c r="J26" i="82"/>
  <c r="F26" i="82"/>
  <c r="Z24" i="82"/>
  <c r="X24" i="82"/>
  <c r="N24" i="82"/>
  <c r="L24" i="82"/>
  <c r="J24" i="82"/>
  <c r="F24" i="82"/>
  <c r="R22" i="82"/>
  <c r="J22" i="82"/>
  <c r="F22" i="82"/>
  <c r="Z20" i="82"/>
  <c r="T20" i="82"/>
  <c r="R20" i="82"/>
  <c r="P20" i="82"/>
  <c r="X20" i="82" s="1"/>
  <c r="N20" i="82"/>
  <c r="J20" i="82"/>
  <c r="H20" i="82"/>
  <c r="F20" i="82"/>
  <c r="D20" i="82"/>
  <c r="L20" i="82" s="1"/>
  <c r="Z18" i="82"/>
  <c r="T18" i="82"/>
  <c r="R18" i="82"/>
  <c r="P18" i="82"/>
  <c r="X18" i="82" s="1"/>
  <c r="N18" i="82"/>
  <c r="J18" i="82"/>
  <c r="H18" i="82"/>
  <c r="F18" i="82"/>
  <c r="D18" i="82"/>
  <c r="L18" i="82" s="1"/>
  <c r="R16" i="82"/>
  <c r="J16" i="82"/>
  <c r="F16" i="82"/>
  <c r="Z14" i="82"/>
  <c r="T14" i="82"/>
  <c r="R14" i="82"/>
  <c r="P14" i="82"/>
  <c r="X14" i="82" s="1"/>
  <c r="N14" i="82"/>
  <c r="J14" i="82"/>
  <c r="H14" i="82"/>
  <c r="F14" i="82"/>
  <c r="D14" i="82"/>
  <c r="L14" i="82" s="1"/>
  <c r="T12" i="82"/>
  <c r="V18" i="82" s="1"/>
  <c r="P12" i="82"/>
  <c r="P16" i="82" s="1"/>
  <c r="N12" i="82"/>
  <c r="H12" i="82"/>
  <c r="L12" i="82" s="1"/>
  <c r="D12" i="82"/>
  <c r="D6" i="82"/>
  <c r="D4" i="82"/>
  <c r="Z77" i="81"/>
  <c r="X77" i="81"/>
  <c r="N77" i="81"/>
  <c r="L77" i="81"/>
  <c r="T73" i="81"/>
  <c r="Z73" i="81" s="1"/>
  <c r="P73" i="81"/>
  <c r="X73" i="81" s="1"/>
  <c r="N73" i="81"/>
  <c r="H73" i="81"/>
  <c r="D73" i="81"/>
  <c r="L73" i="81" s="1"/>
  <c r="Z71" i="81"/>
  <c r="X71" i="81"/>
  <c r="N71" i="81"/>
  <c r="L71" i="81"/>
  <c r="B71" i="81"/>
  <c r="X70" i="81"/>
  <c r="Z70" i="81" s="1"/>
  <c r="T70" i="81"/>
  <c r="P70" i="81"/>
  <c r="L70" i="81"/>
  <c r="H70" i="81"/>
  <c r="D70" i="81"/>
  <c r="B70" i="81"/>
  <c r="Z69" i="81"/>
  <c r="X69" i="81"/>
  <c r="N69" i="81"/>
  <c r="L69" i="81"/>
  <c r="B69" i="81"/>
  <c r="X68" i="81"/>
  <c r="T68" i="81"/>
  <c r="P68" i="81"/>
  <c r="H68" i="81"/>
  <c r="D68" i="81"/>
  <c r="L68" i="81" s="1"/>
  <c r="B68" i="81"/>
  <c r="Z67" i="81"/>
  <c r="X67" i="81"/>
  <c r="V67" i="81"/>
  <c r="N67" i="81"/>
  <c r="L67" i="81"/>
  <c r="B67" i="81"/>
  <c r="X66" i="81"/>
  <c r="Z66" i="81" s="1"/>
  <c r="N66" i="81"/>
  <c r="L66" i="81"/>
  <c r="B66" i="81"/>
  <c r="Z65" i="81"/>
  <c r="X65" i="81"/>
  <c r="V65" i="81"/>
  <c r="N65" i="81"/>
  <c r="L65" i="81"/>
  <c r="B65" i="81"/>
  <c r="X64" i="81"/>
  <c r="Z64" i="81" s="1"/>
  <c r="L64" i="81"/>
  <c r="N64" i="81" s="1"/>
  <c r="B64" i="81"/>
  <c r="X63" i="81"/>
  <c r="Z63" i="81" s="1"/>
  <c r="N63" i="81"/>
  <c r="L63" i="81"/>
  <c r="B63" i="81"/>
  <c r="Z62" i="81"/>
  <c r="X62" i="81"/>
  <c r="N62" i="81"/>
  <c r="L62" i="81"/>
  <c r="B62" i="81"/>
  <c r="Z61" i="81"/>
  <c r="X61" i="81"/>
  <c r="V61" i="81"/>
  <c r="T61" i="81"/>
  <c r="P61" i="81"/>
  <c r="L61" i="81"/>
  <c r="N61" i="81" s="1"/>
  <c r="H61" i="81"/>
  <c r="D61" i="81"/>
  <c r="B61" i="81"/>
  <c r="Z60" i="81"/>
  <c r="X60" i="81"/>
  <c r="L60" i="81"/>
  <c r="N60" i="81" s="1"/>
  <c r="B60" i="81"/>
  <c r="T59" i="81"/>
  <c r="P59" i="81"/>
  <c r="X59" i="81" s="1"/>
  <c r="H59" i="81"/>
  <c r="F59" i="81"/>
  <c r="D59" i="81"/>
  <c r="L59" i="81" s="1"/>
  <c r="N59" i="81" s="1"/>
  <c r="B59" i="81"/>
  <c r="X58" i="81"/>
  <c r="Z58" i="81" s="1"/>
  <c r="L58" i="81"/>
  <c r="N58" i="81" s="1"/>
  <c r="B58" i="81"/>
  <c r="Z57" i="81"/>
  <c r="X57" i="81"/>
  <c r="N57" i="81"/>
  <c r="L57" i="81"/>
  <c r="B57" i="81"/>
  <c r="X56" i="81"/>
  <c r="Z56" i="81" s="1"/>
  <c r="L56" i="81"/>
  <c r="N56" i="81" s="1"/>
  <c r="B56" i="81"/>
  <c r="Z55" i="81"/>
  <c r="T55" i="81"/>
  <c r="P55" i="81"/>
  <c r="X55" i="81" s="1"/>
  <c r="N55" i="81"/>
  <c r="H55" i="81"/>
  <c r="D55" i="81"/>
  <c r="L55" i="81" s="1"/>
  <c r="B55" i="81"/>
  <c r="X54" i="81"/>
  <c r="Z54" i="81" s="1"/>
  <c r="L54" i="81"/>
  <c r="N54" i="81" s="1"/>
  <c r="B54" i="81"/>
  <c r="Z53" i="81"/>
  <c r="X53" i="81"/>
  <c r="N53" i="81"/>
  <c r="L53" i="81"/>
  <c r="B53" i="81"/>
  <c r="T52" i="81"/>
  <c r="P52" i="81"/>
  <c r="X52" i="81" s="1"/>
  <c r="L52" i="81"/>
  <c r="H52" i="81"/>
  <c r="D52" i="81"/>
  <c r="B52" i="81"/>
  <c r="Z51" i="81"/>
  <c r="X51" i="81"/>
  <c r="V51" i="81"/>
  <c r="N51" i="81"/>
  <c r="L51" i="81"/>
  <c r="B51" i="81"/>
  <c r="T50" i="81"/>
  <c r="P50" i="81"/>
  <c r="X50" i="81" s="1"/>
  <c r="H50" i="81"/>
  <c r="D50" i="81"/>
  <c r="B50" i="81"/>
  <c r="Z49" i="81"/>
  <c r="X49" i="81"/>
  <c r="L49" i="81"/>
  <c r="N49" i="81" s="1"/>
  <c r="B49" i="81"/>
  <c r="T48" i="81"/>
  <c r="P48" i="81"/>
  <c r="L48" i="81"/>
  <c r="H48" i="81"/>
  <c r="D48" i="81"/>
  <c r="B48" i="81"/>
  <c r="Z47" i="81"/>
  <c r="X47" i="81"/>
  <c r="N47" i="81"/>
  <c r="L47" i="81"/>
  <c r="B47" i="81"/>
  <c r="X46" i="81"/>
  <c r="T46" i="81"/>
  <c r="P46" i="81"/>
  <c r="H46" i="81"/>
  <c r="N46" i="81" s="1"/>
  <c r="D46" i="81"/>
  <c r="L46" i="81" s="1"/>
  <c r="B46" i="81"/>
  <c r="Z45" i="81"/>
  <c r="X45" i="81"/>
  <c r="V45" i="81"/>
  <c r="N45" i="81"/>
  <c r="L45" i="81"/>
  <c r="B45" i="81"/>
  <c r="V44" i="81"/>
  <c r="T44" i="81"/>
  <c r="P44" i="81"/>
  <c r="X44" i="81" s="1"/>
  <c r="L44" i="81"/>
  <c r="H44" i="81"/>
  <c r="N44" i="81" s="1"/>
  <c r="D44" i="81"/>
  <c r="B44" i="81"/>
  <c r="Z43" i="81"/>
  <c r="X43" i="81"/>
  <c r="N43" i="81"/>
  <c r="L43" i="81"/>
  <c r="B43" i="81"/>
  <c r="T42" i="81"/>
  <c r="P42" i="81"/>
  <c r="H42" i="81"/>
  <c r="D42" i="81"/>
  <c r="L42" i="81" s="1"/>
  <c r="B42" i="81"/>
  <c r="Z41" i="81"/>
  <c r="X41" i="81"/>
  <c r="N41" i="81"/>
  <c r="L41" i="81"/>
  <c r="B41" i="81"/>
  <c r="X40" i="81"/>
  <c r="Z40" i="81" s="1"/>
  <c r="T40" i="81"/>
  <c r="P40" i="81"/>
  <c r="L40" i="81"/>
  <c r="N40" i="81" s="1"/>
  <c r="H40" i="81"/>
  <c r="D40" i="81"/>
  <c r="B40" i="81"/>
  <c r="Z39" i="81"/>
  <c r="X39" i="81"/>
  <c r="V39" i="81"/>
  <c r="N39" i="81"/>
  <c r="L39" i="81"/>
  <c r="B39" i="81"/>
  <c r="T38" i="81"/>
  <c r="P38" i="81"/>
  <c r="X38" i="81" s="1"/>
  <c r="H38" i="81"/>
  <c r="D38" i="81"/>
  <c r="B38" i="81"/>
  <c r="Z37" i="81"/>
  <c r="X37" i="81"/>
  <c r="N37" i="81"/>
  <c r="L37" i="81"/>
  <c r="B37" i="81"/>
  <c r="X36" i="81"/>
  <c r="Z36" i="81" s="1"/>
  <c r="V36" i="81"/>
  <c r="L36" i="81"/>
  <c r="N36" i="81" s="1"/>
  <c r="B36" i="81"/>
  <c r="X35" i="81"/>
  <c r="Z35" i="81" s="1"/>
  <c r="V35" i="81"/>
  <c r="L35" i="81"/>
  <c r="N35" i="81" s="1"/>
  <c r="B35" i="81"/>
  <c r="Z34" i="81"/>
  <c r="X34" i="81"/>
  <c r="N34" i="81"/>
  <c r="L34" i="81"/>
  <c r="B34" i="81"/>
  <c r="Z33" i="81"/>
  <c r="X33" i="81"/>
  <c r="V33" i="81"/>
  <c r="N33" i="81"/>
  <c r="L33" i="81"/>
  <c r="B33" i="81"/>
  <c r="T32" i="81"/>
  <c r="P32" i="81"/>
  <c r="X32" i="81" s="1"/>
  <c r="H32" i="81"/>
  <c r="D32" i="81"/>
  <c r="L32" i="81" s="1"/>
  <c r="B32" i="81"/>
  <c r="Z31" i="81"/>
  <c r="X31" i="81"/>
  <c r="N31" i="81"/>
  <c r="L31" i="81"/>
  <c r="B31" i="81"/>
  <c r="X30" i="81"/>
  <c r="Z30" i="81" s="1"/>
  <c r="N30" i="81"/>
  <c r="L30" i="81"/>
  <c r="B30" i="81"/>
  <c r="Z29" i="81"/>
  <c r="X29" i="81"/>
  <c r="V29" i="81"/>
  <c r="N29" i="81"/>
  <c r="L29" i="81"/>
  <c r="B29" i="81"/>
  <c r="X28" i="81"/>
  <c r="Z28" i="81" s="1"/>
  <c r="N28" i="81"/>
  <c r="L28" i="81"/>
  <c r="J28" i="81"/>
  <c r="B28" i="81"/>
  <c r="Z27" i="81"/>
  <c r="X27" i="81"/>
  <c r="N27" i="81"/>
  <c r="L27" i="81"/>
  <c r="B27" i="81"/>
  <c r="Z26" i="81"/>
  <c r="X26" i="81"/>
  <c r="N26" i="81"/>
  <c r="L26" i="81"/>
  <c r="B26" i="81"/>
  <c r="Z25" i="81"/>
  <c r="X25" i="81"/>
  <c r="V25" i="81"/>
  <c r="N25" i="81"/>
  <c r="L25" i="81"/>
  <c r="B25" i="81"/>
  <c r="X24" i="81"/>
  <c r="Z24" i="81" s="1"/>
  <c r="N24" i="81"/>
  <c r="L24" i="81"/>
  <c r="B24" i="81"/>
  <c r="Z23" i="81"/>
  <c r="X23" i="81"/>
  <c r="T23" i="81"/>
  <c r="P23" i="81"/>
  <c r="H23" i="81"/>
  <c r="D23" i="81"/>
  <c r="B23" i="81"/>
  <c r="T22" i="81"/>
  <c r="Z22" i="81" s="1"/>
  <c r="P22" i="81"/>
  <c r="X22" i="81" s="1"/>
  <c r="H22" i="81"/>
  <c r="D22" i="81"/>
  <c r="Z18" i="81"/>
  <c r="X18" i="81"/>
  <c r="V18" i="81"/>
  <c r="L18" i="81"/>
  <c r="N18" i="81" s="1"/>
  <c r="B18" i="81"/>
  <c r="Z17" i="81"/>
  <c r="X17" i="81"/>
  <c r="V17" i="81"/>
  <c r="N17" i="81"/>
  <c r="L17" i="81"/>
  <c r="B17" i="81"/>
  <c r="T16" i="81"/>
  <c r="Z16" i="81" s="1"/>
  <c r="P16" i="81"/>
  <c r="X16" i="81" s="1"/>
  <c r="H16" i="81"/>
  <c r="D16" i="81"/>
  <c r="Z14" i="81"/>
  <c r="X14" i="81"/>
  <c r="T14" i="81"/>
  <c r="P14" i="81"/>
  <c r="H14" i="81"/>
  <c r="D14" i="81"/>
  <c r="L14" i="81" s="1"/>
  <c r="B14" i="81"/>
  <c r="T13" i="81"/>
  <c r="P13" i="81"/>
  <c r="L13" i="81"/>
  <c r="H13" i="81"/>
  <c r="H12" i="81" s="1"/>
  <c r="J71" i="81" s="1"/>
  <c r="D13" i="81"/>
  <c r="B13" i="81"/>
  <c r="T12" i="81"/>
  <c r="V71" i="81" s="1"/>
  <c r="D12" i="81"/>
  <c r="F31" i="81" s="1"/>
  <c r="D6" i="81"/>
  <c r="D4" i="81"/>
  <c r="X72" i="80"/>
  <c r="Z72" i="80" s="1"/>
  <c r="N72" i="80"/>
  <c r="L72" i="80"/>
  <c r="X68" i="80"/>
  <c r="T68" i="80"/>
  <c r="Z68" i="80" s="1"/>
  <c r="P68" i="80"/>
  <c r="N68" i="80"/>
  <c r="J68" i="80"/>
  <c r="H68" i="80"/>
  <c r="D68" i="80"/>
  <c r="L68" i="80" s="1"/>
  <c r="Z66" i="80"/>
  <c r="X66" i="80"/>
  <c r="L66" i="80"/>
  <c r="N66" i="80" s="1"/>
  <c r="B66" i="80"/>
  <c r="T65" i="80"/>
  <c r="P65" i="80"/>
  <c r="H65" i="80"/>
  <c r="N65" i="80" s="1"/>
  <c r="D65" i="80"/>
  <c r="L65" i="80" s="1"/>
  <c r="B65" i="80"/>
  <c r="X64" i="80"/>
  <c r="Z64" i="80" s="1"/>
  <c r="R64" i="80"/>
  <c r="N64" i="80"/>
  <c r="L64" i="80"/>
  <c r="B64" i="80"/>
  <c r="Z63" i="80"/>
  <c r="X63" i="80"/>
  <c r="T63" i="80"/>
  <c r="P63" i="80"/>
  <c r="N63" i="80"/>
  <c r="L63" i="80"/>
  <c r="H63" i="80"/>
  <c r="D63" i="80"/>
  <c r="B63" i="80"/>
  <c r="X62" i="80"/>
  <c r="Z62" i="80" s="1"/>
  <c r="N62" i="80"/>
  <c r="L62" i="80"/>
  <c r="J62" i="80"/>
  <c r="B62" i="80"/>
  <c r="T61" i="80"/>
  <c r="P61" i="80"/>
  <c r="X61" i="80" s="1"/>
  <c r="L61" i="80"/>
  <c r="H61" i="80"/>
  <c r="D61" i="80"/>
  <c r="B61" i="80"/>
  <c r="X60" i="80"/>
  <c r="Z60" i="80" s="1"/>
  <c r="N60" i="80"/>
  <c r="L60" i="80"/>
  <c r="J60" i="80"/>
  <c r="B60" i="80"/>
  <c r="Z59" i="80"/>
  <c r="X59" i="80"/>
  <c r="L59" i="80"/>
  <c r="N59" i="80" s="1"/>
  <c r="B59" i="80"/>
  <c r="Z58" i="80"/>
  <c r="X58" i="80"/>
  <c r="N58" i="80"/>
  <c r="L58" i="80"/>
  <c r="B58" i="80"/>
  <c r="X57" i="80"/>
  <c r="Z57" i="80" s="1"/>
  <c r="L57" i="80"/>
  <c r="N57" i="80" s="1"/>
  <c r="B57" i="80"/>
  <c r="Z56" i="80"/>
  <c r="X56" i="80"/>
  <c r="N56" i="80"/>
  <c r="L56" i="80"/>
  <c r="J56" i="80"/>
  <c r="B56" i="80"/>
  <c r="T55" i="80"/>
  <c r="P55" i="80"/>
  <c r="X55" i="80" s="1"/>
  <c r="Z55" i="80" s="1"/>
  <c r="H55" i="80"/>
  <c r="D55" i="80"/>
  <c r="L55" i="80" s="1"/>
  <c r="B55" i="80"/>
  <c r="X54" i="80"/>
  <c r="Z54" i="80" s="1"/>
  <c r="N54" i="80"/>
  <c r="L54" i="80"/>
  <c r="B54" i="80"/>
  <c r="X53" i="80"/>
  <c r="Z53" i="80" s="1"/>
  <c r="N53" i="80"/>
  <c r="L53" i="80"/>
  <c r="B53" i="80"/>
  <c r="Z52" i="80"/>
  <c r="X52" i="80"/>
  <c r="N52" i="80"/>
  <c r="L52" i="80"/>
  <c r="B52" i="80"/>
  <c r="T51" i="80"/>
  <c r="Z51" i="80" s="1"/>
  <c r="P51" i="80"/>
  <c r="X51" i="80" s="1"/>
  <c r="L51" i="80"/>
  <c r="H51" i="80"/>
  <c r="N51" i="80" s="1"/>
  <c r="D51" i="80"/>
  <c r="B51" i="80"/>
  <c r="Z50" i="80"/>
  <c r="X50" i="80"/>
  <c r="N50" i="80"/>
  <c r="L50" i="80"/>
  <c r="J50" i="80"/>
  <c r="B50" i="80"/>
  <c r="T49" i="80"/>
  <c r="Z49" i="80" s="1"/>
  <c r="P49" i="80"/>
  <c r="X49" i="80" s="1"/>
  <c r="H49" i="80"/>
  <c r="D49" i="80"/>
  <c r="B49" i="80"/>
  <c r="X48" i="80"/>
  <c r="Z48" i="80" s="1"/>
  <c r="N48" i="80"/>
  <c r="L48" i="80"/>
  <c r="J48" i="80"/>
  <c r="B48" i="80"/>
  <c r="Z47" i="80"/>
  <c r="X47" i="80"/>
  <c r="N47" i="80"/>
  <c r="L47" i="80"/>
  <c r="B47" i="80"/>
  <c r="Z46" i="80"/>
  <c r="X46" i="80"/>
  <c r="N46" i="80"/>
  <c r="L46" i="80"/>
  <c r="B46" i="80"/>
  <c r="T45" i="80"/>
  <c r="P45" i="80"/>
  <c r="X45" i="80" s="1"/>
  <c r="N45" i="80"/>
  <c r="H45" i="80"/>
  <c r="D45" i="80"/>
  <c r="L45" i="80" s="1"/>
  <c r="B45" i="80"/>
  <c r="Z44" i="80"/>
  <c r="X44" i="80"/>
  <c r="N44" i="80"/>
  <c r="L44" i="80"/>
  <c r="B44" i="80"/>
  <c r="T43" i="80"/>
  <c r="P43" i="80"/>
  <c r="X43" i="80" s="1"/>
  <c r="L43" i="80"/>
  <c r="H43" i="80"/>
  <c r="D43" i="80"/>
  <c r="B43" i="80"/>
  <c r="Z42" i="80"/>
  <c r="X42" i="80"/>
  <c r="N42" i="80"/>
  <c r="L42" i="80"/>
  <c r="J42" i="80"/>
  <c r="B42" i="80"/>
  <c r="T41" i="80"/>
  <c r="P41" i="80"/>
  <c r="X41" i="80" s="1"/>
  <c r="L41" i="80"/>
  <c r="H41" i="80"/>
  <c r="D41" i="80"/>
  <c r="B41" i="80"/>
  <c r="X40" i="80"/>
  <c r="Z40" i="80" s="1"/>
  <c r="N40" i="80"/>
  <c r="L40" i="80"/>
  <c r="J40" i="80"/>
  <c r="B40" i="80"/>
  <c r="T39" i="80"/>
  <c r="P39" i="80"/>
  <c r="X39" i="80" s="1"/>
  <c r="Z39" i="80" s="1"/>
  <c r="H39" i="80"/>
  <c r="D39" i="80"/>
  <c r="B39" i="80"/>
  <c r="X38" i="80"/>
  <c r="Z38" i="80" s="1"/>
  <c r="N38" i="80"/>
  <c r="L38" i="80"/>
  <c r="B38" i="80"/>
  <c r="X37" i="80"/>
  <c r="T37" i="80"/>
  <c r="P37" i="80"/>
  <c r="H37" i="80"/>
  <c r="N37" i="80" s="1"/>
  <c r="D37" i="80"/>
  <c r="L37" i="80" s="1"/>
  <c r="B37" i="80"/>
  <c r="Z36" i="80"/>
  <c r="X36" i="80"/>
  <c r="N36" i="80"/>
  <c r="L36" i="80"/>
  <c r="B36" i="80"/>
  <c r="X35" i="80"/>
  <c r="Z35" i="80" s="1"/>
  <c r="N35" i="80"/>
  <c r="L35" i="80"/>
  <c r="B35" i="80"/>
  <c r="Z34" i="80"/>
  <c r="X34" i="80"/>
  <c r="N34" i="80"/>
  <c r="L34" i="80"/>
  <c r="J34" i="80"/>
  <c r="B34" i="80"/>
  <c r="Z33" i="80"/>
  <c r="X33" i="80"/>
  <c r="N33" i="80"/>
  <c r="L33" i="80"/>
  <c r="B33" i="80"/>
  <c r="Z32" i="80"/>
  <c r="X32" i="80"/>
  <c r="N32" i="80"/>
  <c r="L32" i="80"/>
  <c r="B32" i="80"/>
  <c r="T31" i="80"/>
  <c r="P31" i="80"/>
  <c r="H31" i="80"/>
  <c r="N31" i="80" s="1"/>
  <c r="D31" i="80"/>
  <c r="L31" i="80" s="1"/>
  <c r="B31" i="80"/>
  <c r="Z30" i="80"/>
  <c r="X30" i="80"/>
  <c r="N30" i="80"/>
  <c r="L30" i="80"/>
  <c r="B30" i="80"/>
  <c r="Z29" i="80"/>
  <c r="X29" i="80"/>
  <c r="N29" i="80"/>
  <c r="L29" i="80"/>
  <c r="B29" i="80"/>
  <c r="Z28" i="80"/>
  <c r="X28" i="80"/>
  <c r="N28" i="80"/>
  <c r="L28" i="80"/>
  <c r="J28" i="80"/>
  <c r="B28" i="80"/>
  <c r="Z27" i="80"/>
  <c r="X27" i="80"/>
  <c r="L27" i="80"/>
  <c r="N27" i="80" s="1"/>
  <c r="B27" i="80"/>
  <c r="Z26" i="80"/>
  <c r="X26" i="80"/>
  <c r="N26" i="80"/>
  <c r="L26" i="80"/>
  <c r="B26" i="80"/>
  <c r="X25" i="80"/>
  <c r="Z25" i="80" s="1"/>
  <c r="L25" i="80"/>
  <c r="N25" i="80" s="1"/>
  <c r="B25" i="80"/>
  <c r="X24" i="80"/>
  <c r="Z24" i="80" s="1"/>
  <c r="N24" i="80"/>
  <c r="L24" i="80"/>
  <c r="J24" i="80"/>
  <c r="B24" i="80"/>
  <c r="T23" i="80"/>
  <c r="P23" i="80"/>
  <c r="X23" i="80" s="1"/>
  <c r="Z23" i="80" s="1"/>
  <c r="H23" i="80"/>
  <c r="D23" i="80"/>
  <c r="B23" i="80"/>
  <c r="T22" i="80"/>
  <c r="P22" i="80"/>
  <c r="J22" i="80"/>
  <c r="H22" i="80"/>
  <c r="D22" i="80"/>
  <c r="L22" i="80" s="1"/>
  <c r="N22" i="80" s="1"/>
  <c r="X18" i="80"/>
  <c r="Z18" i="80" s="1"/>
  <c r="N18" i="80"/>
  <c r="L18" i="80"/>
  <c r="B18" i="80"/>
  <c r="X17" i="80"/>
  <c r="Z17" i="80" s="1"/>
  <c r="N17" i="80"/>
  <c r="L17" i="80"/>
  <c r="B17" i="80"/>
  <c r="T16" i="80"/>
  <c r="P16" i="80"/>
  <c r="X16" i="80" s="1"/>
  <c r="Z16" i="80" s="1"/>
  <c r="H16" i="80"/>
  <c r="D16" i="80"/>
  <c r="T14" i="80"/>
  <c r="P14" i="80"/>
  <c r="N14" i="80"/>
  <c r="L14" i="80"/>
  <c r="H14" i="80"/>
  <c r="D14" i="80"/>
  <c r="B14" i="80"/>
  <c r="T13" i="80"/>
  <c r="P13" i="80"/>
  <c r="P12" i="80" s="1"/>
  <c r="R63" i="80" s="1"/>
  <c r="H13" i="80"/>
  <c r="D13" i="80"/>
  <c r="D12" i="80" s="1"/>
  <c r="B13" i="80"/>
  <c r="H12" i="80"/>
  <c r="J72" i="80" s="1"/>
  <c r="D6" i="80"/>
  <c r="D4" i="80"/>
  <c r="Z66" i="79"/>
  <c r="X66" i="79"/>
  <c r="L66" i="79"/>
  <c r="N66" i="79" s="1"/>
  <c r="Z62" i="79"/>
  <c r="T62" i="79"/>
  <c r="P62" i="79"/>
  <c r="X62" i="79" s="1"/>
  <c r="H62" i="79"/>
  <c r="N62" i="79" s="1"/>
  <c r="D62" i="79"/>
  <c r="B62" i="79"/>
  <c r="T61" i="79"/>
  <c r="P61" i="79"/>
  <c r="H61" i="79"/>
  <c r="N61" i="79" s="1"/>
  <c r="D61" i="79"/>
  <c r="L61" i="79" s="1"/>
  <c r="B61" i="79"/>
  <c r="Z60" i="79"/>
  <c r="T60" i="79"/>
  <c r="P60" i="79"/>
  <c r="X60" i="79" s="1"/>
  <c r="L60" i="79"/>
  <c r="H60" i="79"/>
  <c r="N60" i="79" s="1"/>
  <c r="D60" i="79"/>
  <c r="B60" i="79"/>
  <c r="X59" i="79"/>
  <c r="T59" i="79"/>
  <c r="P59" i="79"/>
  <c r="H59" i="79"/>
  <c r="N59" i="79" s="1"/>
  <c r="D59" i="79"/>
  <c r="L59" i="79" s="1"/>
  <c r="B59" i="79"/>
  <c r="Z58" i="79"/>
  <c r="T58" i="79"/>
  <c r="P58" i="79"/>
  <c r="X58" i="79" s="1"/>
  <c r="H58" i="79"/>
  <c r="L58" i="79" s="1"/>
  <c r="N58" i="79" s="1"/>
  <c r="D58" i="79"/>
  <c r="B58" i="79"/>
  <c r="P57" i="79"/>
  <c r="H57" i="79"/>
  <c r="D57" i="79"/>
  <c r="L57" i="79" s="1"/>
  <c r="Z55" i="79"/>
  <c r="X55" i="79"/>
  <c r="L55" i="79"/>
  <c r="N55" i="79" s="1"/>
  <c r="B55" i="79"/>
  <c r="T54" i="79"/>
  <c r="P54" i="79"/>
  <c r="X54" i="79" s="1"/>
  <c r="Z54" i="79" s="1"/>
  <c r="L54" i="79"/>
  <c r="H54" i="79"/>
  <c r="N54" i="79" s="1"/>
  <c r="D54" i="79"/>
  <c r="B54" i="79"/>
  <c r="X53" i="79"/>
  <c r="Z53" i="79" s="1"/>
  <c r="N53" i="79"/>
  <c r="L53" i="79"/>
  <c r="B53" i="79"/>
  <c r="Z52" i="79"/>
  <c r="X52" i="79"/>
  <c r="N52" i="79"/>
  <c r="L52" i="79"/>
  <c r="B52" i="79"/>
  <c r="T51" i="79"/>
  <c r="P51" i="79"/>
  <c r="X51" i="79" s="1"/>
  <c r="L51" i="79"/>
  <c r="H51" i="79"/>
  <c r="D51" i="79"/>
  <c r="B51" i="79"/>
  <c r="Z50" i="79"/>
  <c r="X50" i="79"/>
  <c r="N50" i="79"/>
  <c r="L50" i="79"/>
  <c r="B50" i="79"/>
  <c r="T49" i="79"/>
  <c r="P49" i="79"/>
  <c r="X49" i="79" s="1"/>
  <c r="L49" i="79"/>
  <c r="H49" i="79"/>
  <c r="D49" i="79"/>
  <c r="B49" i="79"/>
  <c r="X48" i="79"/>
  <c r="Z48" i="79" s="1"/>
  <c r="N48" i="79"/>
  <c r="L48" i="79"/>
  <c r="B48" i="79"/>
  <c r="T47" i="79"/>
  <c r="P47" i="79"/>
  <c r="X47" i="79" s="1"/>
  <c r="Z47" i="79" s="1"/>
  <c r="H47" i="79"/>
  <c r="N47" i="79" s="1"/>
  <c r="D47" i="79"/>
  <c r="B47" i="79"/>
  <c r="X46" i="79"/>
  <c r="Z46" i="79" s="1"/>
  <c r="N46" i="79"/>
  <c r="L46" i="79"/>
  <c r="B46" i="79"/>
  <c r="X45" i="79"/>
  <c r="Z45" i="79" s="1"/>
  <c r="N45" i="79"/>
  <c r="L45" i="79"/>
  <c r="B45" i="79"/>
  <c r="T44" i="79"/>
  <c r="P44" i="79"/>
  <c r="X44" i="79" s="1"/>
  <c r="Z44" i="79" s="1"/>
  <c r="H44" i="79"/>
  <c r="D44" i="79"/>
  <c r="B44" i="79"/>
  <c r="X43" i="79"/>
  <c r="Z43" i="79" s="1"/>
  <c r="N43" i="79"/>
  <c r="L43" i="79"/>
  <c r="B43" i="79"/>
  <c r="T42" i="79"/>
  <c r="X42" i="79" s="1"/>
  <c r="Z42" i="79" s="1"/>
  <c r="P42" i="79"/>
  <c r="H42" i="79"/>
  <c r="D42" i="79"/>
  <c r="L42" i="79" s="1"/>
  <c r="N42" i="79" s="1"/>
  <c r="B42" i="79"/>
  <c r="Z41" i="79"/>
  <c r="X41" i="79"/>
  <c r="N41" i="79"/>
  <c r="L41" i="79"/>
  <c r="B41" i="79"/>
  <c r="X40" i="79"/>
  <c r="T40" i="79"/>
  <c r="Z40" i="79" s="1"/>
  <c r="P40" i="79"/>
  <c r="N40" i="79"/>
  <c r="H40" i="79"/>
  <c r="D40" i="79"/>
  <c r="L40" i="79" s="1"/>
  <c r="B40" i="79"/>
  <c r="X39" i="79"/>
  <c r="Z39" i="79" s="1"/>
  <c r="N39" i="79"/>
  <c r="L39" i="79"/>
  <c r="B39" i="79"/>
  <c r="Z38" i="79"/>
  <c r="X38" i="79"/>
  <c r="N38" i="79"/>
  <c r="L38" i="79"/>
  <c r="B38" i="79"/>
  <c r="X37" i="79"/>
  <c r="Z37" i="79" s="1"/>
  <c r="N37" i="79"/>
  <c r="L37" i="79"/>
  <c r="B37" i="79"/>
  <c r="T36" i="79"/>
  <c r="P36" i="79"/>
  <c r="X36" i="79" s="1"/>
  <c r="Z36" i="79" s="1"/>
  <c r="H36" i="79"/>
  <c r="D36" i="79"/>
  <c r="B36" i="79"/>
  <c r="X35" i="79"/>
  <c r="Z35" i="79" s="1"/>
  <c r="N35" i="79"/>
  <c r="L35" i="79"/>
  <c r="B35" i="79"/>
  <c r="Z34" i="79"/>
  <c r="X34" i="79"/>
  <c r="N34" i="79"/>
  <c r="L34" i="79"/>
  <c r="J34" i="79"/>
  <c r="B34" i="79"/>
  <c r="Z33" i="79"/>
  <c r="X33" i="79"/>
  <c r="L33" i="79"/>
  <c r="N33" i="79" s="1"/>
  <c r="B33" i="79"/>
  <c r="Z32" i="79"/>
  <c r="X32" i="79"/>
  <c r="L32" i="79"/>
  <c r="N32" i="79" s="1"/>
  <c r="J32" i="79"/>
  <c r="B32" i="79"/>
  <c r="X31" i="79"/>
  <c r="Z31" i="79" s="1"/>
  <c r="N31" i="79"/>
  <c r="L31" i="79"/>
  <c r="B31" i="79"/>
  <c r="Z30" i="79"/>
  <c r="X30" i="79"/>
  <c r="N30" i="79"/>
  <c r="L30" i="79"/>
  <c r="J30" i="79"/>
  <c r="B30" i="79"/>
  <c r="Z29" i="79"/>
  <c r="X29" i="79"/>
  <c r="L29" i="79"/>
  <c r="N29" i="79" s="1"/>
  <c r="B29" i="79"/>
  <c r="T28" i="79"/>
  <c r="P28" i="79"/>
  <c r="X28" i="79" s="1"/>
  <c r="Z28" i="79" s="1"/>
  <c r="N28" i="79"/>
  <c r="H28" i="79"/>
  <c r="L28" i="79" s="1"/>
  <c r="D28" i="79"/>
  <c r="B28" i="79"/>
  <c r="Z27" i="79"/>
  <c r="T27" i="79"/>
  <c r="P27" i="79"/>
  <c r="X27" i="79" s="1"/>
  <c r="L27" i="79"/>
  <c r="J27" i="79"/>
  <c r="H27" i="79"/>
  <c r="D27" i="79"/>
  <c r="Z23" i="79"/>
  <c r="X23" i="79"/>
  <c r="N23" i="79"/>
  <c r="L23" i="79"/>
  <c r="B23" i="79"/>
  <c r="Z22" i="79"/>
  <c r="X22" i="79"/>
  <c r="L22" i="79"/>
  <c r="N22" i="79" s="1"/>
  <c r="B22" i="79"/>
  <c r="X21" i="79"/>
  <c r="Z21" i="79" s="1"/>
  <c r="V21" i="79"/>
  <c r="N21" i="79"/>
  <c r="L21" i="79"/>
  <c r="B21" i="79"/>
  <c r="X20" i="79"/>
  <c r="Z20" i="79" s="1"/>
  <c r="N20" i="79"/>
  <c r="L20" i="79"/>
  <c r="B20" i="79"/>
  <c r="Z19" i="79"/>
  <c r="X19" i="79"/>
  <c r="N19" i="79"/>
  <c r="L19" i="79"/>
  <c r="B19" i="79"/>
  <c r="T18" i="79"/>
  <c r="P18" i="79"/>
  <c r="J18" i="79"/>
  <c r="H18" i="79"/>
  <c r="D18" i="79"/>
  <c r="L18" i="79" s="1"/>
  <c r="T16" i="79"/>
  <c r="Z16" i="79" s="1"/>
  <c r="P16" i="79"/>
  <c r="X16" i="79" s="1"/>
  <c r="H16" i="79"/>
  <c r="D16" i="79"/>
  <c r="L16" i="79" s="1"/>
  <c r="N16" i="79" s="1"/>
  <c r="B16" i="79"/>
  <c r="T15" i="79"/>
  <c r="P15" i="79"/>
  <c r="L15" i="79"/>
  <c r="H15" i="79"/>
  <c r="D15" i="79"/>
  <c r="B15" i="79"/>
  <c r="T14" i="79"/>
  <c r="T12" i="79" s="1"/>
  <c r="P14" i="79"/>
  <c r="L14" i="79"/>
  <c r="N14" i="79" s="1"/>
  <c r="H14" i="79"/>
  <c r="D14" i="79"/>
  <c r="B14" i="79"/>
  <c r="Z13" i="79"/>
  <c r="T13" i="79"/>
  <c r="X13" i="79" s="1"/>
  <c r="P13" i="79"/>
  <c r="H13" i="79"/>
  <c r="H12" i="79" s="1"/>
  <c r="J29" i="79" s="1"/>
  <c r="D13" i="79"/>
  <c r="L13" i="79" s="1"/>
  <c r="N13" i="79" s="1"/>
  <c r="B13" i="79"/>
  <c r="D12" i="79"/>
  <c r="D6" i="79"/>
  <c r="D4" i="79"/>
  <c r="X103" i="77"/>
  <c r="Z103" i="77" s="1"/>
  <c r="N103" i="77"/>
  <c r="L103" i="77"/>
  <c r="T99" i="77"/>
  <c r="P99" i="77"/>
  <c r="H99" i="77"/>
  <c r="D99" i="77"/>
  <c r="L99" i="77" s="1"/>
  <c r="B99" i="77"/>
  <c r="X98" i="77"/>
  <c r="T98" i="77"/>
  <c r="Z98" i="77" s="1"/>
  <c r="P98" i="77"/>
  <c r="N98" i="77"/>
  <c r="H98" i="77"/>
  <c r="D98" i="77"/>
  <c r="B98" i="77"/>
  <c r="X97" i="77"/>
  <c r="Z97" i="77" s="1"/>
  <c r="T97" i="77"/>
  <c r="P97" i="77"/>
  <c r="H97" i="77"/>
  <c r="L97" i="77" s="1"/>
  <c r="N97" i="77" s="1"/>
  <c r="D97" i="77"/>
  <c r="B97" i="77"/>
  <c r="Z94" i="77"/>
  <c r="X94" i="77"/>
  <c r="N94" i="77"/>
  <c r="L94" i="77"/>
  <c r="B94" i="77"/>
  <c r="Z93" i="77"/>
  <c r="T93" i="77"/>
  <c r="P93" i="77"/>
  <c r="X93" i="77" s="1"/>
  <c r="H93" i="77"/>
  <c r="N93" i="77" s="1"/>
  <c r="D93" i="77"/>
  <c r="B93" i="77"/>
  <c r="Z92" i="77"/>
  <c r="X92" i="77"/>
  <c r="N92" i="77"/>
  <c r="L92" i="77"/>
  <c r="B92" i="77"/>
  <c r="Z91" i="77"/>
  <c r="X91" i="77"/>
  <c r="T91" i="77"/>
  <c r="P91" i="77"/>
  <c r="L91" i="77"/>
  <c r="H91" i="77"/>
  <c r="N91" i="77" s="1"/>
  <c r="D91" i="77"/>
  <c r="B91" i="77"/>
  <c r="X90" i="77"/>
  <c r="Z90" i="77" s="1"/>
  <c r="N90" i="77"/>
  <c r="L90" i="77"/>
  <c r="B90" i="77"/>
  <c r="T89" i="77"/>
  <c r="X89" i="77" s="1"/>
  <c r="Z89" i="77" s="1"/>
  <c r="P89" i="77"/>
  <c r="N89" i="77"/>
  <c r="L89" i="77"/>
  <c r="H89" i="77"/>
  <c r="D89" i="77"/>
  <c r="B89" i="77"/>
  <c r="X88" i="77"/>
  <c r="Z88" i="77" s="1"/>
  <c r="L88" i="77"/>
  <c r="N88" i="77" s="1"/>
  <c r="B88" i="77"/>
  <c r="X87" i="77"/>
  <c r="Z87" i="77" s="1"/>
  <c r="N87" i="77"/>
  <c r="L87" i="77"/>
  <c r="B87" i="77"/>
  <c r="Z86" i="77"/>
  <c r="T86" i="77"/>
  <c r="P86" i="77"/>
  <c r="X86" i="77" s="1"/>
  <c r="N86" i="77"/>
  <c r="L86" i="77"/>
  <c r="H86" i="77"/>
  <c r="D86" i="77"/>
  <c r="B86" i="77"/>
  <c r="X85" i="77"/>
  <c r="Z85" i="77" s="1"/>
  <c r="L85" i="77"/>
  <c r="N85" i="77" s="1"/>
  <c r="B85" i="77"/>
  <c r="X84" i="77"/>
  <c r="T84" i="77"/>
  <c r="P84" i="77"/>
  <c r="H84" i="77"/>
  <c r="L84" i="77" s="1"/>
  <c r="N84" i="77" s="1"/>
  <c r="D84" i="77"/>
  <c r="B84" i="77"/>
  <c r="Z83" i="77"/>
  <c r="X83" i="77"/>
  <c r="L83" i="77"/>
  <c r="N83" i="77" s="1"/>
  <c r="B83" i="77"/>
  <c r="X82" i="77"/>
  <c r="Z82" i="77" s="1"/>
  <c r="T82" i="77"/>
  <c r="P82" i="77"/>
  <c r="H82" i="77"/>
  <c r="D82" i="77"/>
  <c r="B82" i="77"/>
  <c r="Z81" i="77"/>
  <c r="X81" i="77"/>
  <c r="N81" i="77"/>
  <c r="L81" i="77"/>
  <c r="B81" i="77"/>
  <c r="T80" i="77"/>
  <c r="P80" i="77"/>
  <c r="X80" i="77" s="1"/>
  <c r="N80" i="77"/>
  <c r="H80" i="77"/>
  <c r="D80" i="77"/>
  <c r="L80" i="77" s="1"/>
  <c r="B80" i="77"/>
  <c r="X79" i="77"/>
  <c r="Z79" i="77" s="1"/>
  <c r="L79" i="77"/>
  <c r="N79" i="77" s="1"/>
  <c r="B79" i="77"/>
  <c r="T78" i="77"/>
  <c r="Z78" i="77" s="1"/>
  <c r="P78" i="77"/>
  <c r="X78" i="77" s="1"/>
  <c r="L78" i="77"/>
  <c r="H78" i="77"/>
  <c r="D78" i="77"/>
  <c r="B78" i="77"/>
  <c r="Z77" i="77"/>
  <c r="X77" i="77"/>
  <c r="N77" i="77"/>
  <c r="L77" i="77"/>
  <c r="B77" i="77"/>
  <c r="T76" i="77"/>
  <c r="P76" i="77"/>
  <c r="H76" i="77"/>
  <c r="D76" i="77"/>
  <c r="B76" i="77"/>
  <c r="X75" i="77"/>
  <c r="Z75" i="77" s="1"/>
  <c r="L75" i="77"/>
  <c r="N75" i="77" s="1"/>
  <c r="B75" i="77"/>
  <c r="Z74" i="77"/>
  <c r="T74" i="77"/>
  <c r="P74" i="77"/>
  <c r="X74" i="77" s="1"/>
  <c r="L74" i="77"/>
  <c r="H74" i="77"/>
  <c r="N74" i="77" s="1"/>
  <c r="D74" i="77"/>
  <c r="B74" i="77"/>
  <c r="X73" i="77"/>
  <c r="Z73" i="77" s="1"/>
  <c r="N73" i="77"/>
  <c r="L73" i="77"/>
  <c r="B73" i="77"/>
  <c r="X72" i="77"/>
  <c r="T72" i="77"/>
  <c r="P72" i="77"/>
  <c r="L72" i="77"/>
  <c r="H72" i="77"/>
  <c r="N72" i="77" s="1"/>
  <c r="D72" i="77"/>
  <c r="B72" i="77"/>
  <c r="Z71" i="77"/>
  <c r="X71" i="77"/>
  <c r="L71" i="77"/>
  <c r="N71" i="77" s="1"/>
  <c r="B71" i="77"/>
  <c r="Z70" i="77"/>
  <c r="X70" i="77"/>
  <c r="N70" i="77"/>
  <c r="L70" i="77"/>
  <c r="B70" i="77"/>
  <c r="X69" i="77"/>
  <c r="Z69" i="77" s="1"/>
  <c r="N69" i="77"/>
  <c r="L69" i="77"/>
  <c r="B69" i="77"/>
  <c r="Z68" i="77"/>
  <c r="X68" i="77"/>
  <c r="N68" i="77"/>
  <c r="L68" i="77"/>
  <c r="B68" i="77"/>
  <c r="T67" i="77"/>
  <c r="P67" i="77"/>
  <c r="X67" i="77" s="1"/>
  <c r="Z67" i="77" s="1"/>
  <c r="N67" i="77"/>
  <c r="L67" i="77"/>
  <c r="H67" i="77"/>
  <c r="D67" i="77"/>
  <c r="B67" i="77"/>
  <c r="X66" i="77"/>
  <c r="Z66" i="77" s="1"/>
  <c r="L66" i="77"/>
  <c r="N66" i="77" s="1"/>
  <c r="B66" i="77"/>
  <c r="Z65" i="77"/>
  <c r="X65" i="77"/>
  <c r="L65" i="77"/>
  <c r="N65" i="77" s="1"/>
  <c r="B65" i="77"/>
  <c r="Z64" i="77"/>
  <c r="X64" i="77"/>
  <c r="L64" i="77"/>
  <c r="N64" i="77" s="1"/>
  <c r="B64" i="77"/>
  <c r="X63" i="77"/>
  <c r="Z63" i="77" s="1"/>
  <c r="L63" i="77"/>
  <c r="N63" i="77" s="1"/>
  <c r="B63" i="77"/>
  <c r="Z62" i="77"/>
  <c r="X62" i="77"/>
  <c r="N62" i="77"/>
  <c r="L62" i="77"/>
  <c r="B62" i="77"/>
  <c r="Z61" i="77"/>
  <c r="X61" i="77"/>
  <c r="N61" i="77"/>
  <c r="L61" i="77"/>
  <c r="B61" i="77"/>
  <c r="Z60" i="77"/>
  <c r="X60" i="77"/>
  <c r="L60" i="77"/>
  <c r="N60" i="77" s="1"/>
  <c r="B60" i="77"/>
  <c r="X59" i="77"/>
  <c r="Z59" i="77" s="1"/>
  <c r="N59" i="77"/>
  <c r="L59" i="77"/>
  <c r="B59" i="77"/>
  <c r="X58" i="77"/>
  <c r="Z58" i="77" s="1"/>
  <c r="N58" i="77"/>
  <c r="L58" i="77"/>
  <c r="B58" i="77"/>
  <c r="T57" i="77"/>
  <c r="P57" i="77"/>
  <c r="H57" i="77"/>
  <c r="D57" i="77"/>
  <c r="L57" i="77" s="1"/>
  <c r="B57" i="77"/>
  <c r="T56" i="77"/>
  <c r="P56" i="77"/>
  <c r="H56" i="77"/>
  <c r="D56" i="77"/>
  <c r="L56" i="77" s="1"/>
  <c r="X52" i="77"/>
  <c r="Z52" i="77" s="1"/>
  <c r="N52" i="77"/>
  <c r="L52" i="77"/>
  <c r="B52" i="77"/>
  <c r="X51" i="77"/>
  <c r="Z51" i="77" s="1"/>
  <c r="N51" i="77"/>
  <c r="L51" i="77"/>
  <c r="B51" i="77"/>
  <c r="Z50" i="77"/>
  <c r="X50" i="77"/>
  <c r="N50" i="77"/>
  <c r="L50" i="77"/>
  <c r="B50" i="77"/>
  <c r="Z49" i="77"/>
  <c r="X49" i="77"/>
  <c r="N49" i="77"/>
  <c r="L49" i="77"/>
  <c r="B49" i="77"/>
  <c r="X48" i="77"/>
  <c r="Z48" i="77" s="1"/>
  <c r="N48" i="77"/>
  <c r="L48" i="77"/>
  <c r="B48" i="77"/>
  <c r="Z47" i="77"/>
  <c r="X47" i="77"/>
  <c r="N47" i="77"/>
  <c r="L47" i="77"/>
  <c r="B47" i="77"/>
  <c r="X46" i="77"/>
  <c r="Z46" i="77" s="1"/>
  <c r="N46" i="77"/>
  <c r="L46" i="77"/>
  <c r="B46" i="77"/>
  <c r="Z45" i="77"/>
  <c r="X45" i="77"/>
  <c r="N45" i="77"/>
  <c r="L45" i="77"/>
  <c r="B45" i="77"/>
  <c r="X44" i="77"/>
  <c r="Z44" i="77" s="1"/>
  <c r="V44" i="77"/>
  <c r="N44" i="77"/>
  <c r="L44" i="77"/>
  <c r="B44" i="77"/>
  <c r="X43" i="77"/>
  <c r="Z43" i="77" s="1"/>
  <c r="N43" i="77"/>
  <c r="L43" i="77"/>
  <c r="B43" i="77"/>
  <c r="X42" i="77"/>
  <c r="Z42" i="77" s="1"/>
  <c r="L42" i="77"/>
  <c r="N42" i="77" s="1"/>
  <c r="B42" i="77"/>
  <c r="Z41" i="77"/>
  <c r="X41" i="77"/>
  <c r="N41" i="77"/>
  <c r="L41" i="77"/>
  <c r="B41" i="77"/>
  <c r="X40" i="77"/>
  <c r="Z40" i="77" s="1"/>
  <c r="N40" i="77"/>
  <c r="L40" i="77"/>
  <c r="B40" i="77"/>
  <c r="X39" i="77"/>
  <c r="Z39" i="77" s="1"/>
  <c r="N39" i="77"/>
  <c r="L39" i="77"/>
  <c r="B39" i="77"/>
  <c r="Z38" i="77"/>
  <c r="X38" i="77"/>
  <c r="T38" i="77"/>
  <c r="P38" i="77"/>
  <c r="L38" i="77"/>
  <c r="H38" i="77"/>
  <c r="D38" i="77"/>
  <c r="X36" i="77"/>
  <c r="T36" i="77"/>
  <c r="Z36" i="77" s="1"/>
  <c r="P36" i="77"/>
  <c r="N36" i="77"/>
  <c r="H36" i="77"/>
  <c r="D36" i="77"/>
  <c r="L36" i="77" s="1"/>
  <c r="B36" i="77"/>
  <c r="X35" i="77"/>
  <c r="Z35" i="77" s="1"/>
  <c r="T35" i="77"/>
  <c r="P35" i="77"/>
  <c r="N35" i="77"/>
  <c r="L35" i="77"/>
  <c r="H35" i="77"/>
  <c r="D35" i="77"/>
  <c r="B35" i="77"/>
  <c r="T34" i="77"/>
  <c r="Z34" i="77" s="1"/>
  <c r="P34" i="77"/>
  <c r="X34" i="77" s="1"/>
  <c r="H34" i="77"/>
  <c r="N34" i="77" s="1"/>
  <c r="D34" i="77"/>
  <c r="B34" i="77"/>
  <c r="Z33" i="77"/>
  <c r="X33" i="77"/>
  <c r="T33" i="77"/>
  <c r="P33" i="77"/>
  <c r="H33" i="77"/>
  <c r="N33" i="77" s="1"/>
  <c r="D33" i="77"/>
  <c r="L33" i="77" s="1"/>
  <c r="B33" i="77"/>
  <c r="T32" i="77"/>
  <c r="P32" i="77"/>
  <c r="X32" i="77" s="1"/>
  <c r="Z32" i="77" s="1"/>
  <c r="N32" i="77"/>
  <c r="L32" i="77"/>
  <c r="H32" i="77"/>
  <c r="D32" i="77"/>
  <c r="B32" i="77"/>
  <c r="Z31" i="77"/>
  <c r="X31" i="77"/>
  <c r="T31" i="77"/>
  <c r="P31" i="77"/>
  <c r="H31" i="77"/>
  <c r="N31" i="77" s="1"/>
  <c r="D31" i="77"/>
  <c r="L31" i="77" s="1"/>
  <c r="B31" i="77"/>
  <c r="X30" i="77"/>
  <c r="T30" i="77"/>
  <c r="Z30" i="77" s="1"/>
  <c r="P30" i="77"/>
  <c r="N30" i="77"/>
  <c r="H30" i="77"/>
  <c r="D30" i="77"/>
  <c r="B30" i="77"/>
  <c r="T29" i="77"/>
  <c r="P29" i="77"/>
  <c r="L29" i="77"/>
  <c r="N29" i="77" s="1"/>
  <c r="H29" i="77"/>
  <c r="D29" i="77"/>
  <c r="B29" i="77"/>
  <c r="T28" i="77"/>
  <c r="P28" i="77"/>
  <c r="L28" i="77"/>
  <c r="N28" i="77" s="1"/>
  <c r="H28" i="77"/>
  <c r="D28" i="77"/>
  <c r="B28" i="77"/>
  <c r="T27" i="77"/>
  <c r="P27" i="77"/>
  <c r="X27" i="77" s="1"/>
  <c r="Z27" i="77" s="1"/>
  <c r="L27" i="77"/>
  <c r="N27" i="77" s="1"/>
  <c r="H27" i="77"/>
  <c r="D27" i="77"/>
  <c r="B27" i="77"/>
  <c r="X26" i="77"/>
  <c r="T26" i="77"/>
  <c r="P26" i="77"/>
  <c r="H26" i="77"/>
  <c r="N26" i="77" s="1"/>
  <c r="D26" i="77"/>
  <c r="L26" i="77" s="1"/>
  <c r="B26" i="77"/>
  <c r="X25" i="77"/>
  <c r="Z25" i="77" s="1"/>
  <c r="T25" i="77"/>
  <c r="P25" i="77"/>
  <c r="N25" i="77"/>
  <c r="L25" i="77"/>
  <c r="H25" i="77"/>
  <c r="D25" i="77"/>
  <c r="B25" i="77"/>
  <c r="X24" i="77"/>
  <c r="T24" i="77"/>
  <c r="Z24" i="77" s="1"/>
  <c r="P24" i="77"/>
  <c r="H24" i="77"/>
  <c r="D24" i="77"/>
  <c r="L24" i="77" s="1"/>
  <c r="N24" i="77" s="1"/>
  <c r="B24" i="77"/>
  <c r="X23" i="77"/>
  <c r="Z23" i="77" s="1"/>
  <c r="T23" i="77"/>
  <c r="P23" i="77"/>
  <c r="H23" i="77"/>
  <c r="D23" i="77"/>
  <c r="L23" i="77" s="1"/>
  <c r="N23" i="77" s="1"/>
  <c r="B23" i="77"/>
  <c r="T22" i="77"/>
  <c r="P22" i="77"/>
  <c r="X22" i="77" s="1"/>
  <c r="H22" i="77"/>
  <c r="D22" i="77"/>
  <c r="B22" i="77"/>
  <c r="Z21" i="77"/>
  <c r="X21" i="77"/>
  <c r="T21" i="77"/>
  <c r="P21" i="77"/>
  <c r="H21" i="77"/>
  <c r="D21" i="77"/>
  <c r="B21" i="77"/>
  <c r="T20" i="77"/>
  <c r="P20" i="77"/>
  <c r="X20" i="77" s="1"/>
  <c r="Z20" i="77" s="1"/>
  <c r="N20" i="77"/>
  <c r="L20" i="77"/>
  <c r="H20" i="77"/>
  <c r="D20" i="77"/>
  <c r="B20" i="77"/>
  <c r="Z19" i="77"/>
  <c r="X19" i="77"/>
  <c r="T19" i="77"/>
  <c r="P19" i="77"/>
  <c r="H19" i="77"/>
  <c r="D19" i="77"/>
  <c r="L19" i="77" s="1"/>
  <c r="B19" i="77"/>
  <c r="X18" i="77"/>
  <c r="T18" i="77"/>
  <c r="P18" i="77"/>
  <c r="H18" i="77"/>
  <c r="D18" i="77"/>
  <c r="B18" i="77"/>
  <c r="T17" i="77"/>
  <c r="P17" i="77"/>
  <c r="L17" i="77"/>
  <c r="N17" i="77" s="1"/>
  <c r="H17" i="77"/>
  <c r="D17" i="77"/>
  <c r="B17" i="77"/>
  <c r="Z16" i="77"/>
  <c r="T16" i="77"/>
  <c r="X16" i="77" s="1"/>
  <c r="P16" i="77"/>
  <c r="L16" i="77"/>
  <c r="N16" i="77" s="1"/>
  <c r="H16" i="77"/>
  <c r="D16" i="77"/>
  <c r="B16" i="77"/>
  <c r="T15" i="77"/>
  <c r="P15" i="77"/>
  <c r="X15" i="77" s="1"/>
  <c r="Z15" i="77" s="1"/>
  <c r="L15" i="77"/>
  <c r="N15" i="77" s="1"/>
  <c r="H15" i="77"/>
  <c r="D15" i="77"/>
  <c r="B15" i="77"/>
  <c r="T14" i="77"/>
  <c r="P14" i="77"/>
  <c r="H14" i="77"/>
  <c r="N14" i="77" s="1"/>
  <c r="D14" i="77"/>
  <c r="L14" i="77" s="1"/>
  <c r="B14" i="77"/>
  <c r="X13" i="77"/>
  <c r="Z13" i="77" s="1"/>
  <c r="T13" i="77"/>
  <c r="P13" i="77"/>
  <c r="H13" i="77"/>
  <c r="D13" i="77"/>
  <c r="B13" i="77"/>
  <c r="T12" i="77"/>
  <c r="D6" i="77"/>
  <c r="D4" i="77"/>
  <c r="Z75" i="76"/>
  <c r="X75" i="76"/>
  <c r="L75" i="76"/>
  <c r="N75" i="76" s="1"/>
  <c r="X71" i="76"/>
  <c r="T71" i="76"/>
  <c r="T70" i="76" s="1"/>
  <c r="P71" i="76"/>
  <c r="H71" i="76"/>
  <c r="D71" i="76"/>
  <c r="D70" i="76" s="1"/>
  <c r="B71" i="76"/>
  <c r="P70" i="76"/>
  <c r="Z68" i="76"/>
  <c r="X68" i="76"/>
  <c r="N68" i="76"/>
  <c r="L68" i="76"/>
  <c r="B68" i="76"/>
  <c r="Z67" i="76"/>
  <c r="T67" i="76"/>
  <c r="P67" i="76"/>
  <c r="X67" i="76" s="1"/>
  <c r="N67" i="76"/>
  <c r="H67" i="76"/>
  <c r="D67" i="76"/>
  <c r="L67" i="76" s="1"/>
  <c r="B67" i="76"/>
  <c r="Z66" i="76"/>
  <c r="X66" i="76"/>
  <c r="N66" i="76"/>
  <c r="L66" i="76"/>
  <c r="B66" i="76"/>
  <c r="T65" i="76"/>
  <c r="P65" i="76"/>
  <c r="L65" i="76"/>
  <c r="H65" i="76"/>
  <c r="N65" i="76" s="1"/>
  <c r="D65" i="76"/>
  <c r="B65" i="76"/>
  <c r="Z64" i="76"/>
  <c r="X64" i="76"/>
  <c r="N64" i="76"/>
  <c r="L64" i="76"/>
  <c r="F64" i="76"/>
  <c r="B64" i="76"/>
  <c r="X63" i="76"/>
  <c r="Z63" i="76" s="1"/>
  <c r="N63" i="76"/>
  <c r="L63" i="76"/>
  <c r="B63" i="76"/>
  <c r="X62" i="76"/>
  <c r="Z62" i="76" s="1"/>
  <c r="L62" i="76"/>
  <c r="N62" i="76" s="1"/>
  <c r="B62" i="76"/>
  <c r="X61" i="76"/>
  <c r="Z61" i="76" s="1"/>
  <c r="N61" i="76"/>
  <c r="L61" i="76"/>
  <c r="B61" i="76"/>
  <c r="T60" i="76"/>
  <c r="P60" i="76"/>
  <c r="X60" i="76" s="1"/>
  <c r="Z60" i="76" s="1"/>
  <c r="H60" i="76"/>
  <c r="D60" i="76"/>
  <c r="L60" i="76" s="1"/>
  <c r="B60" i="76"/>
  <c r="X59" i="76"/>
  <c r="Z59" i="76" s="1"/>
  <c r="N59" i="76"/>
  <c r="L59" i="76"/>
  <c r="B59" i="76"/>
  <c r="Z58" i="76"/>
  <c r="X58" i="76"/>
  <c r="T58" i="76"/>
  <c r="P58" i="76"/>
  <c r="H58" i="76"/>
  <c r="D58" i="76"/>
  <c r="B58" i="76"/>
  <c r="Z57" i="76"/>
  <c r="X57" i="76"/>
  <c r="L57" i="76"/>
  <c r="N57" i="76" s="1"/>
  <c r="B57" i="76"/>
  <c r="Z56" i="76"/>
  <c r="X56" i="76"/>
  <c r="N56" i="76"/>
  <c r="L56" i="76"/>
  <c r="B56" i="76"/>
  <c r="X55" i="76"/>
  <c r="T55" i="76"/>
  <c r="Z55" i="76" s="1"/>
  <c r="P55" i="76"/>
  <c r="L55" i="76"/>
  <c r="H55" i="76"/>
  <c r="D55" i="76"/>
  <c r="B55" i="76"/>
  <c r="X54" i="76"/>
  <c r="Z54" i="76" s="1"/>
  <c r="N54" i="76"/>
  <c r="L54" i="76"/>
  <c r="B54" i="76"/>
  <c r="T53" i="76"/>
  <c r="P53" i="76"/>
  <c r="X53" i="76" s="1"/>
  <c r="H53" i="76"/>
  <c r="D53" i="76"/>
  <c r="L53" i="76" s="1"/>
  <c r="N53" i="76" s="1"/>
  <c r="B53" i="76"/>
  <c r="Z52" i="76"/>
  <c r="X52" i="76"/>
  <c r="N52" i="76"/>
  <c r="L52" i="76"/>
  <c r="B52" i="76"/>
  <c r="T51" i="76"/>
  <c r="Z51" i="76" s="1"/>
  <c r="P51" i="76"/>
  <c r="H51" i="76"/>
  <c r="N51" i="76" s="1"/>
  <c r="D51" i="76"/>
  <c r="L51" i="76" s="1"/>
  <c r="B51" i="76"/>
  <c r="Z50" i="76"/>
  <c r="X50" i="76"/>
  <c r="N50" i="76"/>
  <c r="L50" i="76"/>
  <c r="B50" i="76"/>
  <c r="T49" i="76"/>
  <c r="P49" i="76"/>
  <c r="X49" i="76" s="1"/>
  <c r="Z49" i="76" s="1"/>
  <c r="H49" i="76"/>
  <c r="D49" i="76"/>
  <c r="L49" i="76" s="1"/>
  <c r="N49" i="76" s="1"/>
  <c r="B49" i="76"/>
  <c r="X48" i="76"/>
  <c r="Z48" i="76" s="1"/>
  <c r="L48" i="76"/>
  <c r="N48" i="76" s="1"/>
  <c r="B48" i="76"/>
  <c r="T47" i="76"/>
  <c r="P47" i="76"/>
  <c r="X47" i="76" s="1"/>
  <c r="H47" i="76"/>
  <c r="F47" i="76"/>
  <c r="D47" i="76"/>
  <c r="L47" i="76" s="1"/>
  <c r="B47" i="76"/>
  <c r="X46" i="76"/>
  <c r="Z46" i="76" s="1"/>
  <c r="N46" i="76"/>
  <c r="L46" i="76"/>
  <c r="B46" i="76"/>
  <c r="T45" i="76"/>
  <c r="P45" i="76"/>
  <c r="X45" i="76" s="1"/>
  <c r="Z45" i="76" s="1"/>
  <c r="N45" i="76"/>
  <c r="H45" i="76"/>
  <c r="D45" i="76"/>
  <c r="L45" i="76" s="1"/>
  <c r="B45" i="76"/>
  <c r="X44" i="76"/>
  <c r="Z44" i="76" s="1"/>
  <c r="L44" i="76"/>
  <c r="N44" i="76" s="1"/>
  <c r="B44" i="76"/>
  <c r="X43" i="76"/>
  <c r="Z43" i="76" s="1"/>
  <c r="N43" i="76"/>
  <c r="L43" i="76"/>
  <c r="B43" i="76"/>
  <c r="X42" i="76"/>
  <c r="Z42" i="76" s="1"/>
  <c r="L42" i="76"/>
  <c r="N42" i="76" s="1"/>
  <c r="B42" i="76"/>
  <c r="X41" i="76"/>
  <c r="Z41" i="76" s="1"/>
  <c r="N41" i="76"/>
  <c r="L41" i="76"/>
  <c r="B41" i="76"/>
  <c r="T40" i="76"/>
  <c r="P40" i="76"/>
  <c r="X40" i="76" s="1"/>
  <c r="Z40" i="76" s="1"/>
  <c r="H40" i="76"/>
  <c r="F40" i="76"/>
  <c r="D40" i="76"/>
  <c r="L40" i="76" s="1"/>
  <c r="N40" i="76" s="1"/>
  <c r="B40" i="76"/>
  <c r="Z39" i="76"/>
  <c r="X39" i="76"/>
  <c r="N39" i="76"/>
  <c r="L39" i="76"/>
  <c r="B39" i="76"/>
  <c r="Z38" i="76"/>
  <c r="X38" i="76"/>
  <c r="L38" i="76"/>
  <c r="N38" i="76" s="1"/>
  <c r="B38" i="76"/>
  <c r="Z37" i="76"/>
  <c r="X37" i="76"/>
  <c r="N37" i="76"/>
  <c r="L37" i="76"/>
  <c r="B37" i="76"/>
  <c r="X36" i="76"/>
  <c r="Z36" i="76" s="1"/>
  <c r="L36" i="76"/>
  <c r="N36" i="76" s="1"/>
  <c r="B36" i="76"/>
  <c r="Z35" i="76"/>
  <c r="X35" i="76"/>
  <c r="N35" i="76"/>
  <c r="L35" i="76"/>
  <c r="B35" i="76"/>
  <c r="X34" i="76"/>
  <c r="Z34" i="76" s="1"/>
  <c r="L34" i="76"/>
  <c r="N34" i="76" s="1"/>
  <c r="B34" i="76"/>
  <c r="Z33" i="76"/>
  <c r="X33" i="76"/>
  <c r="N33" i="76"/>
  <c r="L33" i="76"/>
  <c r="B33" i="76"/>
  <c r="X32" i="76"/>
  <c r="Z32" i="76" s="1"/>
  <c r="L32" i="76"/>
  <c r="N32" i="76" s="1"/>
  <c r="F32" i="76"/>
  <c r="B32" i="76"/>
  <c r="T31" i="76"/>
  <c r="P31" i="76"/>
  <c r="X31" i="76" s="1"/>
  <c r="H31" i="76"/>
  <c r="D31" i="76"/>
  <c r="L31" i="76" s="1"/>
  <c r="B31" i="76"/>
  <c r="T30" i="76"/>
  <c r="P30" i="76"/>
  <c r="X30" i="76" s="1"/>
  <c r="H30" i="76"/>
  <c r="D30" i="76"/>
  <c r="L30" i="76" s="1"/>
  <c r="T26" i="76"/>
  <c r="Z26" i="76" s="1"/>
  <c r="P26" i="76"/>
  <c r="X26" i="76" s="1"/>
  <c r="H26" i="76"/>
  <c r="N26" i="76" s="1"/>
  <c r="D26" i="76"/>
  <c r="L26" i="76" s="1"/>
  <c r="T24" i="76"/>
  <c r="Z24" i="76" s="1"/>
  <c r="P24" i="76"/>
  <c r="X24" i="76" s="1"/>
  <c r="N24" i="76"/>
  <c r="L24" i="76"/>
  <c r="H24" i="76"/>
  <c r="D24" i="76"/>
  <c r="B24" i="76"/>
  <c r="Z23" i="76"/>
  <c r="T23" i="76"/>
  <c r="X23" i="76" s="1"/>
  <c r="P23" i="76"/>
  <c r="H23" i="76"/>
  <c r="N23" i="76" s="1"/>
  <c r="D23" i="76"/>
  <c r="B23" i="76"/>
  <c r="T22" i="76"/>
  <c r="Z22" i="76" s="1"/>
  <c r="P22" i="76"/>
  <c r="N22" i="76"/>
  <c r="L22" i="76"/>
  <c r="H22" i="76"/>
  <c r="D22" i="76"/>
  <c r="B22" i="76"/>
  <c r="T21" i="76"/>
  <c r="P21" i="76"/>
  <c r="H21" i="76"/>
  <c r="N21" i="76" s="1"/>
  <c r="D21" i="76"/>
  <c r="B21" i="76"/>
  <c r="T20" i="76"/>
  <c r="P20" i="76"/>
  <c r="X20" i="76" s="1"/>
  <c r="L20" i="76"/>
  <c r="N20" i="76" s="1"/>
  <c r="H20" i="76"/>
  <c r="D20" i="76"/>
  <c r="B20" i="76"/>
  <c r="Z19" i="76"/>
  <c r="T19" i="76"/>
  <c r="X19" i="76" s="1"/>
  <c r="P19" i="76"/>
  <c r="H19" i="76"/>
  <c r="D19" i="76"/>
  <c r="B19" i="76"/>
  <c r="T18" i="76"/>
  <c r="P18" i="76"/>
  <c r="X18" i="76" s="1"/>
  <c r="L18" i="76"/>
  <c r="N18" i="76" s="1"/>
  <c r="H18" i="76"/>
  <c r="D18" i="76"/>
  <c r="B18" i="76"/>
  <c r="T17" i="76"/>
  <c r="P17" i="76"/>
  <c r="H17" i="76"/>
  <c r="N17" i="76" s="1"/>
  <c r="D17" i="76"/>
  <c r="B17" i="76"/>
  <c r="T16" i="76"/>
  <c r="P16" i="76"/>
  <c r="X16" i="76" s="1"/>
  <c r="L16" i="76"/>
  <c r="N16" i="76" s="1"/>
  <c r="H16" i="76"/>
  <c r="D16" i="76"/>
  <c r="B16" i="76"/>
  <c r="Z15" i="76"/>
  <c r="T15" i="76"/>
  <c r="X15" i="76" s="1"/>
  <c r="P15" i="76"/>
  <c r="H15" i="76"/>
  <c r="D15" i="76"/>
  <c r="B15" i="76"/>
  <c r="T14" i="76"/>
  <c r="P14" i="76"/>
  <c r="L14" i="76"/>
  <c r="N14" i="76" s="1"/>
  <c r="H14" i="76"/>
  <c r="D14" i="76"/>
  <c r="B14" i="76"/>
  <c r="T13" i="76"/>
  <c r="P13" i="76"/>
  <c r="H13" i="76"/>
  <c r="D13" i="76"/>
  <c r="D12" i="76" s="1"/>
  <c r="F75" i="76" s="1"/>
  <c r="B13" i="76"/>
  <c r="D6" i="76"/>
  <c r="D4" i="76"/>
  <c r="X112" i="75"/>
  <c r="Z112" i="75" s="1"/>
  <c r="L112" i="75"/>
  <c r="N112" i="75" s="1"/>
  <c r="T108" i="75"/>
  <c r="P108" i="75"/>
  <c r="P107" i="75" s="1"/>
  <c r="H108" i="75"/>
  <c r="N108" i="75" s="1"/>
  <c r="D108" i="75"/>
  <c r="L108" i="75" s="1"/>
  <c r="B108" i="75"/>
  <c r="X105" i="75"/>
  <c r="Z105" i="75" s="1"/>
  <c r="N105" i="75"/>
  <c r="L105" i="75"/>
  <c r="B105" i="75"/>
  <c r="Z104" i="75"/>
  <c r="X104" i="75"/>
  <c r="N104" i="75"/>
  <c r="L104" i="75"/>
  <c r="B104" i="75"/>
  <c r="X103" i="75"/>
  <c r="T103" i="75"/>
  <c r="Z103" i="75" s="1"/>
  <c r="P103" i="75"/>
  <c r="L103" i="75"/>
  <c r="J103" i="75"/>
  <c r="H103" i="75"/>
  <c r="N103" i="75" s="1"/>
  <c r="D103" i="75"/>
  <c r="B103" i="75"/>
  <c r="X102" i="75"/>
  <c r="Z102" i="75" s="1"/>
  <c r="N102" i="75"/>
  <c r="L102" i="75"/>
  <c r="J102" i="75"/>
  <c r="B102" i="75"/>
  <c r="T101" i="75"/>
  <c r="Z101" i="75" s="1"/>
  <c r="P101" i="75"/>
  <c r="X101" i="75" s="1"/>
  <c r="H101" i="75"/>
  <c r="N101" i="75" s="1"/>
  <c r="D101" i="75"/>
  <c r="B101" i="75"/>
  <c r="X100" i="75"/>
  <c r="Z100" i="75" s="1"/>
  <c r="L100" i="75"/>
  <c r="N100" i="75" s="1"/>
  <c r="B100" i="75"/>
  <c r="Z99" i="75"/>
  <c r="T99" i="75"/>
  <c r="P99" i="75"/>
  <c r="X99" i="75" s="1"/>
  <c r="J99" i="75"/>
  <c r="H99" i="75"/>
  <c r="D99" i="75"/>
  <c r="L99" i="75" s="1"/>
  <c r="N99" i="75" s="1"/>
  <c r="B99" i="75"/>
  <c r="X98" i="75"/>
  <c r="Z98" i="75" s="1"/>
  <c r="L98" i="75"/>
  <c r="N98" i="75" s="1"/>
  <c r="B98" i="75"/>
  <c r="X97" i="75"/>
  <c r="Z97" i="75" s="1"/>
  <c r="N97" i="75"/>
  <c r="L97" i="75"/>
  <c r="B97" i="75"/>
  <c r="X96" i="75"/>
  <c r="Z96" i="75" s="1"/>
  <c r="N96" i="75"/>
  <c r="L96" i="75"/>
  <c r="B96" i="75"/>
  <c r="X95" i="75"/>
  <c r="Z95" i="75" s="1"/>
  <c r="N95" i="75"/>
  <c r="L95" i="75"/>
  <c r="B95" i="75"/>
  <c r="X94" i="75"/>
  <c r="Z94" i="75" s="1"/>
  <c r="L94" i="75"/>
  <c r="N94" i="75" s="1"/>
  <c r="B94" i="75"/>
  <c r="X93" i="75"/>
  <c r="T93" i="75"/>
  <c r="Z93" i="75" s="1"/>
  <c r="P93" i="75"/>
  <c r="L93" i="75"/>
  <c r="J93" i="75"/>
  <c r="H93" i="75"/>
  <c r="N93" i="75" s="1"/>
  <c r="D93" i="75"/>
  <c r="B93" i="75"/>
  <c r="Z92" i="75"/>
  <c r="X92" i="75"/>
  <c r="N92" i="75"/>
  <c r="L92" i="75"/>
  <c r="J92" i="75"/>
  <c r="B92" i="75"/>
  <c r="Z91" i="75"/>
  <c r="X91" i="75"/>
  <c r="N91" i="75"/>
  <c r="L91" i="75"/>
  <c r="B91" i="75"/>
  <c r="T90" i="75"/>
  <c r="P90" i="75"/>
  <c r="L90" i="75"/>
  <c r="N90" i="75" s="1"/>
  <c r="H90" i="75"/>
  <c r="D90" i="75"/>
  <c r="B90" i="75"/>
  <c r="Z89" i="75"/>
  <c r="X89" i="75"/>
  <c r="L89" i="75"/>
  <c r="N89" i="75" s="1"/>
  <c r="J89" i="75"/>
  <c r="B89" i="75"/>
  <c r="X88" i="75"/>
  <c r="Z88" i="75" s="1"/>
  <c r="N88" i="75"/>
  <c r="L88" i="75"/>
  <c r="B88" i="75"/>
  <c r="T87" i="75"/>
  <c r="P87" i="75"/>
  <c r="X87" i="75" s="1"/>
  <c r="Z87" i="75" s="1"/>
  <c r="J87" i="75"/>
  <c r="H87" i="75"/>
  <c r="D87" i="75"/>
  <c r="L87" i="75" s="1"/>
  <c r="N87" i="75" s="1"/>
  <c r="B87" i="75"/>
  <c r="X86" i="75"/>
  <c r="Z86" i="75" s="1"/>
  <c r="N86" i="75"/>
  <c r="L86" i="75"/>
  <c r="B86" i="75"/>
  <c r="X85" i="75"/>
  <c r="Z85" i="75" s="1"/>
  <c r="N85" i="75"/>
  <c r="L85" i="75"/>
  <c r="B85" i="75"/>
  <c r="X84" i="75"/>
  <c r="Z84" i="75" s="1"/>
  <c r="T84" i="75"/>
  <c r="P84" i="75"/>
  <c r="N84" i="75"/>
  <c r="H84" i="75"/>
  <c r="D84" i="75"/>
  <c r="L84" i="75" s="1"/>
  <c r="B84" i="75"/>
  <c r="Z83" i="75"/>
  <c r="X83" i="75"/>
  <c r="N83" i="75"/>
  <c r="L83" i="75"/>
  <c r="B83" i="75"/>
  <c r="X82" i="75"/>
  <c r="T82" i="75"/>
  <c r="P82" i="75"/>
  <c r="L82" i="75"/>
  <c r="N82" i="75" s="1"/>
  <c r="H82" i="75"/>
  <c r="D82" i="75"/>
  <c r="B82" i="75"/>
  <c r="Z81" i="75"/>
  <c r="X81" i="75"/>
  <c r="N81" i="75"/>
  <c r="L81" i="75"/>
  <c r="J81" i="75"/>
  <c r="B81" i="75"/>
  <c r="T80" i="75"/>
  <c r="P80" i="75"/>
  <c r="X80" i="75" s="1"/>
  <c r="H80" i="75"/>
  <c r="N80" i="75" s="1"/>
  <c r="D80" i="75"/>
  <c r="B80" i="75"/>
  <c r="Z79" i="75"/>
  <c r="X79" i="75"/>
  <c r="N79" i="75"/>
  <c r="L79" i="75"/>
  <c r="B79" i="75"/>
  <c r="X78" i="75"/>
  <c r="Z78" i="75" s="1"/>
  <c r="L78" i="75"/>
  <c r="N78" i="75" s="1"/>
  <c r="B78" i="75"/>
  <c r="X77" i="75"/>
  <c r="T77" i="75"/>
  <c r="Z77" i="75" s="1"/>
  <c r="P77" i="75"/>
  <c r="L77" i="75"/>
  <c r="J77" i="75"/>
  <c r="H77" i="75"/>
  <c r="N77" i="75" s="1"/>
  <c r="D77" i="75"/>
  <c r="B77" i="75"/>
  <c r="Z76" i="75"/>
  <c r="X76" i="75"/>
  <c r="N76" i="75"/>
  <c r="L76" i="75"/>
  <c r="J76" i="75"/>
  <c r="B76" i="75"/>
  <c r="Z75" i="75"/>
  <c r="T75" i="75"/>
  <c r="X75" i="75" s="1"/>
  <c r="P75" i="75"/>
  <c r="H75" i="75"/>
  <c r="N75" i="75" s="1"/>
  <c r="D75" i="75"/>
  <c r="L75" i="75" s="1"/>
  <c r="B75" i="75"/>
  <c r="Z74" i="75"/>
  <c r="X74" i="75"/>
  <c r="L74" i="75"/>
  <c r="N74" i="75" s="1"/>
  <c r="B74" i="75"/>
  <c r="Z73" i="75"/>
  <c r="X73" i="75"/>
  <c r="L73" i="75"/>
  <c r="N73" i="75" s="1"/>
  <c r="J73" i="75"/>
  <c r="B73" i="75"/>
  <c r="T72" i="75"/>
  <c r="P72" i="75"/>
  <c r="X72" i="75" s="1"/>
  <c r="H72" i="75"/>
  <c r="D72" i="75"/>
  <c r="B72" i="75"/>
  <c r="X71" i="75"/>
  <c r="Z71" i="75" s="1"/>
  <c r="N71" i="75"/>
  <c r="L71" i="75"/>
  <c r="B71" i="75"/>
  <c r="T70" i="75"/>
  <c r="P70" i="75"/>
  <c r="X70" i="75" s="1"/>
  <c r="Z70" i="75" s="1"/>
  <c r="H70" i="75"/>
  <c r="D70" i="75"/>
  <c r="L70" i="75" s="1"/>
  <c r="N70" i="75" s="1"/>
  <c r="B70" i="75"/>
  <c r="Z69" i="75"/>
  <c r="X69" i="75"/>
  <c r="N69" i="75"/>
  <c r="L69" i="75"/>
  <c r="J69" i="75"/>
  <c r="B69" i="75"/>
  <c r="Z68" i="75"/>
  <c r="X68" i="75"/>
  <c r="L68" i="75"/>
  <c r="N68" i="75" s="1"/>
  <c r="J68" i="75"/>
  <c r="B68" i="75"/>
  <c r="Z67" i="75"/>
  <c r="X67" i="75"/>
  <c r="N67" i="75"/>
  <c r="L67" i="75"/>
  <c r="J67" i="75"/>
  <c r="B67" i="75"/>
  <c r="X66" i="75"/>
  <c r="Z66" i="75" s="1"/>
  <c r="N66" i="75"/>
  <c r="L66" i="75"/>
  <c r="J66" i="75"/>
  <c r="B66" i="75"/>
  <c r="Z65" i="75"/>
  <c r="X65" i="75"/>
  <c r="N65" i="75"/>
  <c r="L65" i="75"/>
  <c r="J65" i="75"/>
  <c r="B65" i="75"/>
  <c r="Z64" i="75"/>
  <c r="X64" i="75"/>
  <c r="L64" i="75"/>
  <c r="N64" i="75" s="1"/>
  <c r="J64" i="75"/>
  <c r="B64" i="75"/>
  <c r="T63" i="75"/>
  <c r="P63" i="75"/>
  <c r="X63" i="75" s="1"/>
  <c r="Z63" i="75" s="1"/>
  <c r="H63" i="75"/>
  <c r="N63" i="75" s="1"/>
  <c r="D63" i="75"/>
  <c r="L63" i="75" s="1"/>
  <c r="B63" i="75"/>
  <c r="Z62" i="75"/>
  <c r="X62" i="75"/>
  <c r="L62" i="75"/>
  <c r="N62" i="75" s="1"/>
  <c r="B62" i="75"/>
  <c r="Z61" i="75"/>
  <c r="X61" i="75"/>
  <c r="L61" i="75"/>
  <c r="N61" i="75" s="1"/>
  <c r="J61" i="75"/>
  <c r="B61" i="75"/>
  <c r="X60" i="75"/>
  <c r="Z60" i="75" s="1"/>
  <c r="L60" i="75"/>
  <c r="N60" i="75" s="1"/>
  <c r="B60" i="75"/>
  <c r="Z59" i="75"/>
  <c r="X59" i="75"/>
  <c r="L59" i="75"/>
  <c r="N59" i="75" s="1"/>
  <c r="J59" i="75"/>
  <c r="B59" i="75"/>
  <c r="Z58" i="75"/>
  <c r="X58" i="75"/>
  <c r="L58" i="75"/>
  <c r="N58" i="75" s="1"/>
  <c r="B58" i="75"/>
  <c r="Z57" i="75"/>
  <c r="X57" i="75"/>
  <c r="L57" i="75"/>
  <c r="N57" i="75" s="1"/>
  <c r="J57" i="75"/>
  <c r="B57" i="75"/>
  <c r="X56" i="75"/>
  <c r="Z56" i="75" s="1"/>
  <c r="L56" i="75"/>
  <c r="N56" i="75" s="1"/>
  <c r="B56" i="75"/>
  <c r="Z55" i="75"/>
  <c r="X55" i="75"/>
  <c r="L55" i="75"/>
  <c r="N55" i="75" s="1"/>
  <c r="J55" i="75"/>
  <c r="B55" i="75"/>
  <c r="T54" i="75"/>
  <c r="P54" i="75"/>
  <c r="X54" i="75" s="1"/>
  <c r="J54" i="75"/>
  <c r="H54" i="75"/>
  <c r="D54" i="75"/>
  <c r="L54" i="75" s="1"/>
  <c r="B54" i="75"/>
  <c r="X53" i="75"/>
  <c r="T53" i="75"/>
  <c r="Z53" i="75" s="1"/>
  <c r="P53" i="75"/>
  <c r="L53" i="75"/>
  <c r="J53" i="75"/>
  <c r="H53" i="75"/>
  <c r="D53" i="75"/>
  <c r="X49" i="75"/>
  <c r="Z49" i="75" s="1"/>
  <c r="N49" i="75"/>
  <c r="L49" i="75"/>
  <c r="B49" i="75"/>
  <c r="X48" i="75"/>
  <c r="Z48" i="75" s="1"/>
  <c r="L48" i="75"/>
  <c r="N48" i="75" s="1"/>
  <c r="B48" i="75"/>
  <c r="X47" i="75"/>
  <c r="Z47" i="75" s="1"/>
  <c r="N47" i="75"/>
  <c r="L47" i="75"/>
  <c r="B47" i="75"/>
  <c r="X46" i="75"/>
  <c r="Z46" i="75" s="1"/>
  <c r="N46" i="75"/>
  <c r="L46" i="75"/>
  <c r="B46" i="75"/>
  <c r="X45" i="75"/>
  <c r="Z45" i="75" s="1"/>
  <c r="N45" i="75"/>
  <c r="L45" i="75"/>
  <c r="B45" i="75"/>
  <c r="X44" i="75"/>
  <c r="Z44" i="75" s="1"/>
  <c r="L44" i="75"/>
  <c r="N44" i="75" s="1"/>
  <c r="B44" i="75"/>
  <c r="Z43" i="75"/>
  <c r="X43" i="75"/>
  <c r="N43" i="75"/>
  <c r="L43" i="75"/>
  <c r="B43" i="75"/>
  <c r="X42" i="75"/>
  <c r="Z42" i="75" s="1"/>
  <c r="L42" i="75"/>
  <c r="N42" i="75" s="1"/>
  <c r="B42" i="75"/>
  <c r="X41" i="75"/>
  <c r="Z41" i="75" s="1"/>
  <c r="N41" i="75"/>
  <c r="L41" i="75"/>
  <c r="B41" i="75"/>
  <c r="X40" i="75"/>
  <c r="Z40" i="75" s="1"/>
  <c r="N40" i="75"/>
  <c r="L40" i="75"/>
  <c r="B40" i="75"/>
  <c r="X39" i="75"/>
  <c r="Z39" i="75" s="1"/>
  <c r="N39" i="75"/>
  <c r="L39" i="75"/>
  <c r="B39" i="75"/>
  <c r="X38" i="75"/>
  <c r="Z38" i="75" s="1"/>
  <c r="N38" i="75"/>
  <c r="L38" i="75"/>
  <c r="B38" i="75"/>
  <c r="X37" i="75"/>
  <c r="Z37" i="75" s="1"/>
  <c r="N37" i="75"/>
  <c r="L37" i="75"/>
  <c r="B37" i="75"/>
  <c r="X36" i="75"/>
  <c r="Z36" i="75" s="1"/>
  <c r="L36" i="75"/>
  <c r="N36" i="75" s="1"/>
  <c r="B36" i="75"/>
  <c r="X35" i="75"/>
  <c r="Z35" i="75" s="1"/>
  <c r="N35" i="75"/>
  <c r="L35" i="75"/>
  <c r="B35" i="75"/>
  <c r="T34" i="75"/>
  <c r="P34" i="75"/>
  <c r="X34" i="75" s="1"/>
  <c r="Z34" i="75" s="1"/>
  <c r="L34" i="75"/>
  <c r="N34" i="75" s="1"/>
  <c r="J34" i="75"/>
  <c r="H34" i="75"/>
  <c r="D34" i="75"/>
  <c r="X32" i="75"/>
  <c r="T32" i="75"/>
  <c r="Z32" i="75" s="1"/>
  <c r="P32" i="75"/>
  <c r="N32" i="75"/>
  <c r="H32" i="75"/>
  <c r="D32" i="75"/>
  <c r="L32" i="75" s="1"/>
  <c r="B32" i="75"/>
  <c r="T31" i="75"/>
  <c r="P31" i="75"/>
  <c r="N31" i="75"/>
  <c r="H31" i="75"/>
  <c r="D31" i="75"/>
  <c r="L31" i="75" s="1"/>
  <c r="B31" i="75"/>
  <c r="X30" i="75"/>
  <c r="T30" i="75"/>
  <c r="P30" i="75"/>
  <c r="L30" i="75"/>
  <c r="N30" i="75" s="1"/>
  <c r="H30" i="75"/>
  <c r="D30" i="75"/>
  <c r="B30" i="75"/>
  <c r="T29" i="75"/>
  <c r="P29" i="75"/>
  <c r="H29" i="75"/>
  <c r="D29" i="75"/>
  <c r="L29" i="75" s="1"/>
  <c r="N29" i="75" s="1"/>
  <c r="B29" i="75"/>
  <c r="X28" i="75"/>
  <c r="T28" i="75"/>
  <c r="Z28" i="75" s="1"/>
  <c r="P28" i="75"/>
  <c r="H28" i="75"/>
  <c r="D28" i="75"/>
  <c r="L28" i="75" s="1"/>
  <c r="N28" i="75" s="1"/>
  <c r="B28" i="75"/>
  <c r="T27" i="75"/>
  <c r="P27" i="75"/>
  <c r="H27" i="75"/>
  <c r="D27" i="75"/>
  <c r="L27" i="75" s="1"/>
  <c r="N27" i="75" s="1"/>
  <c r="B27" i="75"/>
  <c r="X26" i="75"/>
  <c r="T26" i="75"/>
  <c r="P26" i="75"/>
  <c r="L26" i="75"/>
  <c r="N26" i="75" s="1"/>
  <c r="H26" i="75"/>
  <c r="D26" i="75"/>
  <c r="B26" i="75"/>
  <c r="T25" i="75"/>
  <c r="P25" i="75"/>
  <c r="H25" i="75"/>
  <c r="D25" i="75"/>
  <c r="L25" i="75" s="1"/>
  <c r="N25" i="75" s="1"/>
  <c r="B25" i="75"/>
  <c r="X24" i="75"/>
  <c r="T24" i="75"/>
  <c r="Z24" i="75" s="1"/>
  <c r="P24" i="75"/>
  <c r="H24" i="75"/>
  <c r="D24" i="75"/>
  <c r="L24" i="75" s="1"/>
  <c r="N24" i="75" s="1"/>
  <c r="B24" i="75"/>
  <c r="T23" i="75"/>
  <c r="P23" i="75"/>
  <c r="H23" i="75"/>
  <c r="D23" i="75"/>
  <c r="L23" i="75" s="1"/>
  <c r="N23" i="75" s="1"/>
  <c r="B23" i="75"/>
  <c r="X22" i="75"/>
  <c r="T22" i="75"/>
  <c r="P22" i="75"/>
  <c r="N22" i="75"/>
  <c r="L22" i="75"/>
  <c r="H22" i="75"/>
  <c r="D22" i="75"/>
  <c r="B22" i="75"/>
  <c r="T21" i="75"/>
  <c r="P21" i="75"/>
  <c r="H21" i="75"/>
  <c r="D21" i="75"/>
  <c r="L21" i="75" s="1"/>
  <c r="N21" i="75" s="1"/>
  <c r="B21" i="75"/>
  <c r="X20" i="75"/>
  <c r="T20" i="75"/>
  <c r="P20" i="75"/>
  <c r="H20" i="75"/>
  <c r="D20" i="75"/>
  <c r="L20" i="75" s="1"/>
  <c r="N20" i="75" s="1"/>
  <c r="B20" i="75"/>
  <c r="T19" i="75"/>
  <c r="P19" i="75"/>
  <c r="H19" i="75"/>
  <c r="D19" i="75"/>
  <c r="L19" i="75" s="1"/>
  <c r="N19" i="75" s="1"/>
  <c r="B19" i="75"/>
  <c r="X18" i="75"/>
  <c r="T18" i="75"/>
  <c r="P18" i="75"/>
  <c r="L18" i="75"/>
  <c r="N18" i="75" s="1"/>
  <c r="H18" i="75"/>
  <c r="D18" i="75"/>
  <c r="B18" i="75"/>
  <c r="T17" i="75"/>
  <c r="P17" i="75"/>
  <c r="H17" i="75"/>
  <c r="D17" i="75"/>
  <c r="L17" i="75" s="1"/>
  <c r="N17" i="75" s="1"/>
  <c r="B17" i="75"/>
  <c r="X16" i="75"/>
  <c r="T16" i="75"/>
  <c r="Z16" i="75" s="1"/>
  <c r="P16" i="75"/>
  <c r="H16" i="75"/>
  <c r="D16" i="75"/>
  <c r="L16" i="75" s="1"/>
  <c r="N16" i="75" s="1"/>
  <c r="B16" i="75"/>
  <c r="T15" i="75"/>
  <c r="P15" i="75"/>
  <c r="H15" i="75"/>
  <c r="D15" i="75"/>
  <c r="L15" i="75" s="1"/>
  <c r="N15" i="75" s="1"/>
  <c r="B15" i="75"/>
  <c r="X14" i="75"/>
  <c r="T14" i="75"/>
  <c r="P14" i="75"/>
  <c r="L14" i="75"/>
  <c r="N14" i="75" s="1"/>
  <c r="H14" i="75"/>
  <c r="D14" i="75"/>
  <c r="B14" i="75"/>
  <c r="T13" i="75"/>
  <c r="P13" i="75"/>
  <c r="P12" i="75" s="1"/>
  <c r="R62" i="75" s="1"/>
  <c r="H13" i="75"/>
  <c r="D13" i="75"/>
  <c r="L13" i="75" s="1"/>
  <c r="N13" i="75" s="1"/>
  <c r="B13" i="75"/>
  <c r="H12" i="75"/>
  <c r="J104" i="75" s="1"/>
  <c r="D6" i="75"/>
  <c r="D4" i="75"/>
  <c r="Z89" i="74"/>
  <c r="X89" i="74"/>
  <c r="N89" i="74"/>
  <c r="L89" i="74"/>
  <c r="Z85" i="74"/>
  <c r="T85" i="74"/>
  <c r="P85" i="74"/>
  <c r="X85" i="74" s="1"/>
  <c r="N85" i="74"/>
  <c r="H85" i="74"/>
  <c r="D85" i="74"/>
  <c r="L85" i="74" s="1"/>
  <c r="X83" i="74"/>
  <c r="Z83" i="74" s="1"/>
  <c r="N83" i="74"/>
  <c r="L83" i="74"/>
  <c r="B83" i="74"/>
  <c r="X82" i="74"/>
  <c r="T82" i="74"/>
  <c r="Z82" i="74" s="1"/>
  <c r="P82" i="74"/>
  <c r="L82" i="74"/>
  <c r="H82" i="74"/>
  <c r="N82" i="74" s="1"/>
  <c r="D82" i="74"/>
  <c r="B82" i="74"/>
  <c r="X81" i="74"/>
  <c r="Z81" i="74" s="1"/>
  <c r="N81" i="74"/>
  <c r="L81" i="74"/>
  <c r="B81" i="74"/>
  <c r="Z80" i="74"/>
  <c r="X80" i="74"/>
  <c r="N80" i="74"/>
  <c r="L80" i="74"/>
  <c r="B80" i="74"/>
  <c r="Z79" i="74"/>
  <c r="T79" i="74"/>
  <c r="X79" i="74" s="1"/>
  <c r="P79" i="74"/>
  <c r="H79" i="74"/>
  <c r="N79" i="74" s="1"/>
  <c r="D79" i="74"/>
  <c r="B79" i="74"/>
  <c r="Z78" i="74"/>
  <c r="X78" i="74"/>
  <c r="L78" i="74"/>
  <c r="N78" i="74" s="1"/>
  <c r="B78" i="74"/>
  <c r="T77" i="74"/>
  <c r="P77" i="74"/>
  <c r="X77" i="74" s="1"/>
  <c r="H77" i="74"/>
  <c r="D77" i="74"/>
  <c r="L77" i="74" s="1"/>
  <c r="B77" i="74"/>
  <c r="X76" i="74"/>
  <c r="Z76" i="74" s="1"/>
  <c r="N76" i="74"/>
  <c r="L76" i="74"/>
  <c r="B76" i="74"/>
  <c r="T75" i="74"/>
  <c r="P75" i="74"/>
  <c r="X75" i="74" s="1"/>
  <c r="Z75" i="74" s="1"/>
  <c r="N75" i="74"/>
  <c r="L75" i="74"/>
  <c r="H75" i="74"/>
  <c r="D75" i="74"/>
  <c r="B75" i="74"/>
  <c r="Z74" i="74"/>
  <c r="X74" i="74"/>
  <c r="N74" i="74"/>
  <c r="L74" i="74"/>
  <c r="B74" i="74"/>
  <c r="X73" i="74"/>
  <c r="T73" i="74"/>
  <c r="P73" i="74"/>
  <c r="H73" i="74"/>
  <c r="D73" i="74"/>
  <c r="B73" i="74"/>
  <c r="Z72" i="74"/>
  <c r="X72" i="74"/>
  <c r="L72" i="74"/>
  <c r="N72" i="74" s="1"/>
  <c r="B72" i="74"/>
  <c r="Z71" i="74"/>
  <c r="X71" i="74"/>
  <c r="L71" i="74"/>
  <c r="N71" i="74" s="1"/>
  <c r="B71" i="74"/>
  <c r="Z70" i="74"/>
  <c r="T70" i="74"/>
  <c r="P70" i="74"/>
  <c r="X70" i="74" s="1"/>
  <c r="H70" i="74"/>
  <c r="D70" i="74"/>
  <c r="L70" i="74" s="1"/>
  <c r="N70" i="74" s="1"/>
  <c r="B70" i="74"/>
  <c r="X69" i="74"/>
  <c r="Z69" i="74" s="1"/>
  <c r="N69" i="74"/>
  <c r="L69" i="74"/>
  <c r="B69" i="74"/>
  <c r="X68" i="74"/>
  <c r="T68" i="74"/>
  <c r="P68" i="74"/>
  <c r="H68" i="74"/>
  <c r="D68" i="74"/>
  <c r="L68" i="74" s="1"/>
  <c r="B68" i="74"/>
  <c r="X67" i="74"/>
  <c r="Z67" i="74" s="1"/>
  <c r="N67" i="74"/>
  <c r="L67" i="74"/>
  <c r="B67" i="74"/>
  <c r="X66" i="74"/>
  <c r="Z66" i="74" s="1"/>
  <c r="N66" i="74"/>
  <c r="L66" i="74"/>
  <c r="B66" i="74"/>
  <c r="Z65" i="74"/>
  <c r="X65" i="74"/>
  <c r="N65" i="74"/>
  <c r="L65" i="74"/>
  <c r="B65" i="74"/>
  <c r="Z64" i="74"/>
  <c r="X64" i="74"/>
  <c r="N64" i="74"/>
  <c r="L64" i="74"/>
  <c r="B64" i="74"/>
  <c r="T63" i="74"/>
  <c r="P63" i="74"/>
  <c r="N63" i="74"/>
  <c r="L63" i="74"/>
  <c r="H63" i="74"/>
  <c r="D63" i="74"/>
  <c r="B63" i="74"/>
  <c r="Z62" i="74"/>
  <c r="X62" i="74"/>
  <c r="L62" i="74"/>
  <c r="N62" i="74" s="1"/>
  <c r="B62" i="74"/>
  <c r="Z61" i="74"/>
  <c r="X61" i="74"/>
  <c r="L61" i="74"/>
  <c r="N61" i="74" s="1"/>
  <c r="B61" i="74"/>
  <c r="Z60" i="74"/>
  <c r="X60" i="74"/>
  <c r="L60" i="74"/>
  <c r="N60" i="74" s="1"/>
  <c r="B60" i="74"/>
  <c r="Z59" i="74"/>
  <c r="X59" i="74"/>
  <c r="L59" i="74"/>
  <c r="N59" i="74" s="1"/>
  <c r="B59" i="74"/>
  <c r="Z58" i="74"/>
  <c r="X58" i="74"/>
  <c r="L58" i="74"/>
  <c r="N58" i="74" s="1"/>
  <c r="B58" i="74"/>
  <c r="Z57" i="74"/>
  <c r="X57" i="74"/>
  <c r="L57" i="74"/>
  <c r="N57" i="74" s="1"/>
  <c r="B57" i="74"/>
  <c r="Z56" i="74"/>
  <c r="X56" i="74"/>
  <c r="L56" i="74"/>
  <c r="N56" i="74" s="1"/>
  <c r="B56" i="74"/>
  <c r="T55" i="74"/>
  <c r="P55" i="74"/>
  <c r="H55" i="74"/>
  <c r="D55" i="74"/>
  <c r="B55" i="74"/>
  <c r="T54" i="74"/>
  <c r="P54" i="74"/>
  <c r="X54" i="74" s="1"/>
  <c r="H54" i="74"/>
  <c r="D54" i="74"/>
  <c r="L54" i="74" s="1"/>
  <c r="X50" i="74"/>
  <c r="Z50" i="74" s="1"/>
  <c r="N50" i="74"/>
  <c r="L50" i="74"/>
  <c r="B50" i="74"/>
  <c r="Z49" i="74"/>
  <c r="X49" i="74"/>
  <c r="L49" i="74"/>
  <c r="N49" i="74" s="1"/>
  <c r="B49" i="74"/>
  <c r="X48" i="74"/>
  <c r="Z48" i="74" s="1"/>
  <c r="L48" i="74"/>
  <c r="N48" i="74" s="1"/>
  <c r="B48" i="74"/>
  <c r="X47" i="74"/>
  <c r="Z47" i="74" s="1"/>
  <c r="N47" i="74"/>
  <c r="L47" i="74"/>
  <c r="B47" i="74"/>
  <c r="Z46" i="74"/>
  <c r="X46" i="74"/>
  <c r="N46" i="74"/>
  <c r="L46" i="74"/>
  <c r="B46" i="74"/>
  <c r="X45" i="74"/>
  <c r="Z45" i="74" s="1"/>
  <c r="L45" i="74"/>
  <c r="N45" i="74" s="1"/>
  <c r="B45" i="74"/>
  <c r="X44" i="74"/>
  <c r="Z44" i="74" s="1"/>
  <c r="N44" i="74"/>
  <c r="L44" i="74"/>
  <c r="B44" i="74"/>
  <c r="X43" i="74"/>
  <c r="Z43" i="74" s="1"/>
  <c r="N43" i="74"/>
  <c r="L43" i="74"/>
  <c r="B43" i="74"/>
  <c r="X42" i="74"/>
  <c r="Z42" i="74" s="1"/>
  <c r="N42" i="74"/>
  <c r="L42" i="74"/>
  <c r="B42" i="74"/>
  <c r="X41" i="74"/>
  <c r="Z41" i="74" s="1"/>
  <c r="N41" i="74"/>
  <c r="L41" i="74"/>
  <c r="B41" i="74"/>
  <c r="X40" i="74"/>
  <c r="Z40" i="74" s="1"/>
  <c r="N40" i="74"/>
  <c r="L40" i="74"/>
  <c r="B40" i="74"/>
  <c r="X39" i="74"/>
  <c r="Z39" i="74" s="1"/>
  <c r="L39" i="74"/>
  <c r="N39" i="74" s="1"/>
  <c r="B39" i="74"/>
  <c r="X38" i="74"/>
  <c r="Z38" i="74" s="1"/>
  <c r="N38" i="74"/>
  <c r="L38" i="74"/>
  <c r="B38" i="74"/>
  <c r="X37" i="74"/>
  <c r="Z37" i="74" s="1"/>
  <c r="N37" i="74"/>
  <c r="L37" i="74"/>
  <c r="B37" i="74"/>
  <c r="X36" i="74"/>
  <c r="Z36" i="74" s="1"/>
  <c r="N36" i="74"/>
  <c r="L36" i="74"/>
  <c r="B36" i="74"/>
  <c r="T35" i="74"/>
  <c r="P35" i="74"/>
  <c r="X35" i="74" s="1"/>
  <c r="H35" i="74"/>
  <c r="D35" i="74"/>
  <c r="L35" i="74" s="1"/>
  <c r="X33" i="74"/>
  <c r="T33" i="74"/>
  <c r="Z33" i="74" s="1"/>
  <c r="P33" i="74"/>
  <c r="N33" i="74"/>
  <c r="L33" i="74"/>
  <c r="H33" i="74"/>
  <c r="D33" i="74"/>
  <c r="B33" i="74"/>
  <c r="T32" i="74"/>
  <c r="P32" i="74"/>
  <c r="N32" i="74"/>
  <c r="H32" i="74"/>
  <c r="D32" i="74"/>
  <c r="L32" i="74" s="1"/>
  <c r="B32" i="74"/>
  <c r="X31" i="74"/>
  <c r="T31" i="74"/>
  <c r="Z31" i="74" s="1"/>
  <c r="P31" i="74"/>
  <c r="N31" i="74"/>
  <c r="L31" i="74"/>
  <c r="H31" i="74"/>
  <c r="D31" i="74"/>
  <c r="B31" i="74"/>
  <c r="T30" i="74"/>
  <c r="P30" i="74"/>
  <c r="H30" i="74"/>
  <c r="D30" i="74"/>
  <c r="L30" i="74" s="1"/>
  <c r="N30" i="74" s="1"/>
  <c r="B30" i="74"/>
  <c r="X29" i="74"/>
  <c r="T29" i="74"/>
  <c r="Z29" i="74" s="1"/>
  <c r="P29" i="74"/>
  <c r="L29" i="74"/>
  <c r="N29" i="74" s="1"/>
  <c r="H29" i="74"/>
  <c r="D29" i="74"/>
  <c r="B29" i="74"/>
  <c r="X28" i="74"/>
  <c r="T28" i="74"/>
  <c r="P28" i="74"/>
  <c r="H28" i="74"/>
  <c r="D28" i="74"/>
  <c r="L28" i="74" s="1"/>
  <c r="N28" i="74" s="1"/>
  <c r="B28" i="74"/>
  <c r="X27" i="74"/>
  <c r="T27" i="74"/>
  <c r="Z27" i="74" s="1"/>
  <c r="P27" i="74"/>
  <c r="N27" i="74"/>
  <c r="L27" i="74"/>
  <c r="H27" i="74"/>
  <c r="D27" i="74"/>
  <c r="B27" i="74"/>
  <c r="T26" i="74"/>
  <c r="P26" i="74"/>
  <c r="H26" i="74"/>
  <c r="D26" i="74"/>
  <c r="L26" i="74" s="1"/>
  <c r="N26" i="74" s="1"/>
  <c r="B26" i="74"/>
  <c r="X25" i="74"/>
  <c r="T25" i="74"/>
  <c r="Z25" i="74" s="1"/>
  <c r="P25" i="74"/>
  <c r="L25" i="74"/>
  <c r="N25" i="74" s="1"/>
  <c r="H25" i="74"/>
  <c r="D25" i="74"/>
  <c r="B25" i="74"/>
  <c r="X24" i="74"/>
  <c r="T24" i="74"/>
  <c r="P24" i="74"/>
  <c r="H24" i="74"/>
  <c r="D24" i="74"/>
  <c r="L24" i="74" s="1"/>
  <c r="N24" i="74" s="1"/>
  <c r="B24" i="74"/>
  <c r="X23" i="74"/>
  <c r="T23" i="74"/>
  <c r="Z23" i="74" s="1"/>
  <c r="P23" i="74"/>
  <c r="L23" i="74"/>
  <c r="N23" i="74" s="1"/>
  <c r="H23" i="74"/>
  <c r="D23" i="74"/>
  <c r="B23" i="74"/>
  <c r="T22" i="74"/>
  <c r="P22" i="74"/>
  <c r="H22" i="74"/>
  <c r="D22" i="74"/>
  <c r="L22" i="74" s="1"/>
  <c r="N22" i="74" s="1"/>
  <c r="B22" i="74"/>
  <c r="T21" i="74"/>
  <c r="P21" i="74"/>
  <c r="L21" i="74"/>
  <c r="N21" i="74" s="1"/>
  <c r="H21" i="74"/>
  <c r="D21" i="74"/>
  <c r="B21" i="74"/>
  <c r="T20" i="74"/>
  <c r="P20" i="74"/>
  <c r="N20" i="74"/>
  <c r="H20" i="74"/>
  <c r="D20" i="74"/>
  <c r="L20" i="74" s="1"/>
  <c r="B20" i="74"/>
  <c r="X19" i="74"/>
  <c r="T19" i="74"/>
  <c r="Z19" i="74" s="1"/>
  <c r="P19" i="74"/>
  <c r="L19" i="74"/>
  <c r="N19" i="74" s="1"/>
  <c r="H19" i="74"/>
  <c r="D19" i="74"/>
  <c r="B19" i="74"/>
  <c r="T18" i="74"/>
  <c r="P18" i="74"/>
  <c r="H18" i="74"/>
  <c r="D18" i="74"/>
  <c r="L18" i="74" s="1"/>
  <c r="N18" i="74" s="1"/>
  <c r="B18" i="74"/>
  <c r="T17" i="74"/>
  <c r="P17" i="74"/>
  <c r="L17" i="74"/>
  <c r="N17" i="74" s="1"/>
  <c r="H17" i="74"/>
  <c r="D17" i="74"/>
  <c r="B17" i="74"/>
  <c r="X16" i="74"/>
  <c r="T16" i="74"/>
  <c r="P16" i="74"/>
  <c r="H16" i="74"/>
  <c r="D16" i="74"/>
  <c r="L16" i="74" s="1"/>
  <c r="N16" i="74" s="1"/>
  <c r="B16" i="74"/>
  <c r="X15" i="74"/>
  <c r="T15" i="74"/>
  <c r="Z15" i="74" s="1"/>
  <c r="P15" i="74"/>
  <c r="N15" i="74"/>
  <c r="L15" i="74"/>
  <c r="H15" i="74"/>
  <c r="D15" i="74"/>
  <c r="B15" i="74"/>
  <c r="T14" i="74"/>
  <c r="P14" i="74"/>
  <c r="N14" i="74"/>
  <c r="H14" i="74"/>
  <c r="H12" i="74" s="1"/>
  <c r="J66" i="74" s="1"/>
  <c r="D14" i="74"/>
  <c r="L14" i="74" s="1"/>
  <c r="B14" i="74"/>
  <c r="T13" i="74"/>
  <c r="P13" i="74"/>
  <c r="P12" i="74" s="1"/>
  <c r="R72" i="74" s="1"/>
  <c r="L13" i="74"/>
  <c r="N13" i="74" s="1"/>
  <c r="H13" i="74"/>
  <c r="D13" i="74"/>
  <c r="B13" i="74"/>
  <c r="D6" i="74"/>
  <c r="D4" i="74"/>
  <c r="Z81" i="73"/>
  <c r="X81" i="73"/>
  <c r="R81" i="73"/>
  <c r="N81" i="73"/>
  <c r="L81" i="73"/>
  <c r="T77" i="73"/>
  <c r="Z77" i="73" s="1"/>
  <c r="P77" i="73"/>
  <c r="X77" i="73" s="1"/>
  <c r="N77" i="73"/>
  <c r="L77" i="73"/>
  <c r="J77" i="73"/>
  <c r="H77" i="73"/>
  <c r="D77" i="73"/>
  <c r="X75" i="73"/>
  <c r="Z75" i="73" s="1"/>
  <c r="N75" i="73"/>
  <c r="L75" i="73"/>
  <c r="B75" i="73"/>
  <c r="T74" i="73"/>
  <c r="Z74" i="73" s="1"/>
  <c r="P74" i="73"/>
  <c r="X74" i="73" s="1"/>
  <c r="H74" i="73"/>
  <c r="N74" i="73" s="1"/>
  <c r="D74" i="73"/>
  <c r="L74" i="73" s="1"/>
  <c r="B74" i="73"/>
  <c r="X73" i="73"/>
  <c r="Z73" i="73" s="1"/>
  <c r="N73" i="73"/>
  <c r="L73" i="73"/>
  <c r="B73" i="73"/>
  <c r="X72" i="73"/>
  <c r="Z72" i="73" s="1"/>
  <c r="T72" i="73"/>
  <c r="P72" i="73"/>
  <c r="L72" i="73"/>
  <c r="H72" i="73"/>
  <c r="N72" i="73" s="1"/>
  <c r="D72" i="73"/>
  <c r="B72" i="73"/>
  <c r="Z71" i="73"/>
  <c r="X71" i="73"/>
  <c r="N71" i="73"/>
  <c r="L71" i="73"/>
  <c r="B71" i="73"/>
  <c r="Z70" i="73"/>
  <c r="X70" i="73"/>
  <c r="R70" i="73"/>
  <c r="L70" i="73"/>
  <c r="N70" i="73" s="1"/>
  <c r="B70" i="73"/>
  <c r="Z69" i="73"/>
  <c r="X69" i="73"/>
  <c r="N69" i="73"/>
  <c r="L69" i="73"/>
  <c r="J69" i="73"/>
  <c r="B69" i="73"/>
  <c r="Z68" i="73"/>
  <c r="X68" i="73"/>
  <c r="N68" i="73"/>
  <c r="L68" i="73"/>
  <c r="B68" i="73"/>
  <c r="Z67" i="73"/>
  <c r="X67" i="73"/>
  <c r="L67" i="73"/>
  <c r="N67" i="73" s="1"/>
  <c r="B67" i="73"/>
  <c r="Z66" i="73"/>
  <c r="X66" i="73"/>
  <c r="N66" i="73"/>
  <c r="L66" i="73"/>
  <c r="B66" i="73"/>
  <c r="T65" i="73"/>
  <c r="P65" i="73"/>
  <c r="X65" i="73" s="1"/>
  <c r="Z65" i="73" s="1"/>
  <c r="H65" i="73"/>
  <c r="D65" i="73"/>
  <c r="L65" i="73" s="1"/>
  <c r="N65" i="73" s="1"/>
  <c r="B65" i="73"/>
  <c r="X64" i="73"/>
  <c r="Z64" i="73" s="1"/>
  <c r="N64" i="73"/>
  <c r="L64" i="73"/>
  <c r="B64" i="73"/>
  <c r="T63" i="73"/>
  <c r="P63" i="73"/>
  <c r="X63" i="73" s="1"/>
  <c r="N63" i="73"/>
  <c r="L63" i="73"/>
  <c r="J63" i="73"/>
  <c r="H63" i="73"/>
  <c r="D63" i="73"/>
  <c r="B63" i="73"/>
  <c r="X62" i="73"/>
  <c r="Z62" i="73" s="1"/>
  <c r="N62" i="73"/>
  <c r="L62" i="73"/>
  <c r="J62" i="73"/>
  <c r="B62" i="73"/>
  <c r="T61" i="73"/>
  <c r="P61" i="73"/>
  <c r="H61" i="73"/>
  <c r="D61" i="73"/>
  <c r="B61" i="73"/>
  <c r="Z60" i="73"/>
  <c r="X60" i="73"/>
  <c r="N60" i="73"/>
  <c r="L60" i="73"/>
  <c r="B60" i="73"/>
  <c r="Z59" i="73"/>
  <c r="X59" i="73"/>
  <c r="N59" i="73"/>
  <c r="L59" i="73"/>
  <c r="B59" i="73"/>
  <c r="Z58" i="73"/>
  <c r="X58" i="73"/>
  <c r="N58" i="73"/>
  <c r="L58" i="73"/>
  <c r="B58" i="73"/>
  <c r="T57" i="73"/>
  <c r="P57" i="73"/>
  <c r="X57" i="73" s="1"/>
  <c r="Z57" i="73" s="1"/>
  <c r="N57" i="73"/>
  <c r="H57" i="73"/>
  <c r="D57" i="73"/>
  <c r="L57" i="73" s="1"/>
  <c r="B57" i="73"/>
  <c r="X56" i="73"/>
  <c r="Z56" i="73" s="1"/>
  <c r="N56" i="73"/>
  <c r="L56" i="73"/>
  <c r="B56" i="73"/>
  <c r="T55" i="73"/>
  <c r="Z55" i="73" s="1"/>
  <c r="P55" i="73"/>
  <c r="X55" i="73" s="1"/>
  <c r="L55" i="73"/>
  <c r="N55" i="73" s="1"/>
  <c r="J55" i="73"/>
  <c r="H55" i="73"/>
  <c r="D55" i="73"/>
  <c r="B55" i="73"/>
  <c r="X54" i="73"/>
  <c r="Z54" i="73" s="1"/>
  <c r="N54" i="73"/>
  <c r="L54" i="73"/>
  <c r="J54" i="73"/>
  <c r="B54" i="73"/>
  <c r="T53" i="73"/>
  <c r="P53" i="73"/>
  <c r="H53" i="73"/>
  <c r="D53" i="73"/>
  <c r="B53" i="73"/>
  <c r="Z52" i="73"/>
  <c r="X52" i="73"/>
  <c r="L52" i="73"/>
  <c r="N52" i="73" s="1"/>
  <c r="B52" i="73"/>
  <c r="Z51" i="73"/>
  <c r="T51" i="73"/>
  <c r="P51" i="73"/>
  <c r="X51" i="73" s="1"/>
  <c r="H51" i="73"/>
  <c r="D51" i="73"/>
  <c r="L51" i="73" s="1"/>
  <c r="N51" i="73" s="1"/>
  <c r="B51" i="73"/>
  <c r="X50" i="73"/>
  <c r="Z50" i="73" s="1"/>
  <c r="L50" i="73"/>
  <c r="N50" i="73" s="1"/>
  <c r="B50" i="73"/>
  <c r="X49" i="73"/>
  <c r="Z49" i="73" s="1"/>
  <c r="T49" i="73"/>
  <c r="P49" i="73"/>
  <c r="H49" i="73"/>
  <c r="N49" i="73" s="1"/>
  <c r="D49" i="73"/>
  <c r="L49" i="73" s="1"/>
  <c r="B49" i="73"/>
  <c r="X48" i="73"/>
  <c r="Z48" i="73" s="1"/>
  <c r="N48" i="73"/>
  <c r="L48" i="73"/>
  <c r="B48" i="73"/>
  <c r="T47" i="73"/>
  <c r="R47" i="73"/>
  <c r="P47" i="73"/>
  <c r="H47" i="73"/>
  <c r="D47" i="73"/>
  <c r="B47" i="73"/>
  <c r="Z46" i="73"/>
  <c r="X46" i="73"/>
  <c r="L46" i="73"/>
  <c r="N46" i="73" s="1"/>
  <c r="B46" i="73"/>
  <c r="T45" i="73"/>
  <c r="P45" i="73"/>
  <c r="X45" i="73" s="1"/>
  <c r="Z45" i="73" s="1"/>
  <c r="H45" i="73"/>
  <c r="D45" i="73"/>
  <c r="L45" i="73" s="1"/>
  <c r="N45" i="73" s="1"/>
  <c r="B45" i="73"/>
  <c r="X44" i="73"/>
  <c r="Z44" i="73" s="1"/>
  <c r="L44" i="73"/>
  <c r="N44" i="73" s="1"/>
  <c r="B44" i="73"/>
  <c r="T43" i="73"/>
  <c r="P43" i="73"/>
  <c r="X43" i="73" s="1"/>
  <c r="L43" i="73"/>
  <c r="N43" i="73" s="1"/>
  <c r="J43" i="73"/>
  <c r="H43" i="73"/>
  <c r="D43" i="73"/>
  <c r="B43" i="73"/>
  <c r="X42" i="73"/>
  <c r="Z42" i="73" s="1"/>
  <c r="N42" i="73"/>
  <c r="L42" i="73"/>
  <c r="J42" i="73"/>
  <c r="B42" i="73"/>
  <c r="X41" i="73"/>
  <c r="Z41" i="73" s="1"/>
  <c r="N41" i="73"/>
  <c r="L41" i="73"/>
  <c r="B41" i="73"/>
  <c r="Z40" i="73"/>
  <c r="X40" i="73"/>
  <c r="N40" i="73"/>
  <c r="L40" i="73"/>
  <c r="B40" i="73"/>
  <c r="Z39" i="73"/>
  <c r="X39" i="73"/>
  <c r="N39" i="73"/>
  <c r="L39" i="73"/>
  <c r="B39" i="73"/>
  <c r="X38" i="73"/>
  <c r="Z38" i="73" s="1"/>
  <c r="N38" i="73"/>
  <c r="L38" i="73"/>
  <c r="B38" i="73"/>
  <c r="T37" i="73"/>
  <c r="P37" i="73"/>
  <c r="H37" i="73"/>
  <c r="D37" i="73"/>
  <c r="B37" i="73"/>
  <c r="Z36" i="73"/>
  <c r="X36" i="73"/>
  <c r="L36" i="73"/>
  <c r="N36" i="73" s="1"/>
  <c r="B36" i="73"/>
  <c r="Z35" i="73"/>
  <c r="X35" i="73"/>
  <c r="L35" i="73"/>
  <c r="N35" i="73" s="1"/>
  <c r="B35" i="73"/>
  <c r="Z34" i="73"/>
  <c r="X34" i="73"/>
  <c r="R34" i="73"/>
  <c r="L34" i="73"/>
  <c r="N34" i="73" s="1"/>
  <c r="B34" i="73"/>
  <c r="Z33" i="73"/>
  <c r="X33" i="73"/>
  <c r="L33" i="73"/>
  <c r="N33" i="73" s="1"/>
  <c r="J33" i="73"/>
  <c r="B33" i="73"/>
  <c r="Z32" i="73"/>
  <c r="X32" i="73"/>
  <c r="L32" i="73"/>
  <c r="N32" i="73" s="1"/>
  <c r="B32" i="73"/>
  <c r="Z31" i="73"/>
  <c r="X31" i="73"/>
  <c r="L31" i="73"/>
  <c r="N31" i="73" s="1"/>
  <c r="B31" i="73"/>
  <c r="Z30" i="73"/>
  <c r="X30" i="73"/>
  <c r="L30" i="73"/>
  <c r="N30" i="73" s="1"/>
  <c r="B30" i="73"/>
  <c r="Z29" i="73"/>
  <c r="X29" i="73"/>
  <c r="L29" i="73"/>
  <c r="N29" i="73" s="1"/>
  <c r="J29" i="73"/>
  <c r="B29" i="73"/>
  <c r="T28" i="73"/>
  <c r="Z28" i="73" s="1"/>
  <c r="P28" i="73"/>
  <c r="X28" i="73" s="1"/>
  <c r="J28" i="73"/>
  <c r="H28" i="73"/>
  <c r="D28" i="73"/>
  <c r="L28" i="73" s="1"/>
  <c r="B28" i="73"/>
  <c r="T27" i="73"/>
  <c r="P27" i="73"/>
  <c r="X27" i="73" s="1"/>
  <c r="L27" i="73"/>
  <c r="J27" i="73"/>
  <c r="H27" i="73"/>
  <c r="N27" i="73" s="1"/>
  <c r="D27" i="73"/>
  <c r="X23" i="73"/>
  <c r="Z23" i="73" s="1"/>
  <c r="N23" i="73"/>
  <c r="L23" i="73"/>
  <c r="B23" i="73"/>
  <c r="X22" i="73"/>
  <c r="Z22" i="73" s="1"/>
  <c r="L22" i="73"/>
  <c r="N22" i="73" s="1"/>
  <c r="B22" i="73"/>
  <c r="X21" i="73"/>
  <c r="T21" i="73"/>
  <c r="Z21" i="73" s="1"/>
  <c r="P21" i="73"/>
  <c r="H21" i="73"/>
  <c r="N21" i="73" s="1"/>
  <c r="D21" i="73"/>
  <c r="L21" i="73" s="1"/>
  <c r="X19" i="73"/>
  <c r="T19" i="73"/>
  <c r="P19" i="73"/>
  <c r="N19" i="73"/>
  <c r="L19" i="73"/>
  <c r="H19" i="73"/>
  <c r="D19" i="73"/>
  <c r="B19" i="73"/>
  <c r="X18" i="73"/>
  <c r="T18" i="73"/>
  <c r="Z18" i="73" s="1"/>
  <c r="P18" i="73"/>
  <c r="N18" i="73"/>
  <c r="L18" i="73"/>
  <c r="H18" i="73"/>
  <c r="D18" i="73"/>
  <c r="B18" i="73"/>
  <c r="T17" i="73"/>
  <c r="P17" i="73"/>
  <c r="N17" i="73"/>
  <c r="H17" i="73"/>
  <c r="D17" i="73"/>
  <c r="L17" i="73" s="1"/>
  <c r="B17" i="73"/>
  <c r="T16" i="73"/>
  <c r="P16" i="73"/>
  <c r="L16" i="73"/>
  <c r="N16" i="73" s="1"/>
  <c r="H16" i="73"/>
  <c r="D16" i="73"/>
  <c r="B16" i="73"/>
  <c r="T15" i="73"/>
  <c r="P15" i="73"/>
  <c r="L15" i="73"/>
  <c r="N15" i="73" s="1"/>
  <c r="H15" i="73"/>
  <c r="D15" i="73"/>
  <c r="B15" i="73"/>
  <c r="X14" i="73"/>
  <c r="T14" i="73"/>
  <c r="Z14" i="73" s="1"/>
  <c r="P14" i="73"/>
  <c r="N14" i="73"/>
  <c r="L14" i="73"/>
  <c r="H14" i="73"/>
  <c r="H12" i="73" s="1"/>
  <c r="D14" i="73"/>
  <c r="B14" i="73"/>
  <c r="T13" i="73"/>
  <c r="P13" i="73"/>
  <c r="P12" i="73" s="1"/>
  <c r="H13" i="73"/>
  <c r="D13" i="73"/>
  <c r="B13" i="73"/>
  <c r="D6" i="73"/>
  <c r="D4" i="73"/>
  <c r="X119" i="71"/>
  <c r="Z119" i="71" s="1"/>
  <c r="N119" i="71"/>
  <c r="L119" i="71"/>
  <c r="J119" i="71"/>
  <c r="T115" i="71"/>
  <c r="P115" i="71"/>
  <c r="X115" i="71" s="1"/>
  <c r="Z115" i="71" s="1"/>
  <c r="H115" i="71"/>
  <c r="D115" i="71"/>
  <c r="B115" i="71"/>
  <c r="X114" i="71"/>
  <c r="T114" i="71"/>
  <c r="Z114" i="71" s="1"/>
  <c r="P114" i="71"/>
  <c r="H114" i="71"/>
  <c r="D114" i="71"/>
  <c r="B114" i="71"/>
  <c r="T113" i="71"/>
  <c r="Z113" i="71" s="1"/>
  <c r="P113" i="71"/>
  <c r="X113" i="71" s="1"/>
  <c r="H113" i="71"/>
  <c r="D113" i="71"/>
  <c r="B113" i="71"/>
  <c r="X110" i="71"/>
  <c r="Z110" i="71" s="1"/>
  <c r="N110" i="71"/>
  <c r="L110" i="71"/>
  <c r="B110" i="71"/>
  <c r="T109" i="71"/>
  <c r="P109" i="71"/>
  <c r="X109" i="71" s="1"/>
  <c r="Z109" i="71" s="1"/>
  <c r="H109" i="71"/>
  <c r="N109" i="71" s="1"/>
  <c r="D109" i="71"/>
  <c r="L109" i="71" s="1"/>
  <c r="B109" i="71"/>
  <c r="X108" i="71"/>
  <c r="Z108" i="71" s="1"/>
  <c r="N108" i="71"/>
  <c r="L108" i="71"/>
  <c r="B108" i="71"/>
  <c r="Z107" i="71"/>
  <c r="X107" i="71"/>
  <c r="T107" i="71"/>
  <c r="P107" i="71"/>
  <c r="L107" i="71"/>
  <c r="H107" i="71"/>
  <c r="N107" i="71" s="1"/>
  <c r="D107" i="71"/>
  <c r="B107" i="71"/>
  <c r="Z106" i="71"/>
  <c r="X106" i="71"/>
  <c r="L106" i="71"/>
  <c r="N106" i="71" s="1"/>
  <c r="B106" i="71"/>
  <c r="Z105" i="71"/>
  <c r="X105" i="71"/>
  <c r="N105" i="71"/>
  <c r="L105" i="71"/>
  <c r="B105" i="71"/>
  <c r="T104" i="71"/>
  <c r="P104" i="71"/>
  <c r="X104" i="71" s="1"/>
  <c r="Z104" i="71" s="1"/>
  <c r="H104" i="71"/>
  <c r="D104" i="71"/>
  <c r="L104" i="71" s="1"/>
  <c r="N104" i="71" s="1"/>
  <c r="B104" i="71"/>
  <c r="X103" i="71"/>
  <c r="Z103" i="71" s="1"/>
  <c r="N103" i="71"/>
  <c r="L103" i="71"/>
  <c r="B103" i="71"/>
  <c r="X102" i="71"/>
  <c r="Z102" i="71" s="1"/>
  <c r="N102" i="71"/>
  <c r="L102" i="71"/>
  <c r="B102" i="71"/>
  <c r="Z101" i="71"/>
  <c r="X101" i="71"/>
  <c r="L101" i="71"/>
  <c r="N101" i="71" s="1"/>
  <c r="B101" i="71"/>
  <c r="X100" i="71"/>
  <c r="Z100" i="71" s="1"/>
  <c r="N100" i="71"/>
  <c r="L100" i="71"/>
  <c r="B100" i="71"/>
  <c r="T99" i="71"/>
  <c r="Z99" i="71" s="1"/>
  <c r="P99" i="71"/>
  <c r="X99" i="71" s="1"/>
  <c r="H99" i="71"/>
  <c r="D99" i="71"/>
  <c r="L99" i="71" s="1"/>
  <c r="N99" i="71" s="1"/>
  <c r="B99" i="71"/>
  <c r="Z98" i="71"/>
  <c r="X98" i="71"/>
  <c r="N98" i="71"/>
  <c r="L98" i="71"/>
  <c r="B98" i="71"/>
  <c r="X97" i="71"/>
  <c r="T97" i="71"/>
  <c r="Z97" i="71" s="1"/>
  <c r="P97" i="71"/>
  <c r="N97" i="71"/>
  <c r="L97" i="71"/>
  <c r="H97" i="71"/>
  <c r="D97" i="71"/>
  <c r="B97" i="71"/>
  <c r="Z96" i="71"/>
  <c r="X96" i="71"/>
  <c r="L96" i="71"/>
  <c r="N96" i="71" s="1"/>
  <c r="B96" i="71"/>
  <c r="Z95" i="71"/>
  <c r="X95" i="71"/>
  <c r="L95" i="71"/>
  <c r="N95" i="71" s="1"/>
  <c r="B95" i="71"/>
  <c r="Z94" i="71"/>
  <c r="T94" i="71"/>
  <c r="P94" i="71"/>
  <c r="X94" i="71" s="1"/>
  <c r="H94" i="71"/>
  <c r="D94" i="71"/>
  <c r="L94" i="71" s="1"/>
  <c r="N94" i="71" s="1"/>
  <c r="B94" i="71"/>
  <c r="X93" i="71"/>
  <c r="Z93" i="71" s="1"/>
  <c r="L93" i="71"/>
  <c r="N93" i="71" s="1"/>
  <c r="B93" i="71"/>
  <c r="X92" i="71"/>
  <c r="T92" i="71"/>
  <c r="Z92" i="71" s="1"/>
  <c r="P92" i="71"/>
  <c r="H92" i="71"/>
  <c r="D92" i="71"/>
  <c r="L92" i="71" s="1"/>
  <c r="N92" i="71" s="1"/>
  <c r="B92" i="71"/>
  <c r="Z91" i="71"/>
  <c r="X91" i="71"/>
  <c r="N91" i="71"/>
  <c r="L91" i="71"/>
  <c r="B91" i="71"/>
  <c r="T90" i="71"/>
  <c r="P90" i="71"/>
  <c r="L90" i="71"/>
  <c r="H90" i="71"/>
  <c r="N90" i="71" s="1"/>
  <c r="D90" i="71"/>
  <c r="B90" i="71"/>
  <c r="Z89" i="71"/>
  <c r="X89" i="71"/>
  <c r="N89" i="71"/>
  <c r="L89" i="71"/>
  <c r="B89" i="71"/>
  <c r="Z88" i="71"/>
  <c r="X88" i="71"/>
  <c r="L88" i="71"/>
  <c r="N88" i="71" s="1"/>
  <c r="B88" i="71"/>
  <c r="T87" i="71"/>
  <c r="P87" i="71"/>
  <c r="X87" i="71" s="1"/>
  <c r="H87" i="71"/>
  <c r="D87" i="71"/>
  <c r="B87" i="71"/>
  <c r="X86" i="71"/>
  <c r="Z86" i="71" s="1"/>
  <c r="N86" i="71"/>
  <c r="L86" i="71"/>
  <c r="B86" i="71"/>
  <c r="T85" i="71"/>
  <c r="P85" i="71"/>
  <c r="X85" i="71" s="1"/>
  <c r="Z85" i="71" s="1"/>
  <c r="H85" i="71"/>
  <c r="D85" i="71"/>
  <c r="L85" i="71" s="1"/>
  <c r="B85" i="71"/>
  <c r="X84" i="71"/>
  <c r="Z84" i="71" s="1"/>
  <c r="N84" i="71"/>
  <c r="L84" i="71"/>
  <c r="B84" i="71"/>
  <c r="X83" i="71"/>
  <c r="Z83" i="71" s="1"/>
  <c r="T83" i="71"/>
  <c r="P83" i="71"/>
  <c r="H83" i="71"/>
  <c r="D83" i="71"/>
  <c r="B83" i="71"/>
  <c r="Z82" i="71"/>
  <c r="X82" i="71"/>
  <c r="N82" i="71"/>
  <c r="L82" i="71"/>
  <c r="B82" i="71"/>
  <c r="Z81" i="71"/>
  <c r="X81" i="71"/>
  <c r="L81" i="71"/>
  <c r="N81" i="71" s="1"/>
  <c r="B81" i="71"/>
  <c r="Z80" i="71"/>
  <c r="T80" i="71"/>
  <c r="P80" i="71"/>
  <c r="X80" i="71" s="1"/>
  <c r="N80" i="71"/>
  <c r="H80" i="71"/>
  <c r="D80" i="71"/>
  <c r="L80" i="71" s="1"/>
  <c r="B80" i="71"/>
  <c r="X79" i="71"/>
  <c r="Z79" i="71" s="1"/>
  <c r="N79" i="71"/>
  <c r="L79" i="71"/>
  <c r="B79" i="71"/>
  <c r="T78" i="71"/>
  <c r="Z78" i="71" s="1"/>
  <c r="P78" i="71"/>
  <c r="X78" i="71" s="1"/>
  <c r="L78" i="71"/>
  <c r="N78" i="71" s="1"/>
  <c r="J78" i="71"/>
  <c r="H78" i="71"/>
  <c r="D78" i="71"/>
  <c r="B78" i="71"/>
  <c r="X77" i="71"/>
  <c r="Z77" i="71" s="1"/>
  <c r="N77" i="71"/>
  <c r="L77" i="71"/>
  <c r="B77" i="71"/>
  <c r="X76" i="71"/>
  <c r="Z76" i="71" s="1"/>
  <c r="N76" i="71"/>
  <c r="L76" i="71"/>
  <c r="J76" i="71"/>
  <c r="B76" i="71"/>
  <c r="Z75" i="71"/>
  <c r="X75" i="71"/>
  <c r="L75" i="71"/>
  <c r="N75" i="71" s="1"/>
  <c r="B75" i="71"/>
  <c r="Z74" i="71"/>
  <c r="X74" i="71"/>
  <c r="N74" i="71"/>
  <c r="L74" i="71"/>
  <c r="B74" i="71"/>
  <c r="X73" i="71"/>
  <c r="Z73" i="71" s="1"/>
  <c r="N73" i="71"/>
  <c r="L73" i="71"/>
  <c r="B73" i="71"/>
  <c r="X72" i="71"/>
  <c r="T72" i="71"/>
  <c r="Z72" i="71" s="1"/>
  <c r="P72" i="71"/>
  <c r="N72" i="71"/>
  <c r="H72" i="71"/>
  <c r="L72" i="71" s="1"/>
  <c r="D72" i="71"/>
  <c r="B72" i="71"/>
  <c r="X71" i="71"/>
  <c r="Z71" i="71" s="1"/>
  <c r="L71" i="71"/>
  <c r="N71" i="71" s="1"/>
  <c r="B71" i="71"/>
  <c r="Z70" i="71"/>
  <c r="X70" i="71"/>
  <c r="N70" i="71"/>
  <c r="L70" i="71"/>
  <c r="B70" i="71"/>
  <c r="Z69" i="71"/>
  <c r="X69" i="71"/>
  <c r="N69" i="71"/>
  <c r="L69" i="71"/>
  <c r="B69" i="71"/>
  <c r="Z68" i="71"/>
  <c r="X68" i="71"/>
  <c r="L68" i="71"/>
  <c r="N68" i="71" s="1"/>
  <c r="B68" i="71"/>
  <c r="X67" i="71"/>
  <c r="Z67" i="71" s="1"/>
  <c r="L67" i="71"/>
  <c r="N67" i="71" s="1"/>
  <c r="B67" i="71"/>
  <c r="Z66" i="71"/>
  <c r="X66" i="71"/>
  <c r="N66" i="71"/>
  <c r="L66" i="71"/>
  <c r="J66" i="71"/>
  <c r="B66" i="71"/>
  <c r="Z65" i="71"/>
  <c r="X65" i="71"/>
  <c r="N65" i="71"/>
  <c r="L65" i="71"/>
  <c r="B65" i="71"/>
  <c r="Z64" i="71"/>
  <c r="X64" i="71"/>
  <c r="L64" i="71"/>
  <c r="N64" i="71" s="1"/>
  <c r="B64" i="71"/>
  <c r="X63" i="71"/>
  <c r="Z63" i="71" s="1"/>
  <c r="L63" i="71"/>
  <c r="N63" i="71" s="1"/>
  <c r="B63" i="71"/>
  <c r="T62" i="71"/>
  <c r="P62" i="71"/>
  <c r="X62" i="71" s="1"/>
  <c r="Z62" i="71" s="1"/>
  <c r="J62" i="71"/>
  <c r="H62" i="71"/>
  <c r="N62" i="71" s="1"/>
  <c r="D62" i="71"/>
  <c r="L62" i="71" s="1"/>
  <c r="B62" i="71"/>
  <c r="T61" i="71"/>
  <c r="P61" i="71"/>
  <c r="X61" i="71" s="1"/>
  <c r="H61" i="71"/>
  <c r="D61" i="71"/>
  <c r="L61" i="71" s="1"/>
  <c r="Z57" i="71"/>
  <c r="X57" i="71"/>
  <c r="N57" i="71"/>
  <c r="L57" i="71"/>
  <c r="B57" i="71"/>
  <c r="X56" i="71"/>
  <c r="Z56" i="71" s="1"/>
  <c r="N56" i="71"/>
  <c r="L56" i="71"/>
  <c r="B56" i="71"/>
  <c r="X55" i="71"/>
  <c r="Z55" i="71" s="1"/>
  <c r="N55" i="71"/>
  <c r="L55" i="71"/>
  <c r="B55" i="71"/>
  <c r="Z54" i="71"/>
  <c r="X54" i="71"/>
  <c r="L54" i="71"/>
  <c r="N54" i="71" s="1"/>
  <c r="B54" i="71"/>
  <c r="X53" i="71"/>
  <c r="Z53" i="71" s="1"/>
  <c r="L53" i="71"/>
  <c r="N53" i="71" s="1"/>
  <c r="B53" i="71"/>
  <c r="Z52" i="71"/>
  <c r="X52" i="71"/>
  <c r="N52" i="71"/>
  <c r="L52" i="71"/>
  <c r="B52" i="71"/>
  <c r="X51" i="71"/>
  <c r="Z51" i="71" s="1"/>
  <c r="N51" i="71"/>
  <c r="L51" i="71"/>
  <c r="B51" i="71"/>
  <c r="Z50" i="71"/>
  <c r="X50" i="71"/>
  <c r="L50" i="71"/>
  <c r="N50" i="71" s="1"/>
  <c r="B50" i="71"/>
  <c r="X49" i="71"/>
  <c r="Z49" i="71" s="1"/>
  <c r="N49" i="71"/>
  <c r="L49" i="71"/>
  <c r="B49" i="71"/>
  <c r="X48" i="71"/>
  <c r="Z48" i="71" s="1"/>
  <c r="L48" i="71"/>
  <c r="N48" i="71" s="1"/>
  <c r="B48" i="71"/>
  <c r="X47" i="71"/>
  <c r="Z47" i="71" s="1"/>
  <c r="N47" i="71"/>
  <c r="L47" i="71"/>
  <c r="B47" i="71"/>
  <c r="Z46" i="71"/>
  <c r="X46" i="71"/>
  <c r="N46" i="71"/>
  <c r="L46" i="71"/>
  <c r="B46" i="71"/>
  <c r="X45" i="71"/>
  <c r="Z45" i="71" s="1"/>
  <c r="L45" i="71"/>
  <c r="N45" i="71" s="1"/>
  <c r="B45" i="71"/>
  <c r="X44" i="71"/>
  <c r="Z44" i="71" s="1"/>
  <c r="L44" i="71"/>
  <c r="N44" i="71" s="1"/>
  <c r="B44" i="71"/>
  <c r="X43" i="71"/>
  <c r="Z43" i="71" s="1"/>
  <c r="L43" i="71"/>
  <c r="N43" i="71" s="1"/>
  <c r="B43" i="71"/>
  <c r="Z42" i="71"/>
  <c r="X42" i="71"/>
  <c r="L42" i="71"/>
  <c r="N42" i="71" s="1"/>
  <c r="B42" i="71"/>
  <c r="T41" i="71"/>
  <c r="Z41" i="71" s="1"/>
  <c r="P41" i="71"/>
  <c r="X41" i="71" s="1"/>
  <c r="H41" i="71"/>
  <c r="D41" i="71"/>
  <c r="L41" i="71" s="1"/>
  <c r="T39" i="71"/>
  <c r="P39" i="71"/>
  <c r="X39" i="71" s="1"/>
  <c r="N39" i="71"/>
  <c r="H39" i="71"/>
  <c r="D39" i="71"/>
  <c r="L39" i="71" s="1"/>
  <c r="B39" i="71"/>
  <c r="T38" i="71"/>
  <c r="P38" i="71"/>
  <c r="H38" i="71"/>
  <c r="N38" i="71" s="1"/>
  <c r="D38" i="71"/>
  <c r="B38" i="71"/>
  <c r="X37" i="71"/>
  <c r="T37" i="71"/>
  <c r="P37" i="71"/>
  <c r="N37" i="71"/>
  <c r="L37" i="71"/>
  <c r="H37" i="71"/>
  <c r="D37" i="71"/>
  <c r="B37" i="71"/>
  <c r="T36" i="71"/>
  <c r="P36" i="71"/>
  <c r="H36" i="71"/>
  <c r="D36" i="71"/>
  <c r="L36" i="71" s="1"/>
  <c r="N36" i="71" s="1"/>
  <c r="B36" i="71"/>
  <c r="T35" i="71"/>
  <c r="Z35" i="71" s="1"/>
  <c r="P35" i="71"/>
  <c r="X35" i="71" s="1"/>
  <c r="H35" i="71"/>
  <c r="D35" i="71"/>
  <c r="L35" i="71" s="1"/>
  <c r="N35" i="71" s="1"/>
  <c r="B35" i="71"/>
  <c r="T34" i="71"/>
  <c r="P34" i="71"/>
  <c r="H34" i="71"/>
  <c r="N34" i="71" s="1"/>
  <c r="D34" i="71"/>
  <c r="B34" i="71"/>
  <c r="X33" i="71"/>
  <c r="T33" i="71"/>
  <c r="P33" i="71"/>
  <c r="L33" i="71"/>
  <c r="N33" i="71" s="1"/>
  <c r="H33" i="71"/>
  <c r="D33" i="71"/>
  <c r="B33" i="71"/>
  <c r="T32" i="71"/>
  <c r="P32" i="71"/>
  <c r="H32" i="71"/>
  <c r="D32" i="71"/>
  <c r="L32" i="71" s="1"/>
  <c r="N32" i="71" s="1"/>
  <c r="B32" i="71"/>
  <c r="T31" i="71"/>
  <c r="P31" i="71"/>
  <c r="X31" i="71" s="1"/>
  <c r="H31" i="71"/>
  <c r="D31" i="71"/>
  <c r="L31" i="71" s="1"/>
  <c r="N31" i="71" s="1"/>
  <c r="B31" i="71"/>
  <c r="X30" i="71"/>
  <c r="T30" i="71"/>
  <c r="P30" i="71"/>
  <c r="H30" i="71"/>
  <c r="D30" i="71"/>
  <c r="B30" i="71"/>
  <c r="T29" i="71"/>
  <c r="P29" i="71"/>
  <c r="L29" i="71"/>
  <c r="N29" i="71" s="1"/>
  <c r="H29" i="71"/>
  <c r="D29" i="71"/>
  <c r="B29" i="71"/>
  <c r="T28" i="71"/>
  <c r="P28" i="71"/>
  <c r="H28" i="71"/>
  <c r="D28" i="71"/>
  <c r="L28" i="71" s="1"/>
  <c r="N28" i="71" s="1"/>
  <c r="B28" i="71"/>
  <c r="T27" i="71"/>
  <c r="P27" i="71"/>
  <c r="X27" i="71" s="1"/>
  <c r="H27" i="71"/>
  <c r="D27" i="71"/>
  <c r="L27" i="71" s="1"/>
  <c r="N27" i="71" s="1"/>
  <c r="B27" i="71"/>
  <c r="X26" i="71"/>
  <c r="T26" i="71"/>
  <c r="P26" i="71"/>
  <c r="H26" i="71"/>
  <c r="N26" i="71" s="1"/>
  <c r="D26" i="71"/>
  <c r="B26" i="71"/>
  <c r="T25" i="71"/>
  <c r="P25" i="71"/>
  <c r="N25" i="71"/>
  <c r="L25" i="71"/>
  <c r="H25" i="71"/>
  <c r="D25" i="71"/>
  <c r="B25" i="71"/>
  <c r="Z24" i="71"/>
  <c r="T24" i="71"/>
  <c r="X24" i="71" s="1"/>
  <c r="P24" i="71"/>
  <c r="N24" i="71"/>
  <c r="H24" i="71"/>
  <c r="H12" i="71" s="1"/>
  <c r="D24" i="71"/>
  <c r="L24" i="71" s="1"/>
  <c r="B24" i="71"/>
  <c r="T23" i="71"/>
  <c r="Z23" i="71" s="1"/>
  <c r="P23" i="71"/>
  <c r="X23" i="71" s="1"/>
  <c r="N23" i="71"/>
  <c r="L23" i="71"/>
  <c r="H23" i="71"/>
  <c r="D23" i="71"/>
  <c r="B23" i="71"/>
  <c r="T22" i="71"/>
  <c r="X22" i="71" s="1"/>
  <c r="P22" i="71"/>
  <c r="H22" i="71"/>
  <c r="D22" i="71"/>
  <c r="B22" i="71"/>
  <c r="X21" i="71"/>
  <c r="T21" i="71"/>
  <c r="P21" i="71"/>
  <c r="L21" i="71"/>
  <c r="N21" i="71" s="1"/>
  <c r="H21" i="71"/>
  <c r="D21" i="71"/>
  <c r="B21" i="71"/>
  <c r="T20" i="71"/>
  <c r="X20" i="71" s="1"/>
  <c r="P20" i="71"/>
  <c r="L20" i="71"/>
  <c r="H20" i="71"/>
  <c r="N20" i="71" s="1"/>
  <c r="D20" i="71"/>
  <c r="B20" i="71"/>
  <c r="T19" i="71"/>
  <c r="P19" i="71"/>
  <c r="X19" i="71" s="1"/>
  <c r="H19" i="71"/>
  <c r="D19" i="71"/>
  <c r="L19" i="71" s="1"/>
  <c r="N19" i="71" s="1"/>
  <c r="B19" i="71"/>
  <c r="T18" i="71"/>
  <c r="T12" i="71" s="1"/>
  <c r="V54" i="71" s="1"/>
  <c r="P18" i="71"/>
  <c r="H18" i="71"/>
  <c r="D18" i="71"/>
  <c r="B18" i="71"/>
  <c r="T17" i="71"/>
  <c r="P17" i="71"/>
  <c r="X17" i="71" s="1"/>
  <c r="L17" i="71"/>
  <c r="N17" i="71" s="1"/>
  <c r="H17" i="71"/>
  <c r="D17" i="71"/>
  <c r="B17" i="71"/>
  <c r="Z16" i="71"/>
  <c r="T16" i="71"/>
  <c r="X16" i="71" s="1"/>
  <c r="P16" i="71"/>
  <c r="H16" i="71"/>
  <c r="D16" i="71"/>
  <c r="B16" i="71"/>
  <c r="T15" i="71"/>
  <c r="P15" i="71"/>
  <c r="N15" i="71"/>
  <c r="L15" i="71"/>
  <c r="H15" i="71"/>
  <c r="D15" i="71"/>
  <c r="B15" i="71"/>
  <c r="X14" i="71"/>
  <c r="Z14" i="71" s="1"/>
  <c r="T14" i="71"/>
  <c r="P14" i="71"/>
  <c r="H14" i="71"/>
  <c r="D14" i="71"/>
  <c r="B14" i="71"/>
  <c r="X13" i="71"/>
  <c r="T13" i="71"/>
  <c r="P13" i="71"/>
  <c r="L13" i="71"/>
  <c r="N13" i="71" s="1"/>
  <c r="H13" i="71"/>
  <c r="D13" i="71"/>
  <c r="B13" i="71"/>
  <c r="D6" i="71"/>
  <c r="D4" i="71"/>
  <c r="X71" i="70"/>
  <c r="Z71" i="70" s="1"/>
  <c r="N71" i="70"/>
  <c r="L71" i="70"/>
  <c r="Z67" i="70"/>
  <c r="T67" i="70"/>
  <c r="P67" i="70"/>
  <c r="X67" i="70" s="1"/>
  <c r="N67" i="70"/>
  <c r="H67" i="70"/>
  <c r="D67" i="70"/>
  <c r="L67" i="70" s="1"/>
  <c r="X65" i="70"/>
  <c r="Z65" i="70" s="1"/>
  <c r="L65" i="70"/>
  <c r="N65" i="70" s="1"/>
  <c r="B65" i="70"/>
  <c r="T64" i="70"/>
  <c r="P64" i="70"/>
  <c r="H64" i="70"/>
  <c r="D64" i="70"/>
  <c r="L64" i="70" s="1"/>
  <c r="B64" i="70"/>
  <c r="X63" i="70"/>
  <c r="Z63" i="70" s="1"/>
  <c r="N63" i="70"/>
  <c r="L63" i="70"/>
  <c r="F63" i="70"/>
  <c r="B63" i="70"/>
  <c r="X62" i="70"/>
  <c r="Z62" i="70" s="1"/>
  <c r="N62" i="70"/>
  <c r="L62" i="70"/>
  <c r="B62" i="70"/>
  <c r="X61" i="70"/>
  <c r="Z61" i="70" s="1"/>
  <c r="N61" i="70"/>
  <c r="L61" i="70"/>
  <c r="F61" i="70"/>
  <c r="B61" i="70"/>
  <c r="Z60" i="70"/>
  <c r="X60" i="70"/>
  <c r="N60" i="70"/>
  <c r="L60" i="70"/>
  <c r="B60" i="70"/>
  <c r="X59" i="70"/>
  <c r="Z59" i="70" s="1"/>
  <c r="N59" i="70"/>
  <c r="L59" i="70"/>
  <c r="B59" i="70"/>
  <c r="X58" i="70"/>
  <c r="Z58" i="70" s="1"/>
  <c r="N58" i="70"/>
  <c r="L58" i="70"/>
  <c r="B58" i="70"/>
  <c r="X57" i="70"/>
  <c r="T57" i="70"/>
  <c r="Z57" i="70" s="1"/>
  <c r="P57" i="70"/>
  <c r="L57" i="70"/>
  <c r="H57" i="70"/>
  <c r="N57" i="70" s="1"/>
  <c r="D57" i="70"/>
  <c r="B57" i="70"/>
  <c r="X56" i="70"/>
  <c r="Z56" i="70" s="1"/>
  <c r="N56" i="70"/>
  <c r="L56" i="70"/>
  <c r="F56" i="70"/>
  <c r="B56" i="70"/>
  <c r="T55" i="70"/>
  <c r="Z55" i="70" s="1"/>
  <c r="P55" i="70"/>
  <c r="X55" i="70" s="1"/>
  <c r="H55" i="70"/>
  <c r="N55" i="70" s="1"/>
  <c r="D55" i="70"/>
  <c r="L55" i="70" s="1"/>
  <c r="B55" i="70"/>
  <c r="Z54" i="70"/>
  <c r="X54" i="70"/>
  <c r="N54" i="70"/>
  <c r="L54" i="70"/>
  <c r="B54" i="70"/>
  <c r="X53" i="70"/>
  <c r="Z53" i="70" s="1"/>
  <c r="N53" i="70"/>
  <c r="L53" i="70"/>
  <c r="B53" i="70"/>
  <c r="X52" i="70"/>
  <c r="Z52" i="70" s="1"/>
  <c r="L52" i="70"/>
  <c r="N52" i="70" s="1"/>
  <c r="B52" i="70"/>
  <c r="T51" i="70"/>
  <c r="P51" i="70"/>
  <c r="X51" i="70" s="1"/>
  <c r="Z51" i="70" s="1"/>
  <c r="L51" i="70"/>
  <c r="N51" i="70" s="1"/>
  <c r="H51" i="70"/>
  <c r="D51" i="70"/>
  <c r="B51" i="70"/>
  <c r="X50" i="70"/>
  <c r="Z50" i="70" s="1"/>
  <c r="L50" i="70"/>
  <c r="N50" i="70" s="1"/>
  <c r="B50" i="70"/>
  <c r="X49" i="70"/>
  <c r="Z49" i="70" s="1"/>
  <c r="N49" i="70"/>
  <c r="L49" i="70"/>
  <c r="B49" i="70"/>
  <c r="T48" i="70"/>
  <c r="P48" i="70"/>
  <c r="X48" i="70" s="1"/>
  <c r="Z48" i="70" s="1"/>
  <c r="L48" i="70"/>
  <c r="H48" i="70"/>
  <c r="N48" i="70" s="1"/>
  <c r="D48" i="70"/>
  <c r="B48" i="70"/>
  <c r="Z47" i="70"/>
  <c r="X47" i="70"/>
  <c r="N47" i="70"/>
  <c r="L47" i="70"/>
  <c r="F47" i="70"/>
  <c r="B47" i="70"/>
  <c r="T46" i="70"/>
  <c r="P46" i="70"/>
  <c r="N46" i="70"/>
  <c r="L46" i="70"/>
  <c r="H46" i="70"/>
  <c r="F46" i="70"/>
  <c r="D46" i="70"/>
  <c r="B46" i="70"/>
  <c r="Z45" i="70"/>
  <c r="X45" i="70"/>
  <c r="N45" i="70"/>
  <c r="L45" i="70"/>
  <c r="F45" i="70"/>
  <c r="B45" i="70"/>
  <c r="Z44" i="70"/>
  <c r="T44" i="70"/>
  <c r="P44" i="70"/>
  <c r="X44" i="70" s="1"/>
  <c r="N44" i="70"/>
  <c r="H44" i="70"/>
  <c r="L44" i="70" s="1"/>
  <c r="F44" i="70"/>
  <c r="D44" i="70"/>
  <c r="B44" i="70"/>
  <c r="X43" i="70"/>
  <c r="Z43" i="70" s="1"/>
  <c r="N43" i="70"/>
  <c r="L43" i="70"/>
  <c r="B43" i="70"/>
  <c r="Z42" i="70"/>
  <c r="T42" i="70"/>
  <c r="P42" i="70"/>
  <c r="X42" i="70" s="1"/>
  <c r="L42" i="70"/>
  <c r="H42" i="70"/>
  <c r="N42" i="70" s="1"/>
  <c r="D42" i="70"/>
  <c r="B42" i="70"/>
  <c r="X41" i="70"/>
  <c r="Z41" i="70" s="1"/>
  <c r="N41" i="70"/>
  <c r="L41" i="70"/>
  <c r="B41" i="70"/>
  <c r="X40" i="70"/>
  <c r="Z40" i="70" s="1"/>
  <c r="T40" i="70"/>
  <c r="P40" i="70"/>
  <c r="H40" i="70"/>
  <c r="D40" i="70"/>
  <c r="B40" i="70"/>
  <c r="X39" i="70"/>
  <c r="Z39" i="70" s="1"/>
  <c r="L39" i="70"/>
  <c r="N39" i="70" s="1"/>
  <c r="B39" i="70"/>
  <c r="T38" i="70"/>
  <c r="X38" i="70" s="1"/>
  <c r="Z38" i="70" s="1"/>
  <c r="P38" i="70"/>
  <c r="H38" i="70"/>
  <c r="D38" i="70"/>
  <c r="L38" i="70" s="1"/>
  <c r="N38" i="70" s="1"/>
  <c r="B38" i="70"/>
  <c r="X37" i="70"/>
  <c r="Z37" i="70" s="1"/>
  <c r="R37" i="70"/>
  <c r="N37" i="70"/>
  <c r="L37" i="70"/>
  <c r="B37" i="70"/>
  <c r="X36" i="70"/>
  <c r="Z36" i="70" s="1"/>
  <c r="L36" i="70"/>
  <c r="N36" i="70" s="1"/>
  <c r="B36" i="70"/>
  <c r="X35" i="70"/>
  <c r="Z35" i="70" s="1"/>
  <c r="N35" i="70"/>
  <c r="L35" i="70"/>
  <c r="B35" i="70"/>
  <c r="Z34" i="70"/>
  <c r="X34" i="70"/>
  <c r="V34" i="70"/>
  <c r="N34" i="70"/>
  <c r="L34" i="70"/>
  <c r="F34" i="70"/>
  <c r="B34" i="70"/>
  <c r="X33" i="70"/>
  <c r="Z33" i="70" s="1"/>
  <c r="L33" i="70"/>
  <c r="N33" i="70" s="1"/>
  <c r="B33" i="70"/>
  <c r="X32" i="70"/>
  <c r="T32" i="70"/>
  <c r="Z32" i="70" s="1"/>
  <c r="P32" i="70"/>
  <c r="N32" i="70"/>
  <c r="H32" i="70"/>
  <c r="D32" i="70"/>
  <c r="L32" i="70" s="1"/>
  <c r="B32" i="70"/>
  <c r="Z31" i="70"/>
  <c r="X31" i="70"/>
  <c r="L31" i="70"/>
  <c r="N31" i="70" s="1"/>
  <c r="F31" i="70"/>
  <c r="B31" i="70"/>
  <c r="Z30" i="70"/>
  <c r="X30" i="70"/>
  <c r="N30" i="70"/>
  <c r="L30" i="70"/>
  <c r="B30" i="70"/>
  <c r="X29" i="70"/>
  <c r="Z29" i="70" s="1"/>
  <c r="N29" i="70"/>
  <c r="L29" i="70"/>
  <c r="F29" i="70"/>
  <c r="B29" i="70"/>
  <c r="X28" i="70"/>
  <c r="Z28" i="70" s="1"/>
  <c r="N28" i="70"/>
  <c r="L28" i="70"/>
  <c r="B28" i="70"/>
  <c r="Z27" i="70"/>
  <c r="X27" i="70"/>
  <c r="L27" i="70"/>
  <c r="N27" i="70" s="1"/>
  <c r="F27" i="70"/>
  <c r="B27" i="70"/>
  <c r="Z26" i="70"/>
  <c r="X26" i="70"/>
  <c r="N26" i="70"/>
  <c r="L26" i="70"/>
  <c r="F26" i="70"/>
  <c r="B26" i="70"/>
  <c r="X25" i="70"/>
  <c r="Z25" i="70" s="1"/>
  <c r="N25" i="70"/>
  <c r="L25" i="70"/>
  <c r="F25" i="70"/>
  <c r="B25" i="70"/>
  <c r="X24" i="70"/>
  <c r="Z24" i="70" s="1"/>
  <c r="N24" i="70"/>
  <c r="L24" i="70"/>
  <c r="B24" i="70"/>
  <c r="T23" i="70"/>
  <c r="P23" i="70"/>
  <c r="X23" i="70" s="1"/>
  <c r="Z23" i="70" s="1"/>
  <c r="L23" i="70"/>
  <c r="H23" i="70"/>
  <c r="F23" i="70"/>
  <c r="D23" i="70"/>
  <c r="B23" i="70"/>
  <c r="T22" i="70"/>
  <c r="P22" i="70"/>
  <c r="H22" i="70"/>
  <c r="D22" i="70"/>
  <c r="L22" i="70" s="1"/>
  <c r="N22" i="70" s="1"/>
  <c r="D20" i="70"/>
  <c r="Z18" i="70"/>
  <c r="X18" i="70"/>
  <c r="N18" i="70"/>
  <c r="L18" i="70"/>
  <c r="B18" i="70"/>
  <c r="Z17" i="70"/>
  <c r="X17" i="70"/>
  <c r="L17" i="70"/>
  <c r="N17" i="70" s="1"/>
  <c r="F17" i="70"/>
  <c r="B17" i="70"/>
  <c r="T16" i="70"/>
  <c r="P16" i="70"/>
  <c r="X16" i="70" s="1"/>
  <c r="Z16" i="70" s="1"/>
  <c r="H16" i="70"/>
  <c r="F16" i="70"/>
  <c r="D16" i="70"/>
  <c r="T14" i="70"/>
  <c r="T12" i="70" s="1"/>
  <c r="V28" i="70" s="1"/>
  <c r="P14" i="70"/>
  <c r="X14" i="70" s="1"/>
  <c r="Z14" i="70" s="1"/>
  <c r="L14" i="70"/>
  <c r="H14" i="70"/>
  <c r="N14" i="70" s="1"/>
  <c r="D14" i="70"/>
  <c r="B14" i="70"/>
  <c r="X13" i="70"/>
  <c r="Z13" i="70" s="1"/>
  <c r="T13" i="70"/>
  <c r="P13" i="70"/>
  <c r="P12" i="70" s="1"/>
  <c r="R40" i="70" s="1"/>
  <c r="H13" i="70"/>
  <c r="D13" i="70"/>
  <c r="B13" i="70"/>
  <c r="H12" i="70"/>
  <c r="D12" i="70"/>
  <c r="F59" i="70" s="1"/>
  <c r="D6" i="70"/>
  <c r="D4" i="70"/>
  <c r="X119" i="69"/>
  <c r="Z119" i="69" s="1"/>
  <c r="L119" i="69"/>
  <c r="N119" i="69" s="1"/>
  <c r="Z115" i="69"/>
  <c r="T115" i="69"/>
  <c r="P115" i="69"/>
  <c r="X115" i="69" s="1"/>
  <c r="H115" i="69"/>
  <c r="N115" i="69" s="1"/>
  <c r="D115" i="69"/>
  <c r="Z113" i="69"/>
  <c r="X113" i="69"/>
  <c r="N113" i="69"/>
  <c r="L113" i="69"/>
  <c r="B113" i="69"/>
  <c r="T112" i="69"/>
  <c r="Z112" i="69" s="1"/>
  <c r="P112" i="69"/>
  <c r="N112" i="69"/>
  <c r="H112" i="69"/>
  <c r="D112" i="69"/>
  <c r="L112" i="69" s="1"/>
  <c r="B112" i="69"/>
  <c r="Z111" i="69"/>
  <c r="X111" i="69"/>
  <c r="L111" i="69"/>
  <c r="N111" i="69" s="1"/>
  <c r="B111" i="69"/>
  <c r="T110" i="69"/>
  <c r="P110" i="69"/>
  <c r="X110" i="69" s="1"/>
  <c r="H110" i="69"/>
  <c r="D110" i="69"/>
  <c r="L110" i="69" s="1"/>
  <c r="N110" i="69" s="1"/>
  <c r="B110" i="69"/>
  <c r="X109" i="69"/>
  <c r="Z109" i="69" s="1"/>
  <c r="N109" i="69"/>
  <c r="L109" i="69"/>
  <c r="B109" i="69"/>
  <c r="Z108" i="69"/>
  <c r="X108" i="69"/>
  <c r="L108" i="69"/>
  <c r="N108" i="69" s="1"/>
  <c r="B108" i="69"/>
  <c r="T107" i="69"/>
  <c r="P107" i="69"/>
  <c r="L107" i="69"/>
  <c r="N107" i="69" s="1"/>
  <c r="H107" i="69"/>
  <c r="D107" i="69"/>
  <c r="B107" i="69"/>
  <c r="Z106" i="69"/>
  <c r="X106" i="69"/>
  <c r="L106" i="69"/>
  <c r="N106" i="69" s="1"/>
  <c r="B106" i="69"/>
  <c r="Z105" i="69"/>
  <c r="X105" i="69"/>
  <c r="L105" i="69"/>
  <c r="N105" i="69" s="1"/>
  <c r="B105" i="69"/>
  <c r="T104" i="69"/>
  <c r="P104" i="69"/>
  <c r="H104" i="69"/>
  <c r="N104" i="69" s="1"/>
  <c r="D104" i="69"/>
  <c r="L104" i="69" s="1"/>
  <c r="B104" i="69"/>
  <c r="Z103" i="69"/>
  <c r="X103" i="69"/>
  <c r="N103" i="69"/>
  <c r="L103" i="69"/>
  <c r="B103" i="69"/>
  <c r="X102" i="69"/>
  <c r="Z102" i="69" s="1"/>
  <c r="N102" i="69"/>
  <c r="L102" i="69"/>
  <c r="B102" i="69"/>
  <c r="X101" i="69"/>
  <c r="T101" i="69"/>
  <c r="Z101" i="69" s="1"/>
  <c r="P101" i="69"/>
  <c r="N101" i="69"/>
  <c r="H101" i="69"/>
  <c r="D101" i="69"/>
  <c r="L101" i="69" s="1"/>
  <c r="B101" i="69"/>
  <c r="Z100" i="69"/>
  <c r="X100" i="69"/>
  <c r="L100" i="69"/>
  <c r="N100" i="69" s="1"/>
  <c r="B100" i="69"/>
  <c r="T99" i="69"/>
  <c r="P99" i="69"/>
  <c r="L99" i="69"/>
  <c r="N99" i="69" s="1"/>
  <c r="H99" i="69"/>
  <c r="D99" i="69"/>
  <c r="B99" i="69"/>
  <c r="Z98" i="69"/>
  <c r="X98" i="69"/>
  <c r="N98" i="69"/>
  <c r="L98" i="69"/>
  <c r="B98" i="69"/>
  <c r="T97" i="69"/>
  <c r="P97" i="69"/>
  <c r="X97" i="69" s="1"/>
  <c r="Z97" i="69" s="1"/>
  <c r="H97" i="69"/>
  <c r="N97" i="69" s="1"/>
  <c r="D97" i="69"/>
  <c r="B97" i="69"/>
  <c r="X96" i="69"/>
  <c r="Z96" i="69" s="1"/>
  <c r="N96" i="69"/>
  <c r="L96" i="69"/>
  <c r="B96" i="69"/>
  <c r="Z95" i="69"/>
  <c r="T95" i="69"/>
  <c r="P95" i="69"/>
  <c r="X95" i="69" s="1"/>
  <c r="L95" i="69"/>
  <c r="H95" i="69"/>
  <c r="N95" i="69" s="1"/>
  <c r="D95" i="69"/>
  <c r="B95" i="69"/>
  <c r="X94" i="69"/>
  <c r="Z94" i="69" s="1"/>
  <c r="N94" i="69"/>
  <c r="L94" i="69"/>
  <c r="B94" i="69"/>
  <c r="X93" i="69"/>
  <c r="Z93" i="69" s="1"/>
  <c r="T93" i="69"/>
  <c r="P93" i="69"/>
  <c r="H93" i="69"/>
  <c r="N93" i="69" s="1"/>
  <c r="D93" i="69"/>
  <c r="B93" i="69"/>
  <c r="X92" i="69"/>
  <c r="Z92" i="69" s="1"/>
  <c r="N92" i="69"/>
  <c r="L92" i="69"/>
  <c r="B92" i="69"/>
  <c r="Z91" i="69"/>
  <c r="X91" i="69"/>
  <c r="N91" i="69"/>
  <c r="L91" i="69"/>
  <c r="B91" i="69"/>
  <c r="T90" i="69"/>
  <c r="P90" i="69"/>
  <c r="X90" i="69" s="1"/>
  <c r="H90" i="69"/>
  <c r="D90" i="69"/>
  <c r="B90" i="69"/>
  <c r="X89" i="69"/>
  <c r="Z89" i="69" s="1"/>
  <c r="L89" i="69"/>
  <c r="N89" i="69" s="1"/>
  <c r="B89" i="69"/>
  <c r="T88" i="69"/>
  <c r="P88" i="69"/>
  <c r="X88" i="69" s="1"/>
  <c r="Z88" i="69" s="1"/>
  <c r="H88" i="69"/>
  <c r="D88" i="69"/>
  <c r="L88" i="69" s="1"/>
  <c r="B88" i="69"/>
  <c r="Z87" i="69"/>
  <c r="X87" i="69"/>
  <c r="N87" i="69"/>
  <c r="L87" i="69"/>
  <c r="B87" i="69"/>
  <c r="X86" i="69"/>
  <c r="T86" i="69"/>
  <c r="Z86" i="69" s="1"/>
  <c r="P86" i="69"/>
  <c r="N86" i="69"/>
  <c r="H86" i="69"/>
  <c r="D86" i="69"/>
  <c r="L86" i="69" s="1"/>
  <c r="B86" i="69"/>
  <c r="Z85" i="69"/>
  <c r="X85" i="69"/>
  <c r="L85" i="69"/>
  <c r="N85" i="69" s="1"/>
  <c r="B85" i="69"/>
  <c r="X84" i="69"/>
  <c r="Z84" i="69" s="1"/>
  <c r="L84" i="69"/>
  <c r="N84" i="69" s="1"/>
  <c r="B84" i="69"/>
  <c r="Z83" i="69"/>
  <c r="X83" i="69"/>
  <c r="N83" i="69"/>
  <c r="L83" i="69"/>
  <c r="B83" i="69"/>
  <c r="Z82" i="69"/>
  <c r="X82" i="69"/>
  <c r="L82" i="69"/>
  <c r="N82" i="69" s="1"/>
  <c r="B82" i="69"/>
  <c r="T81" i="69"/>
  <c r="P81" i="69"/>
  <c r="X81" i="69" s="1"/>
  <c r="Z81" i="69" s="1"/>
  <c r="H81" i="69"/>
  <c r="L81" i="69" s="1"/>
  <c r="N81" i="69" s="1"/>
  <c r="D81" i="69"/>
  <c r="B81" i="69"/>
  <c r="X80" i="69"/>
  <c r="Z80" i="69" s="1"/>
  <c r="N80" i="69"/>
  <c r="L80" i="69"/>
  <c r="B80" i="69"/>
  <c r="Z79" i="69"/>
  <c r="X79" i="69"/>
  <c r="L79" i="69"/>
  <c r="N79" i="69" s="1"/>
  <c r="B79" i="69"/>
  <c r="X78" i="69"/>
  <c r="Z78" i="69" s="1"/>
  <c r="L78" i="69"/>
  <c r="N78" i="69" s="1"/>
  <c r="B78" i="69"/>
  <c r="X77" i="69"/>
  <c r="Z77" i="69" s="1"/>
  <c r="L77" i="69"/>
  <c r="N77" i="69" s="1"/>
  <c r="B77" i="69"/>
  <c r="X76" i="69"/>
  <c r="Z76" i="69" s="1"/>
  <c r="N76" i="69"/>
  <c r="L76" i="69"/>
  <c r="B76" i="69"/>
  <c r="Z75" i="69"/>
  <c r="X75" i="69"/>
  <c r="L75" i="69"/>
  <c r="N75" i="69" s="1"/>
  <c r="B75" i="69"/>
  <c r="X74" i="69"/>
  <c r="Z74" i="69" s="1"/>
  <c r="L74" i="69"/>
  <c r="N74" i="69" s="1"/>
  <c r="B74" i="69"/>
  <c r="X73" i="69"/>
  <c r="Z73" i="69" s="1"/>
  <c r="L73" i="69"/>
  <c r="N73" i="69" s="1"/>
  <c r="B73" i="69"/>
  <c r="T72" i="69"/>
  <c r="P72" i="69"/>
  <c r="X72" i="69" s="1"/>
  <c r="Z72" i="69" s="1"/>
  <c r="H72" i="69"/>
  <c r="D72" i="69"/>
  <c r="B72" i="69"/>
  <c r="T71" i="69"/>
  <c r="P71" i="69"/>
  <c r="L71" i="69"/>
  <c r="N71" i="69" s="1"/>
  <c r="H71" i="69"/>
  <c r="D71" i="69"/>
  <c r="X67" i="69"/>
  <c r="Z67" i="69" s="1"/>
  <c r="N67" i="69"/>
  <c r="L67" i="69"/>
  <c r="B67" i="69"/>
  <c r="X66" i="69"/>
  <c r="Z66" i="69" s="1"/>
  <c r="N66" i="69"/>
  <c r="L66" i="69"/>
  <c r="B66" i="69"/>
  <c r="X65" i="69"/>
  <c r="Z65" i="69" s="1"/>
  <c r="N65" i="69"/>
  <c r="L65" i="69"/>
  <c r="B65" i="69"/>
  <c r="Z64" i="69"/>
  <c r="X64" i="69"/>
  <c r="L64" i="69"/>
  <c r="N64" i="69" s="1"/>
  <c r="B64" i="69"/>
  <c r="X63" i="69"/>
  <c r="Z63" i="69" s="1"/>
  <c r="N63" i="69"/>
  <c r="L63" i="69"/>
  <c r="B63" i="69"/>
  <c r="X62" i="69"/>
  <c r="Z62" i="69" s="1"/>
  <c r="N62" i="69"/>
  <c r="L62" i="69"/>
  <c r="B62" i="69"/>
  <c r="X61" i="69"/>
  <c r="Z61" i="69" s="1"/>
  <c r="N61" i="69"/>
  <c r="L61" i="69"/>
  <c r="B61" i="69"/>
  <c r="Z60" i="69"/>
  <c r="X60" i="69"/>
  <c r="L60" i="69"/>
  <c r="N60" i="69" s="1"/>
  <c r="B60" i="69"/>
  <c r="X59" i="69"/>
  <c r="Z59" i="69" s="1"/>
  <c r="N59" i="69"/>
  <c r="L59" i="69"/>
  <c r="B59" i="69"/>
  <c r="X58" i="69"/>
  <c r="Z58" i="69" s="1"/>
  <c r="N58" i="69"/>
  <c r="L58" i="69"/>
  <c r="B58" i="69"/>
  <c r="X57" i="69"/>
  <c r="Z57" i="69" s="1"/>
  <c r="N57" i="69"/>
  <c r="L57" i="69"/>
  <c r="B57" i="69"/>
  <c r="Z56" i="69"/>
  <c r="X56" i="69"/>
  <c r="L56" i="69"/>
  <c r="N56" i="69" s="1"/>
  <c r="B56" i="69"/>
  <c r="X55" i="69"/>
  <c r="Z55" i="69" s="1"/>
  <c r="N55" i="69"/>
  <c r="L55" i="69"/>
  <c r="B55" i="69"/>
  <c r="X54" i="69"/>
  <c r="Z54" i="69" s="1"/>
  <c r="N54" i="69"/>
  <c r="L54" i="69"/>
  <c r="B54" i="69"/>
  <c r="X53" i="69"/>
  <c r="Z53" i="69" s="1"/>
  <c r="N53" i="69"/>
  <c r="L53" i="69"/>
  <c r="B53" i="69"/>
  <c r="Z52" i="69"/>
  <c r="X52" i="69"/>
  <c r="L52" i="69"/>
  <c r="N52" i="69" s="1"/>
  <c r="B52" i="69"/>
  <c r="X51" i="69"/>
  <c r="Z51" i="69" s="1"/>
  <c r="N51" i="69"/>
  <c r="L51" i="69"/>
  <c r="B51" i="69"/>
  <c r="X50" i="69"/>
  <c r="Z50" i="69" s="1"/>
  <c r="N50" i="69"/>
  <c r="L50" i="69"/>
  <c r="B50" i="69"/>
  <c r="Z49" i="69"/>
  <c r="X49" i="69"/>
  <c r="N49" i="69"/>
  <c r="L49" i="69"/>
  <c r="B49" i="69"/>
  <c r="T48" i="69"/>
  <c r="P48" i="69"/>
  <c r="X48" i="69" s="1"/>
  <c r="Z48" i="69" s="1"/>
  <c r="L48" i="69"/>
  <c r="H48" i="69"/>
  <c r="D48" i="69"/>
  <c r="Z46" i="69"/>
  <c r="X46" i="69"/>
  <c r="T46" i="69"/>
  <c r="P46" i="69"/>
  <c r="H46" i="69"/>
  <c r="D46" i="69"/>
  <c r="L46" i="69" s="1"/>
  <c r="N46" i="69" s="1"/>
  <c r="B46" i="69"/>
  <c r="T45" i="69"/>
  <c r="P45" i="69"/>
  <c r="X45" i="69" s="1"/>
  <c r="Z45" i="69" s="1"/>
  <c r="N45" i="69"/>
  <c r="H45" i="69"/>
  <c r="D45" i="69"/>
  <c r="L45" i="69" s="1"/>
  <c r="B45" i="69"/>
  <c r="X44" i="69"/>
  <c r="T44" i="69"/>
  <c r="Z44" i="69" s="1"/>
  <c r="P44" i="69"/>
  <c r="H44" i="69"/>
  <c r="N44" i="69" s="1"/>
  <c r="D44" i="69"/>
  <c r="L44" i="69" s="1"/>
  <c r="B44" i="69"/>
  <c r="T43" i="69"/>
  <c r="P43" i="69"/>
  <c r="N43" i="69"/>
  <c r="L43" i="69"/>
  <c r="H43" i="69"/>
  <c r="D43" i="69"/>
  <c r="B43" i="69"/>
  <c r="Z42" i="69"/>
  <c r="X42" i="69"/>
  <c r="T42" i="69"/>
  <c r="P42" i="69"/>
  <c r="N42" i="69"/>
  <c r="L42" i="69"/>
  <c r="H42" i="69"/>
  <c r="D42" i="69"/>
  <c r="B42" i="69"/>
  <c r="Z41" i="69"/>
  <c r="T41" i="69"/>
  <c r="P41" i="69"/>
  <c r="X41" i="69" s="1"/>
  <c r="N41" i="69"/>
  <c r="H41" i="69"/>
  <c r="D41" i="69"/>
  <c r="L41" i="69" s="1"/>
  <c r="B41" i="69"/>
  <c r="X40" i="69"/>
  <c r="T40" i="69"/>
  <c r="P40" i="69"/>
  <c r="H40" i="69"/>
  <c r="D40" i="69"/>
  <c r="L40" i="69" s="1"/>
  <c r="B40" i="69"/>
  <c r="T39" i="69"/>
  <c r="P39" i="69"/>
  <c r="N39" i="69"/>
  <c r="L39" i="69"/>
  <c r="H39" i="69"/>
  <c r="D39" i="69"/>
  <c r="B39" i="69"/>
  <c r="Z38" i="69"/>
  <c r="X38" i="69"/>
  <c r="T38" i="69"/>
  <c r="P38" i="69"/>
  <c r="H38" i="69"/>
  <c r="D38" i="69"/>
  <c r="L38" i="69" s="1"/>
  <c r="N38" i="69" s="1"/>
  <c r="B38" i="69"/>
  <c r="T37" i="69"/>
  <c r="P37" i="69"/>
  <c r="X37" i="69" s="1"/>
  <c r="Z37" i="69" s="1"/>
  <c r="N37" i="69"/>
  <c r="H37" i="69"/>
  <c r="D37" i="69"/>
  <c r="L37" i="69" s="1"/>
  <c r="B37" i="69"/>
  <c r="X36" i="69"/>
  <c r="T36" i="69"/>
  <c r="Z36" i="69" s="1"/>
  <c r="P36" i="69"/>
  <c r="H36" i="69"/>
  <c r="N36" i="69" s="1"/>
  <c r="D36" i="69"/>
  <c r="L36" i="69" s="1"/>
  <c r="B36" i="69"/>
  <c r="T35" i="69"/>
  <c r="P35" i="69"/>
  <c r="N35" i="69"/>
  <c r="L35" i="69"/>
  <c r="H35" i="69"/>
  <c r="D35" i="69"/>
  <c r="B35" i="69"/>
  <c r="Z34" i="69"/>
  <c r="X34" i="69"/>
  <c r="T34" i="69"/>
  <c r="P34" i="69"/>
  <c r="H34" i="69"/>
  <c r="D34" i="69"/>
  <c r="L34" i="69" s="1"/>
  <c r="N34" i="69" s="1"/>
  <c r="B34" i="69"/>
  <c r="T33" i="69"/>
  <c r="P33" i="69"/>
  <c r="X33" i="69" s="1"/>
  <c r="Z33" i="69" s="1"/>
  <c r="N33" i="69"/>
  <c r="H33" i="69"/>
  <c r="D33" i="69"/>
  <c r="L33" i="69" s="1"/>
  <c r="B33" i="69"/>
  <c r="X32" i="69"/>
  <c r="T32" i="69"/>
  <c r="P32" i="69"/>
  <c r="H32" i="69"/>
  <c r="N32" i="69" s="1"/>
  <c r="D32" i="69"/>
  <c r="L32" i="69" s="1"/>
  <c r="B32" i="69"/>
  <c r="T31" i="69"/>
  <c r="P31" i="69"/>
  <c r="N31" i="69"/>
  <c r="L31" i="69"/>
  <c r="H31" i="69"/>
  <c r="D31" i="69"/>
  <c r="B31" i="69"/>
  <c r="Z30" i="69"/>
  <c r="X30" i="69"/>
  <c r="T30" i="69"/>
  <c r="P30" i="69"/>
  <c r="H30" i="69"/>
  <c r="D30" i="69"/>
  <c r="L30" i="69" s="1"/>
  <c r="N30" i="69" s="1"/>
  <c r="B30" i="69"/>
  <c r="T29" i="69"/>
  <c r="P29" i="69"/>
  <c r="X29" i="69" s="1"/>
  <c r="Z29" i="69" s="1"/>
  <c r="H29" i="69"/>
  <c r="D29" i="69"/>
  <c r="L29" i="69" s="1"/>
  <c r="N29" i="69" s="1"/>
  <c r="B29" i="69"/>
  <c r="X28" i="69"/>
  <c r="T28" i="69"/>
  <c r="P28" i="69"/>
  <c r="H28" i="69"/>
  <c r="D28" i="69"/>
  <c r="L28" i="69" s="1"/>
  <c r="B28" i="69"/>
  <c r="T27" i="69"/>
  <c r="P27" i="69"/>
  <c r="N27" i="69"/>
  <c r="L27" i="69"/>
  <c r="H27" i="69"/>
  <c r="D27" i="69"/>
  <c r="B27" i="69"/>
  <c r="Z26" i="69"/>
  <c r="X26" i="69"/>
  <c r="T26" i="69"/>
  <c r="P26" i="69"/>
  <c r="L26" i="69"/>
  <c r="N26" i="69" s="1"/>
  <c r="H26" i="69"/>
  <c r="D26" i="69"/>
  <c r="B26" i="69"/>
  <c r="T25" i="69"/>
  <c r="P25" i="69"/>
  <c r="X25" i="69" s="1"/>
  <c r="Z25" i="69" s="1"/>
  <c r="H25" i="69"/>
  <c r="D25" i="69"/>
  <c r="L25" i="69" s="1"/>
  <c r="N25" i="69" s="1"/>
  <c r="B25" i="69"/>
  <c r="X24" i="69"/>
  <c r="T24" i="69"/>
  <c r="P24" i="69"/>
  <c r="H24" i="69"/>
  <c r="D24" i="69"/>
  <c r="L24" i="69" s="1"/>
  <c r="B24" i="69"/>
  <c r="T23" i="69"/>
  <c r="P23" i="69"/>
  <c r="N23" i="69"/>
  <c r="L23" i="69"/>
  <c r="H23" i="69"/>
  <c r="D23" i="69"/>
  <c r="B23" i="69"/>
  <c r="Z22" i="69"/>
  <c r="X22" i="69"/>
  <c r="T22" i="69"/>
  <c r="P22" i="69"/>
  <c r="H22" i="69"/>
  <c r="D22" i="69"/>
  <c r="L22" i="69" s="1"/>
  <c r="N22" i="69" s="1"/>
  <c r="B22" i="69"/>
  <c r="T21" i="69"/>
  <c r="P21" i="69"/>
  <c r="X21" i="69" s="1"/>
  <c r="Z21" i="69" s="1"/>
  <c r="H21" i="69"/>
  <c r="D21" i="69"/>
  <c r="L21" i="69" s="1"/>
  <c r="N21" i="69" s="1"/>
  <c r="B21" i="69"/>
  <c r="X20" i="69"/>
  <c r="T20" i="69"/>
  <c r="P20" i="69"/>
  <c r="H20" i="69"/>
  <c r="D20" i="69"/>
  <c r="L20" i="69" s="1"/>
  <c r="B20" i="69"/>
  <c r="T19" i="69"/>
  <c r="P19" i="69"/>
  <c r="N19" i="69"/>
  <c r="L19" i="69"/>
  <c r="H19" i="69"/>
  <c r="D19" i="69"/>
  <c r="B19" i="69"/>
  <c r="Z18" i="69"/>
  <c r="X18" i="69"/>
  <c r="T18" i="69"/>
  <c r="P18" i="69"/>
  <c r="H18" i="69"/>
  <c r="D18" i="69"/>
  <c r="L18" i="69" s="1"/>
  <c r="N18" i="69" s="1"/>
  <c r="B18" i="69"/>
  <c r="T17" i="69"/>
  <c r="P17" i="69"/>
  <c r="X17" i="69" s="1"/>
  <c r="Z17" i="69" s="1"/>
  <c r="H17" i="69"/>
  <c r="D17" i="69"/>
  <c r="L17" i="69" s="1"/>
  <c r="N17" i="69" s="1"/>
  <c r="B17" i="69"/>
  <c r="X16" i="69"/>
  <c r="T16" i="69"/>
  <c r="P16" i="69"/>
  <c r="H16" i="69"/>
  <c r="D16" i="69"/>
  <c r="L16" i="69" s="1"/>
  <c r="B16" i="69"/>
  <c r="T15" i="69"/>
  <c r="P15" i="69"/>
  <c r="N15" i="69"/>
  <c r="L15" i="69"/>
  <c r="H15" i="69"/>
  <c r="D15" i="69"/>
  <c r="B15" i="69"/>
  <c r="Z14" i="69"/>
  <c r="X14" i="69"/>
  <c r="T14" i="69"/>
  <c r="P14" i="69"/>
  <c r="N14" i="69"/>
  <c r="H14" i="69"/>
  <c r="D14" i="69"/>
  <c r="B14" i="69"/>
  <c r="T13" i="69"/>
  <c r="P13" i="69"/>
  <c r="H13" i="69"/>
  <c r="D13" i="69"/>
  <c r="L13" i="69" s="1"/>
  <c r="N13" i="69" s="1"/>
  <c r="B13" i="69"/>
  <c r="H12" i="69"/>
  <c r="J83" i="69" s="1"/>
  <c r="D6" i="69"/>
  <c r="D4" i="69"/>
  <c r="F68" i="68"/>
  <c r="F65" i="68"/>
  <c r="Z63" i="68"/>
  <c r="X63" i="68"/>
  <c r="N63" i="68"/>
  <c r="L63" i="68"/>
  <c r="F61" i="68"/>
  <c r="Z59" i="68"/>
  <c r="T59" i="68"/>
  <c r="P59" i="68"/>
  <c r="X59" i="68" s="1"/>
  <c r="L59" i="68"/>
  <c r="H59" i="68"/>
  <c r="N59" i="68" s="1"/>
  <c r="F59" i="68"/>
  <c r="D59" i="68"/>
  <c r="Z57" i="68"/>
  <c r="X57" i="68"/>
  <c r="N57" i="68"/>
  <c r="L57" i="68"/>
  <c r="F57" i="68"/>
  <c r="B57" i="68"/>
  <c r="T56" i="68"/>
  <c r="P56" i="68"/>
  <c r="X56" i="68" s="1"/>
  <c r="N56" i="68"/>
  <c r="L56" i="68"/>
  <c r="H56" i="68"/>
  <c r="F56" i="68"/>
  <c r="D56" i="68"/>
  <c r="B56" i="68"/>
  <c r="Z55" i="68"/>
  <c r="X55" i="68"/>
  <c r="L55" i="68"/>
  <c r="N55" i="68" s="1"/>
  <c r="F55" i="68"/>
  <c r="B55" i="68"/>
  <c r="Z54" i="68"/>
  <c r="T54" i="68"/>
  <c r="P54" i="68"/>
  <c r="X54" i="68" s="1"/>
  <c r="H54" i="68"/>
  <c r="L54" i="68" s="1"/>
  <c r="N54" i="68" s="1"/>
  <c r="F54" i="68"/>
  <c r="D54" i="68"/>
  <c r="B54" i="68"/>
  <c r="Z53" i="68"/>
  <c r="X53" i="68"/>
  <c r="N53" i="68"/>
  <c r="L53" i="68"/>
  <c r="F53" i="68"/>
  <c r="B53" i="68"/>
  <c r="Z52" i="68"/>
  <c r="X52" i="68"/>
  <c r="N52" i="68"/>
  <c r="L52" i="68"/>
  <c r="F52" i="68"/>
  <c r="B52" i="68"/>
  <c r="X51" i="68"/>
  <c r="Z51" i="68" s="1"/>
  <c r="L51" i="68"/>
  <c r="N51" i="68" s="1"/>
  <c r="F51" i="68"/>
  <c r="B51" i="68"/>
  <c r="Z50" i="68"/>
  <c r="X50" i="68"/>
  <c r="N50" i="68"/>
  <c r="L50" i="68"/>
  <c r="B50" i="68"/>
  <c r="Z49" i="68"/>
  <c r="X49" i="68"/>
  <c r="N49" i="68"/>
  <c r="L49" i="68"/>
  <c r="F49" i="68"/>
  <c r="B49" i="68"/>
  <c r="T48" i="68"/>
  <c r="P48" i="68"/>
  <c r="X48" i="68" s="1"/>
  <c r="Z48" i="68" s="1"/>
  <c r="L48" i="68"/>
  <c r="H48" i="68"/>
  <c r="N48" i="68" s="1"/>
  <c r="F48" i="68"/>
  <c r="D48" i="68"/>
  <c r="B48" i="68"/>
  <c r="Z47" i="68"/>
  <c r="X47" i="68"/>
  <c r="N47" i="68"/>
  <c r="L47" i="68"/>
  <c r="J47" i="68"/>
  <c r="F47" i="68"/>
  <c r="B47" i="68"/>
  <c r="Z46" i="68"/>
  <c r="X46" i="68"/>
  <c r="N46" i="68"/>
  <c r="L46" i="68"/>
  <c r="F46" i="68"/>
  <c r="B46" i="68"/>
  <c r="T45" i="68"/>
  <c r="P45" i="68"/>
  <c r="X45" i="68" s="1"/>
  <c r="Z45" i="68" s="1"/>
  <c r="L45" i="68"/>
  <c r="H45" i="68"/>
  <c r="N45" i="68" s="1"/>
  <c r="F45" i="68"/>
  <c r="D45" i="68"/>
  <c r="B45" i="68"/>
  <c r="Z44" i="68"/>
  <c r="X44" i="68"/>
  <c r="N44" i="68"/>
  <c r="L44" i="68"/>
  <c r="J44" i="68"/>
  <c r="F44" i="68"/>
  <c r="B44" i="68"/>
  <c r="T43" i="68"/>
  <c r="Z43" i="68" s="1"/>
  <c r="P43" i="68"/>
  <c r="X43" i="68" s="1"/>
  <c r="L43" i="68"/>
  <c r="H43" i="68"/>
  <c r="N43" i="68" s="1"/>
  <c r="F43" i="68"/>
  <c r="D43" i="68"/>
  <c r="B43" i="68"/>
  <c r="Z42" i="68"/>
  <c r="X42" i="68"/>
  <c r="N42" i="68"/>
  <c r="L42" i="68"/>
  <c r="B42" i="68"/>
  <c r="Z41" i="68"/>
  <c r="T41" i="68"/>
  <c r="P41" i="68"/>
  <c r="X41" i="68" s="1"/>
  <c r="H41" i="68"/>
  <c r="N41" i="68" s="1"/>
  <c r="D41" i="68"/>
  <c r="L41" i="68" s="1"/>
  <c r="B41" i="68"/>
  <c r="X40" i="68"/>
  <c r="Z40" i="68" s="1"/>
  <c r="N40" i="68"/>
  <c r="L40" i="68"/>
  <c r="F40" i="68"/>
  <c r="B40" i="68"/>
  <c r="X39" i="68"/>
  <c r="T39" i="68"/>
  <c r="P39" i="68"/>
  <c r="L39" i="68"/>
  <c r="H39" i="68"/>
  <c r="N39" i="68" s="1"/>
  <c r="F39" i="68"/>
  <c r="D39" i="68"/>
  <c r="B39" i="68"/>
  <c r="Z38" i="68"/>
  <c r="X38" i="68"/>
  <c r="N38" i="68"/>
  <c r="L38" i="68"/>
  <c r="F38" i="68"/>
  <c r="B38" i="68"/>
  <c r="X37" i="68"/>
  <c r="T37" i="68"/>
  <c r="P37" i="68"/>
  <c r="H37" i="68"/>
  <c r="N37" i="68" s="1"/>
  <c r="F37" i="68"/>
  <c r="D37" i="68"/>
  <c r="B37" i="68"/>
  <c r="Z36" i="68"/>
  <c r="X36" i="68"/>
  <c r="N36" i="68"/>
  <c r="L36" i="68"/>
  <c r="F36" i="68"/>
  <c r="B36" i="68"/>
  <c r="T35" i="68"/>
  <c r="P35" i="68"/>
  <c r="X35" i="68" s="1"/>
  <c r="N35" i="68"/>
  <c r="H35" i="68"/>
  <c r="F35" i="68"/>
  <c r="D35" i="68"/>
  <c r="L35" i="68" s="1"/>
  <c r="B35" i="68"/>
  <c r="Z34" i="68"/>
  <c r="X34" i="68"/>
  <c r="N34" i="68"/>
  <c r="L34" i="68"/>
  <c r="F34" i="68"/>
  <c r="B34" i="68"/>
  <c r="Z33" i="68"/>
  <c r="X33" i="68"/>
  <c r="L33" i="68"/>
  <c r="N33" i="68" s="1"/>
  <c r="F33" i="68"/>
  <c r="B33" i="68"/>
  <c r="Z32" i="68"/>
  <c r="X32" i="68"/>
  <c r="N32" i="68"/>
  <c r="L32" i="68"/>
  <c r="F32" i="68"/>
  <c r="B32" i="68"/>
  <c r="X31" i="68"/>
  <c r="Z31" i="68" s="1"/>
  <c r="N31" i="68"/>
  <c r="L31" i="68"/>
  <c r="F31" i="68"/>
  <c r="B31" i="68"/>
  <c r="Z30" i="68"/>
  <c r="X30" i="68"/>
  <c r="V30" i="68"/>
  <c r="N30" i="68"/>
  <c r="L30" i="68"/>
  <c r="F30" i="68"/>
  <c r="B30" i="68"/>
  <c r="T29" i="68"/>
  <c r="P29" i="68"/>
  <c r="X29" i="68" s="1"/>
  <c r="L29" i="68"/>
  <c r="H29" i="68"/>
  <c r="F29" i="68"/>
  <c r="D29" i="68"/>
  <c r="B29" i="68"/>
  <c r="Z28" i="68"/>
  <c r="X28" i="68"/>
  <c r="N28" i="68"/>
  <c r="L28" i="68"/>
  <c r="F28" i="68"/>
  <c r="B28" i="68"/>
  <c r="Z27" i="68"/>
  <c r="X27" i="68"/>
  <c r="V27" i="68"/>
  <c r="L27" i="68"/>
  <c r="N27" i="68" s="1"/>
  <c r="F27" i="68"/>
  <c r="B27" i="68"/>
  <c r="Z26" i="68"/>
  <c r="X26" i="68"/>
  <c r="L26" i="68"/>
  <c r="N26" i="68" s="1"/>
  <c r="F26" i="68"/>
  <c r="B26" i="68"/>
  <c r="Z25" i="68"/>
  <c r="X25" i="68"/>
  <c r="N25" i="68"/>
  <c r="L25" i="68"/>
  <c r="F25" i="68"/>
  <c r="B25" i="68"/>
  <c r="Z24" i="68"/>
  <c r="X24" i="68"/>
  <c r="R24" i="68"/>
  <c r="N24" i="68"/>
  <c r="L24" i="68"/>
  <c r="J24" i="68"/>
  <c r="F24" i="68"/>
  <c r="B24" i="68"/>
  <c r="Z23" i="68"/>
  <c r="X23" i="68"/>
  <c r="V23" i="68"/>
  <c r="L23" i="68"/>
  <c r="N23" i="68" s="1"/>
  <c r="F23" i="68"/>
  <c r="B23" i="68"/>
  <c r="Z22" i="68"/>
  <c r="X22" i="68"/>
  <c r="L22" i="68"/>
  <c r="N22" i="68" s="1"/>
  <c r="F22" i="68"/>
  <c r="B22" i="68"/>
  <c r="Z21" i="68"/>
  <c r="X21" i="68"/>
  <c r="N21" i="68"/>
  <c r="L21" i="68"/>
  <c r="F21" i="68"/>
  <c r="B21" i="68"/>
  <c r="Z20" i="68"/>
  <c r="X20" i="68"/>
  <c r="N20" i="68"/>
  <c r="L20" i="68"/>
  <c r="J20" i="68"/>
  <c r="F20" i="68"/>
  <c r="B20" i="68"/>
  <c r="V19" i="68"/>
  <c r="T19" i="68"/>
  <c r="P19" i="68"/>
  <c r="X19" i="68" s="1"/>
  <c r="L19" i="68"/>
  <c r="N19" i="68" s="1"/>
  <c r="H19" i="68"/>
  <c r="F19" i="68"/>
  <c r="D19" i="68"/>
  <c r="B19" i="68"/>
  <c r="X18" i="68"/>
  <c r="V18" i="68"/>
  <c r="T18" i="68"/>
  <c r="R18" i="68"/>
  <c r="P18" i="68"/>
  <c r="J18" i="68"/>
  <c r="H18" i="68"/>
  <c r="F18" i="68"/>
  <c r="D18" i="68"/>
  <c r="V16" i="68"/>
  <c r="N16" i="68"/>
  <c r="H16" i="68"/>
  <c r="F16" i="68"/>
  <c r="X14" i="68"/>
  <c r="T14" i="68"/>
  <c r="Z14" i="68" s="1"/>
  <c r="P14" i="68"/>
  <c r="N14" i="68"/>
  <c r="J14" i="68"/>
  <c r="H14" i="68"/>
  <c r="F14" i="68"/>
  <c r="D14" i="68"/>
  <c r="D16" i="68" s="1"/>
  <c r="T12" i="68"/>
  <c r="V55" i="68" s="1"/>
  <c r="P12" i="68"/>
  <c r="R51" i="68" s="1"/>
  <c r="H12" i="68"/>
  <c r="J56" i="68" s="1"/>
  <c r="D12" i="68"/>
  <c r="F63" i="68" s="1"/>
  <c r="D6" i="68"/>
  <c r="D4" i="68"/>
  <c r="V102" i="64"/>
  <c r="V99" i="64"/>
  <c r="Z97" i="64"/>
  <c r="X97" i="64"/>
  <c r="N97" i="64"/>
  <c r="L97" i="64"/>
  <c r="V93" i="64"/>
  <c r="T93" i="64"/>
  <c r="Z93" i="64" s="1"/>
  <c r="P93" i="64"/>
  <c r="X93" i="64" s="1"/>
  <c r="H93" i="64"/>
  <c r="N93" i="64" s="1"/>
  <c r="D93" i="64"/>
  <c r="B93" i="64"/>
  <c r="V92" i="64"/>
  <c r="T92" i="64"/>
  <c r="P92" i="64"/>
  <c r="H92" i="64"/>
  <c r="N92" i="64" s="1"/>
  <c r="D92" i="64"/>
  <c r="B92" i="64"/>
  <c r="V91" i="64"/>
  <c r="T91" i="64"/>
  <c r="P91" i="64"/>
  <c r="H91" i="64"/>
  <c r="H90" i="64" s="1"/>
  <c r="D91" i="64"/>
  <c r="B91" i="64"/>
  <c r="V90" i="64"/>
  <c r="T90" i="64"/>
  <c r="N90" i="64"/>
  <c r="D90" i="64"/>
  <c r="L90" i="64" s="1"/>
  <c r="X88" i="64"/>
  <c r="Z88" i="64" s="1"/>
  <c r="V88" i="64"/>
  <c r="L88" i="64"/>
  <c r="N88" i="64" s="1"/>
  <c r="B88" i="64"/>
  <c r="V87" i="64"/>
  <c r="T87" i="64"/>
  <c r="P87" i="64"/>
  <c r="H87" i="64"/>
  <c r="N87" i="64" s="1"/>
  <c r="D87" i="64"/>
  <c r="L87" i="64" s="1"/>
  <c r="B87" i="64"/>
  <c r="Z86" i="64"/>
  <c r="X86" i="64"/>
  <c r="V86" i="64"/>
  <c r="N86" i="64"/>
  <c r="L86" i="64"/>
  <c r="B86" i="64"/>
  <c r="Z85" i="64"/>
  <c r="X85" i="64"/>
  <c r="N85" i="64"/>
  <c r="L85" i="64"/>
  <c r="B85" i="64"/>
  <c r="X84" i="64"/>
  <c r="Z84" i="64" s="1"/>
  <c r="N84" i="64"/>
  <c r="L84" i="64"/>
  <c r="B84" i="64"/>
  <c r="Z83" i="64"/>
  <c r="X83" i="64"/>
  <c r="V83" i="64"/>
  <c r="T83" i="64"/>
  <c r="P83" i="64"/>
  <c r="H83" i="64"/>
  <c r="N83" i="64" s="1"/>
  <c r="D83" i="64"/>
  <c r="L83" i="64" s="1"/>
  <c r="B83" i="64"/>
  <c r="Z82" i="64"/>
  <c r="X82" i="64"/>
  <c r="L82" i="64"/>
  <c r="N82" i="64" s="1"/>
  <c r="B82" i="64"/>
  <c r="V81" i="64"/>
  <c r="T81" i="64"/>
  <c r="P81" i="64"/>
  <c r="H81" i="64"/>
  <c r="D81" i="64"/>
  <c r="B81" i="64"/>
  <c r="X80" i="64"/>
  <c r="Z80" i="64" s="1"/>
  <c r="V80" i="64"/>
  <c r="L80" i="64"/>
  <c r="N80" i="64" s="1"/>
  <c r="J80" i="64"/>
  <c r="B80" i="64"/>
  <c r="X79" i="64"/>
  <c r="V79" i="64"/>
  <c r="T79" i="64"/>
  <c r="P79" i="64"/>
  <c r="H79" i="64"/>
  <c r="N79" i="64" s="1"/>
  <c r="D79" i="64"/>
  <c r="L79" i="64" s="1"/>
  <c r="B79" i="64"/>
  <c r="Z78" i="64"/>
  <c r="X78" i="64"/>
  <c r="V78" i="64"/>
  <c r="L78" i="64"/>
  <c r="N78" i="64" s="1"/>
  <c r="B78" i="64"/>
  <c r="Z77" i="64"/>
  <c r="X77" i="64"/>
  <c r="R77" i="64"/>
  <c r="N77" i="64"/>
  <c r="L77" i="64"/>
  <c r="B77" i="64"/>
  <c r="X76" i="64"/>
  <c r="Z76" i="64" s="1"/>
  <c r="V76" i="64"/>
  <c r="N76" i="64"/>
  <c r="L76" i="64"/>
  <c r="F76" i="64"/>
  <c r="B76" i="64"/>
  <c r="Z75" i="64"/>
  <c r="X75" i="64"/>
  <c r="V75" i="64"/>
  <c r="L75" i="64"/>
  <c r="N75" i="64" s="1"/>
  <c r="B75" i="64"/>
  <c r="Z74" i="64"/>
  <c r="X74" i="64"/>
  <c r="V74" i="64"/>
  <c r="N74" i="64"/>
  <c r="L74" i="64"/>
  <c r="B74" i="64"/>
  <c r="T73" i="64"/>
  <c r="P73" i="64"/>
  <c r="X73" i="64" s="1"/>
  <c r="L73" i="64"/>
  <c r="N73" i="64" s="1"/>
  <c r="H73" i="64"/>
  <c r="D73" i="64"/>
  <c r="B73" i="64"/>
  <c r="Z72" i="64"/>
  <c r="X72" i="64"/>
  <c r="V72" i="64"/>
  <c r="N72" i="64"/>
  <c r="L72" i="64"/>
  <c r="J72" i="64"/>
  <c r="B72" i="64"/>
  <c r="X71" i="64"/>
  <c r="Z71" i="64" s="1"/>
  <c r="T71" i="64"/>
  <c r="P71" i="64"/>
  <c r="N71" i="64"/>
  <c r="L71" i="64"/>
  <c r="H71" i="64"/>
  <c r="F71" i="64"/>
  <c r="D71" i="64"/>
  <c r="B71" i="64"/>
  <c r="X70" i="64"/>
  <c r="Z70" i="64" s="1"/>
  <c r="N70" i="64"/>
  <c r="L70" i="64"/>
  <c r="B70" i="64"/>
  <c r="Z69" i="64"/>
  <c r="X69" i="64"/>
  <c r="V69" i="64"/>
  <c r="L69" i="64"/>
  <c r="N69" i="64" s="1"/>
  <c r="B69" i="64"/>
  <c r="X68" i="64"/>
  <c r="Z68" i="64" s="1"/>
  <c r="V68" i="64"/>
  <c r="L68" i="64"/>
  <c r="N68" i="64" s="1"/>
  <c r="J68" i="64"/>
  <c r="B68" i="64"/>
  <c r="X67" i="64"/>
  <c r="V67" i="64"/>
  <c r="T67" i="64"/>
  <c r="P67" i="64"/>
  <c r="H67" i="64"/>
  <c r="D67" i="64"/>
  <c r="L67" i="64" s="1"/>
  <c r="B67" i="64"/>
  <c r="Z66" i="64"/>
  <c r="X66" i="64"/>
  <c r="V66" i="64"/>
  <c r="N66" i="64"/>
  <c r="L66" i="64"/>
  <c r="B66" i="64"/>
  <c r="Z65" i="64"/>
  <c r="X65" i="64"/>
  <c r="R65" i="64"/>
  <c r="L65" i="64"/>
  <c r="N65" i="64" s="1"/>
  <c r="B65" i="64"/>
  <c r="X64" i="64"/>
  <c r="Z64" i="64" s="1"/>
  <c r="V64" i="64"/>
  <c r="N64" i="64"/>
  <c r="L64" i="64"/>
  <c r="F64" i="64"/>
  <c r="B64" i="64"/>
  <c r="Z63" i="64"/>
  <c r="X63" i="64"/>
  <c r="V63" i="64"/>
  <c r="T63" i="64"/>
  <c r="P63" i="64"/>
  <c r="H63" i="64"/>
  <c r="N63" i="64" s="1"/>
  <c r="D63" i="64"/>
  <c r="L63" i="64" s="1"/>
  <c r="B63" i="64"/>
  <c r="Z62" i="64"/>
  <c r="X62" i="64"/>
  <c r="L62" i="64"/>
  <c r="N62" i="64" s="1"/>
  <c r="B62" i="64"/>
  <c r="T61" i="64"/>
  <c r="P61" i="64"/>
  <c r="L61" i="64"/>
  <c r="N61" i="64" s="1"/>
  <c r="H61" i="64"/>
  <c r="D61" i="64"/>
  <c r="B61" i="64"/>
  <c r="X60" i="64"/>
  <c r="Z60" i="64" s="1"/>
  <c r="N60" i="64"/>
  <c r="L60" i="64"/>
  <c r="B60" i="64"/>
  <c r="V59" i="64"/>
  <c r="T59" i="64"/>
  <c r="P59" i="64"/>
  <c r="X59" i="64" s="1"/>
  <c r="J59" i="64"/>
  <c r="H59" i="64"/>
  <c r="N59" i="64" s="1"/>
  <c r="D59" i="64"/>
  <c r="L59" i="64" s="1"/>
  <c r="B59" i="64"/>
  <c r="X58" i="64"/>
  <c r="Z58" i="64" s="1"/>
  <c r="V58" i="64"/>
  <c r="L58" i="64"/>
  <c r="N58" i="64" s="1"/>
  <c r="B58" i="64"/>
  <c r="X57" i="64"/>
  <c r="T57" i="64"/>
  <c r="Z57" i="64" s="1"/>
  <c r="P57" i="64"/>
  <c r="N57" i="64"/>
  <c r="L57" i="64"/>
  <c r="H57" i="64"/>
  <c r="D57" i="64"/>
  <c r="B57" i="64"/>
  <c r="X56" i="64"/>
  <c r="Z56" i="64" s="1"/>
  <c r="V56" i="64"/>
  <c r="L56" i="64"/>
  <c r="N56" i="64" s="1"/>
  <c r="B56" i="64"/>
  <c r="V55" i="64"/>
  <c r="T55" i="64"/>
  <c r="P55" i="64"/>
  <c r="X55" i="64" s="1"/>
  <c r="Z55" i="64" s="1"/>
  <c r="H55" i="64"/>
  <c r="D55" i="64"/>
  <c r="L55" i="64" s="1"/>
  <c r="N55" i="64" s="1"/>
  <c r="B55" i="64"/>
  <c r="X54" i="64"/>
  <c r="Z54" i="64" s="1"/>
  <c r="V54" i="64"/>
  <c r="N54" i="64"/>
  <c r="L54" i="64"/>
  <c r="B54" i="64"/>
  <c r="Z53" i="64"/>
  <c r="X53" i="64"/>
  <c r="V53" i="64"/>
  <c r="T53" i="64"/>
  <c r="P53" i="64"/>
  <c r="N53" i="64"/>
  <c r="L53" i="64"/>
  <c r="J53" i="64"/>
  <c r="H53" i="64"/>
  <c r="D53" i="64"/>
  <c r="B53" i="64"/>
  <c r="X52" i="64"/>
  <c r="Z52" i="64" s="1"/>
  <c r="L52" i="64"/>
  <c r="N52" i="64" s="1"/>
  <c r="B52" i="64"/>
  <c r="V51" i="64"/>
  <c r="T51" i="64"/>
  <c r="P51" i="64"/>
  <c r="H51" i="64"/>
  <c r="L51" i="64" s="1"/>
  <c r="N51" i="64" s="1"/>
  <c r="D51" i="64"/>
  <c r="B51" i="64"/>
  <c r="X50" i="64"/>
  <c r="Z50" i="64" s="1"/>
  <c r="V50" i="64"/>
  <c r="L50" i="64"/>
  <c r="N50" i="64" s="1"/>
  <c r="B50" i="64"/>
  <c r="V49" i="64"/>
  <c r="T49" i="64"/>
  <c r="P49" i="64"/>
  <c r="X49" i="64" s="1"/>
  <c r="Z49" i="64" s="1"/>
  <c r="J49" i="64"/>
  <c r="H49" i="64"/>
  <c r="D49" i="64"/>
  <c r="L49" i="64" s="1"/>
  <c r="N49" i="64" s="1"/>
  <c r="B49" i="64"/>
  <c r="X48" i="64"/>
  <c r="Z48" i="64" s="1"/>
  <c r="V48" i="64"/>
  <c r="L48" i="64"/>
  <c r="N48" i="64" s="1"/>
  <c r="F48" i="64"/>
  <c r="B48" i="64"/>
  <c r="Z47" i="64"/>
  <c r="X47" i="64"/>
  <c r="V47" i="64"/>
  <c r="N47" i="64"/>
  <c r="L47" i="64"/>
  <c r="B47" i="64"/>
  <c r="X46" i="64"/>
  <c r="V46" i="64"/>
  <c r="T46" i="64"/>
  <c r="P46" i="64"/>
  <c r="H46" i="64"/>
  <c r="D46" i="64"/>
  <c r="L46" i="64" s="1"/>
  <c r="B46" i="64"/>
  <c r="Z45" i="64"/>
  <c r="X45" i="64"/>
  <c r="V45" i="64"/>
  <c r="N45" i="64"/>
  <c r="L45" i="64"/>
  <c r="B45" i="64"/>
  <c r="X44" i="64"/>
  <c r="Z44" i="64" s="1"/>
  <c r="L44" i="64"/>
  <c r="N44" i="64" s="1"/>
  <c r="B44" i="64"/>
  <c r="V43" i="64"/>
  <c r="T43" i="64"/>
  <c r="X43" i="64" s="1"/>
  <c r="Z43" i="64" s="1"/>
  <c r="P43" i="64"/>
  <c r="H43" i="64"/>
  <c r="L43" i="64" s="1"/>
  <c r="N43" i="64" s="1"/>
  <c r="D43" i="64"/>
  <c r="B43" i="64"/>
  <c r="X42" i="64"/>
  <c r="Z42" i="64" s="1"/>
  <c r="V42" i="64"/>
  <c r="L42" i="64"/>
  <c r="N42" i="64" s="1"/>
  <c r="B42" i="64"/>
  <c r="V41" i="64"/>
  <c r="T41" i="64"/>
  <c r="P41" i="64"/>
  <c r="X41" i="64" s="1"/>
  <c r="Z41" i="64" s="1"/>
  <c r="J41" i="64"/>
  <c r="H41" i="64"/>
  <c r="D41" i="64"/>
  <c r="L41" i="64" s="1"/>
  <c r="N41" i="64" s="1"/>
  <c r="B41" i="64"/>
  <c r="Z40" i="64"/>
  <c r="X40" i="64"/>
  <c r="V40" i="64"/>
  <c r="N40" i="64"/>
  <c r="L40" i="64"/>
  <c r="F40" i="64"/>
  <c r="B40" i="64"/>
  <c r="Z39" i="64"/>
  <c r="X39" i="64"/>
  <c r="V39" i="64"/>
  <c r="N39" i="64"/>
  <c r="L39" i="64"/>
  <c r="B39" i="64"/>
  <c r="X38" i="64"/>
  <c r="V38" i="64"/>
  <c r="T38" i="64"/>
  <c r="P38" i="64"/>
  <c r="H38" i="64"/>
  <c r="D38" i="64"/>
  <c r="L38" i="64" s="1"/>
  <c r="B38" i="64"/>
  <c r="Z37" i="64"/>
  <c r="X37" i="64"/>
  <c r="V37" i="64"/>
  <c r="N37" i="64"/>
  <c r="L37" i="64"/>
  <c r="B37" i="64"/>
  <c r="T36" i="64"/>
  <c r="P36" i="64"/>
  <c r="L36" i="64"/>
  <c r="H36" i="64"/>
  <c r="N36" i="64" s="1"/>
  <c r="D36" i="64"/>
  <c r="B36" i="64"/>
  <c r="Z35" i="64"/>
  <c r="X35" i="64"/>
  <c r="V35" i="64"/>
  <c r="N35" i="64"/>
  <c r="L35" i="64"/>
  <c r="J35" i="64"/>
  <c r="B35" i="64"/>
  <c r="X34" i="64"/>
  <c r="Z34" i="64" s="1"/>
  <c r="V34" i="64"/>
  <c r="L34" i="64"/>
  <c r="N34" i="64" s="1"/>
  <c r="B34" i="64"/>
  <c r="Z33" i="64"/>
  <c r="X33" i="64"/>
  <c r="V33" i="64"/>
  <c r="N33" i="64"/>
  <c r="L33" i="64"/>
  <c r="J33" i="64"/>
  <c r="B33" i="64"/>
  <c r="X32" i="64"/>
  <c r="Z32" i="64" s="1"/>
  <c r="V32" i="64"/>
  <c r="L32" i="64"/>
  <c r="N32" i="64" s="1"/>
  <c r="B32" i="64"/>
  <c r="Z31" i="64"/>
  <c r="X31" i="64"/>
  <c r="V31" i="64"/>
  <c r="N31" i="64"/>
  <c r="L31" i="64"/>
  <c r="J31" i="64"/>
  <c r="B31" i="64"/>
  <c r="X30" i="64"/>
  <c r="Z30" i="64" s="1"/>
  <c r="V30" i="64"/>
  <c r="L30" i="64"/>
  <c r="N30" i="64" s="1"/>
  <c r="B30" i="64"/>
  <c r="Z29" i="64"/>
  <c r="X29" i="64"/>
  <c r="V29" i="64"/>
  <c r="N29" i="64"/>
  <c r="L29" i="64"/>
  <c r="J29" i="64"/>
  <c r="B29" i="64"/>
  <c r="V28" i="64"/>
  <c r="T28" i="64"/>
  <c r="P28" i="64"/>
  <c r="X28" i="64" s="1"/>
  <c r="H28" i="64"/>
  <c r="D28" i="64"/>
  <c r="L28" i="64" s="1"/>
  <c r="B28" i="64"/>
  <c r="Z27" i="64"/>
  <c r="X27" i="64"/>
  <c r="V27" i="64"/>
  <c r="N27" i="64"/>
  <c r="L27" i="64"/>
  <c r="J27" i="64"/>
  <c r="B27" i="64"/>
  <c r="X26" i="64"/>
  <c r="Z26" i="64" s="1"/>
  <c r="V26" i="64"/>
  <c r="L26" i="64"/>
  <c r="N26" i="64" s="1"/>
  <c r="B26" i="64"/>
  <c r="Z25" i="64"/>
  <c r="X25" i="64"/>
  <c r="V25" i="64"/>
  <c r="N25" i="64"/>
  <c r="L25" i="64"/>
  <c r="J25" i="64"/>
  <c r="B25" i="64"/>
  <c r="X24" i="64"/>
  <c r="Z24" i="64" s="1"/>
  <c r="V24" i="64"/>
  <c r="L24" i="64"/>
  <c r="N24" i="64" s="1"/>
  <c r="F24" i="64"/>
  <c r="B24" i="64"/>
  <c r="Z23" i="64"/>
  <c r="X23" i="64"/>
  <c r="V23" i="64"/>
  <c r="N23" i="64"/>
  <c r="L23" i="64"/>
  <c r="J23" i="64"/>
  <c r="B23" i="64"/>
  <c r="X22" i="64"/>
  <c r="Z22" i="64" s="1"/>
  <c r="V22" i="64"/>
  <c r="L22" i="64"/>
  <c r="N22" i="64" s="1"/>
  <c r="B22" i="64"/>
  <c r="Z21" i="64"/>
  <c r="X21" i="64"/>
  <c r="V21" i="64"/>
  <c r="N21" i="64"/>
  <c r="L21" i="64"/>
  <c r="J21" i="64"/>
  <c r="B21" i="64"/>
  <c r="X20" i="64"/>
  <c r="Z20" i="64" s="1"/>
  <c r="V20" i="64"/>
  <c r="L20" i="64"/>
  <c r="N20" i="64" s="1"/>
  <c r="F20" i="64"/>
  <c r="B20" i="64"/>
  <c r="Z19" i="64"/>
  <c r="X19" i="64"/>
  <c r="V19" i="64"/>
  <c r="T19" i="64"/>
  <c r="P19" i="64"/>
  <c r="N19" i="64"/>
  <c r="L19" i="64"/>
  <c r="J19" i="64"/>
  <c r="H19" i="64"/>
  <c r="F19" i="64"/>
  <c r="D19" i="64"/>
  <c r="B19" i="64"/>
  <c r="T18" i="64"/>
  <c r="Z18" i="64" s="1"/>
  <c r="P18" i="64"/>
  <c r="X18" i="64" s="1"/>
  <c r="H18" i="64"/>
  <c r="D18" i="64"/>
  <c r="T14" i="64"/>
  <c r="Z14" i="64" s="1"/>
  <c r="P14" i="64"/>
  <c r="H14" i="64"/>
  <c r="N14" i="64" s="1"/>
  <c r="D14" i="64"/>
  <c r="Z12" i="64"/>
  <c r="T12" i="64"/>
  <c r="V95" i="64" s="1"/>
  <c r="P12" i="64"/>
  <c r="R52" i="64" s="1"/>
  <c r="L12" i="64"/>
  <c r="H12" i="64"/>
  <c r="J88" i="64" s="1"/>
  <c r="D12" i="64"/>
  <c r="F88" i="64" s="1"/>
  <c r="D6" i="64"/>
  <c r="D4" i="64"/>
  <c r="Z53" i="61"/>
  <c r="X53" i="61"/>
  <c r="R53" i="61"/>
  <c r="N53" i="61"/>
  <c r="L53" i="61"/>
  <c r="R51" i="61"/>
  <c r="T49" i="61"/>
  <c r="Z49" i="61" s="1"/>
  <c r="R49" i="61"/>
  <c r="P49" i="61"/>
  <c r="X49" i="61" s="1"/>
  <c r="H49" i="61"/>
  <c r="N49" i="61" s="1"/>
  <c r="D49" i="61"/>
  <c r="L49" i="61" s="1"/>
  <c r="X47" i="61"/>
  <c r="Z47" i="61" s="1"/>
  <c r="R47" i="61"/>
  <c r="L47" i="61"/>
  <c r="N47" i="61" s="1"/>
  <c r="B47" i="61"/>
  <c r="Z46" i="61"/>
  <c r="T46" i="61"/>
  <c r="X46" i="61" s="1"/>
  <c r="R46" i="61"/>
  <c r="P46" i="61"/>
  <c r="N46" i="61"/>
  <c r="H46" i="61"/>
  <c r="L46" i="61" s="1"/>
  <c r="D46" i="61"/>
  <c r="B46" i="61"/>
  <c r="X45" i="61"/>
  <c r="Z45" i="61" s="1"/>
  <c r="R45" i="61"/>
  <c r="L45" i="61"/>
  <c r="N45" i="61" s="1"/>
  <c r="B45" i="61"/>
  <c r="Z44" i="61"/>
  <c r="T44" i="61"/>
  <c r="R44" i="61"/>
  <c r="P44" i="61"/>
  <c r="X44" i="61" s="1"/>
  <c r="H44" i="61"/>
  <c r="D44" i="61"/>
  <c r="L44" i="61" s="1"/>
  <c r="N44" i="61" s="1"/>
  <c r="B44" i="61"/>
  <c r="Z43" i="61"/>
  <c r="X43" i="61"/>
  <c r="R43" i="61"/>
  <c r="N43" i="61"/>
  <c r="L43" i="61"/>
  <c r="B43" i="61"/>
  <c r="Z42" i="61"/>
  <c r="X42" i="61"/>
  <c r="N42" i="61"/>
  <c r="L42" i="61"/>
  <c r="J42" i="61"/>
  <c r="B42" i="61"/>
  <c r="X41" i="61"/>
  <c r="T41" i="61"/>
  <c r="R41" i="61"/>
  <c r="P41" i="61"/>
  <c r="H41" i="61"/>
  <c r="D41" i="61"/>
  <c r="L41" i="61" s="1"/>
  <c r="B41" i="61"/>
  <c r="Z40" i="61"/>
  <c r="X40" i="61"/>
  <c r="V40" i="61"/>
  <c r="R40" i="61"/>
  <c r="N40" i="61"/>
  <c r="L40" i="61"/>
  <c r="J40" i="61"/>
  <c r="B40" i="61"/>
  <c r="T39" i="61"/>
  <c r="Z39" i="61" s="1"/>
  <c r="R39" i="61"/>
  <c r="P39" i="61"/>
  <c r="X39" i="61" s="1"/>
  <c r="H39" i="61"/>
  <c r="N39" i="61" s="1"/>
  <c r="D39" i="61"/>
  <c r="L39" i="61" s="1"/>
  <c r="B39" i="61"/>
  <c r="Z38" i="61"/>
  <c r="X38" i="61"/>
  <c r="R38" i="61"/>
  <c r="N38" i="61"/>
  <c r="L38" i="61"/>
  <c r="J38" i="61"/>
  <c r="B38" i="61"/>
  <c r="T37" i="61"/>
  <c r="P37" i="61"/>
  <c r="X37" i="61" s="1"/>
  <c r="H37" i="61"/>
  <c r="D37" i="61"/>
  <c r="L37" i="61" s="1"/>
  <c r="B37" i="61"/>
  <c r="Z36" i="61"/>
  <c r="X36" i="61"/>
  <c r="N36" i="61"/>
  <c r="L36" i="61"/>
  <c r="J36" i="61"/>
  <c r="B36" i="61"/>
  <c r="X35" i="61"/>
  <c r="T35" i="61"/>
  <c r="R35" i="61"/>
  <c r="P35" i="61"/>
  <c r="L35" i="61"/>
  <c r="H35" i="61"/>
  <c r="D35" i="61"/>
  <c r="B35" i="61"/>
  <c r="Z34" i="61"/>
  <c r="X34" i="61"/>
  <c r="R34" i="61"/>
  <c r="N34" i="61"/>
  <c r="L34" i="61"/>
  <c r="J34" i="61"/>
  <c r="B34" i="61"/>
  <c r="X33" i="61"/>
  <c r="Z33" i="61" s="1"/>
  <c r="R33" i="61"/>
  <c r="L33" i="61"/>
  <c r="N33" i="61" s="1"/>
  <c r="B33" i="61"/>
  <c r="Z32" i="61"/>
  <c r="X32" i="61"/>
  <c r="R32" i="61"/>
  <c r="N32" i="61"/>
  <c r="L32" i="61"/>
  <c r="J32" i="61"/>
  <c r="B32" i="61"/>
  <c r="X31" i="61"/>
  <c r="Z31" i="61" s="1"/>
  <c r="R31" i="61"/>
  <c r="L31" i="61"/>
  <c r="N31" i="61" s="1"/>
  <c r="B31" i="61"/>
  <c r="Z30" i="61"/>
  <c r="X30" i="61"/>
  <c r="V30" i="61"/>
  <c r="R30" i="61"/>
  <c r="N30" i="61"/>
  <c r="L30" i="61"/>
  <c r="J30" i="61"/>
  <c r="B30" i="61"/>
  <c r="X29" i="61"/>
  <c r="Z29" i="61" s="1"/>
  <c r="R29" i="61"/>
  <c r="L29" i="61"/>
  <c r="N29" i="61" s="1"/>
  <c r="B29" i="61"/>
  <c r="V28" i="61"/>
  <c r="T28" i="61"/>
  <c r="X28" i="61" s="1"/>
  <c r="Z28" i="61" s="1"/>
  <c r="R28" i="61"/>
  <c r="P28" i="61"/>
  <c r="N28" i="61"/>
  <c r="H28" i="61"/>
  <c r="L28" i="61" s="1"/>
  <c r="D28" i="61"/>
  <c r="B28" i="61"/>
  <c r="X27" i="61"/>
  <c r="Z27" i="61" s="1"/>
  <c r="R27" i="61"/>
  <c r="L27" i="61"/>
  <c r="N27" i="61" s="1"/>
  <c r="B27" i="61"/>
  <c r="Z26" i="61"/>
  <c r="X26" i="61"/>
  <c r="R26" i="61"/>
  <c r="N26" i="61"/>
  <c r="L26" i="61"/>
  <c r="J26" i="61"/>
  <c r="B26" i="61"/>
  <c r="X25" i="61"/>
  <c r="Z25" i="61" s="1"/>
  <c r="R25" i="61"/>
  <c r="L25" i="61"/>
  <c r="N25" i="61" s="1"/>
  <c r="B25" i="61"/>
  <c r="Z24" i="61"/>
  <c r="X24" i="61"/>
  <c r="R24" i="61"/>
  <c r="N24" i="61"/>
  <c r="L24" i="61"/>
  <c r="J24" i="61"/>
  <c r="B24" i="61"/>
  <c r="X23" i="61"/>
  <c r="Z23" i="61" s="1"/>
  <c r="R23" i="61"/>
  <c r="L23" i="61"/>
  <c r="N23" i="61" s="1"/>
  <c r="B23" i="61"/>
  <c r="Z22" i="61"/>
  <c r="X22" i="61"/>
  <c r="R22" i="61"/>
  <c r="N22" i="61"/>
  <c r="L22" i="61"/>
  <c r="B22" i="61"/>
  <c r="X21" i="61"/>
  <c r="Z21" i="61" s="1"/>
  <c r="R21" i="61"/>
  <c r="L21" i="61"/>
  <c r="N21" i="61" s="1"/>
  <c r="B21" i="61"/>
  <c r="Z20" i="61"/>
  <c r="X20" i="61"/>
  <c r="V20" i="61"/>
  <c r="R20" i="61"/>
  <c r="N20" i="61"/>
  <c r="L20" i="61"/>
  <c r="J20" i="61"/>
  <c r="B20" i="61"/>
  <c r="T19" i="61"/>
  <c r="P19" i="61"/>
  <c r="X19" i="61" s="1"/>
  <c r="H19" i="61"/>
  <c r="D19" i="61"/>
  <c r="L19" i="61" s="1"/>
  <c r="B19" i="61"/>
  <c r="Z18" i="61"/>
  <c r="X18" i="61"/>
  <c r="T18" i="61"/>
  <c r="R18" i="61"/>
  <c r="P18" i="61"/>
  <c r="N18" i="61"/>
  <c r="L18" i="61"/>
  <c r="H18" i="61"/>
  <c r="D18" i="61"/>
  <c r="R16" i="61"/>
  <c r="Z14" i="61"/>
  <c r="X14" i="61"/>
  <c r="T14" i="61"/>
  <c r="R14" i="61"/>
  <c r="P14" i="61"/>
  <c r="P16" i="61" s="1"/>
  <c r="N14" i="61"/>
  <c r="L14" i="61"/>
  <c r="H14" i="61"/>
  <c r="D14" i="61"/>
  <c r="T12" i="61"/>
  <c r="V26" i="61" s="1"/>
  <c r="P12" i="61"/>
  <c r="R58" i="61" s="1"/>
  <c r="N12" i="61"/>
  <c r="H12" i="61"/>
  <c r="J22" i="61" s="1"/>
  <c r="D12" i="61"/>
  <c r="F44" i="61" s="1"/>
  <c r="D6" i="61"/>
  <c r="D4" i="61"/>
  <c r="V56" i="60"/>
  <c r="J56" i="60"/>
  <c r="J53" i="60"/>
  <c r="F53" i="60"/>
  <c r="Z51" i="60"/>
  <c r="X51" i="60"/>
  <c r="N51" i="60"/>
  <c r="L51" i="60"/>
  <c r="J51" i="60"/>
  <c r="J49" i="60"/>
  <c r="Z47" i="60"/>
  <c r="X47" i="60"/>
  <c r="T47" i="60"/>
  <c r="P47" i="60"/>
  <c r="N47" i="60"/>
  <c r="L47" i="60"/>
  <c r="J47" i="60"/>
  <c r="H47" i="60"/>
  <c r="F47" i="60"/>
  <c r="D47" i="60"/>
  <c r="Z45" i="60"/>
  <c r="X45" i="60"/>
  <c r="N45" i="60"/>
  <c r="L45" i="60"/>
  <c r="J45" i="60"/>
  <c r="B45" i="60"/>
  <c r="T44" i="60"/>
  <c r="P44" i="60"/>
  <c r="X44" i="60" s="1"/>
  <c r="J44" i="60"/>
  <c r="H44" i="60"/>
  <c r="D44" i="60"/>
  <c r="L44" i="60" s="1"/>
  <c r="B44" i="60"/>
  <c r="Z43" i="60"/>
  <c r="X43" i="60"/>
  <c r="N43" i="60"/>
  <c r="L43" i="60"/>
  <c r="J43" i="60"/>
  <c r="B43" i="60"/>
  <c r="T42" i="60"/>
  <c r="P42" i="60"/>
  <c r="X42" i="60" s="1"/>
  <c r="H42" i="60"/>
  <c r="D42" i="60"/>
  <c r="L42" i="60" s="1"/>
  <c r="B42" i="60"/>
  <c r="Z41" i="60"/>
  <c r="X41" i="60"/>
  <c r="V41" i="60"/>
  <c r="L41" i="60"/>
  <c r="N41" i="60" s="1"/>
  <c r="J41" i="60"/>
  <c r="B41" i="60"/>
  <c r="X40" i="60"/>
  <c r="Z40" i="60" s="1"/>
  <c r="N40" i="60"/>
  <c r="L40" i="60"/>
  <c r="J40" i="60"/>
  <c r="B40" i="60"/>
  <c r="T39" i="60"/>
  <c r="P39" i="60"/>
  <c r="J39" i="60"/>
  <c r="H39" i="60"/>
  <c r="D39" i="60"/>
  <c r="L39" i="60" s="1"/>
  <c r="N39" i="60" s="1"/>
  <c r="B39" i="60"/>
  <c r="X38" i="60"/>
  <c r="Z38" i="60" s="1"/>
  <c r="N38" i="60"/>
  <c r="L38" i="60"/>
  <c r="B38" i="60"/>
  <c r="T37" i="60"/>
  <c r="P37" i="60"/>
  <c r="X37" i="60" s="1"/>
  <c r="Z37" i="60" s="1"/>
  <c r="N37" i="60"/>
  <c r="L37" i="60"/>
  <c r="J37" i="60"/>
  <c r="H37" i="60"/>
  <c r="D37" i="60"/>
  <c r="B37" i="60"/>
  <c r="Z36" i="60"/>
  <c r="X36" i="60"/>
  <c r="N36" i="60"/>
  <c r="L36" i="60"/>
  <c r="J36" i="60"/>
  <c r="F36" i="60"/>
  <c r="B36" i="60"/>
  <c r="Z35" i="60"/>
  <c r="X35" i="60"/>
  <c r="N35" i="60"/>
  <c r="L35" i="60"/>
  <c r="J35" i="60"/>
  <c r="B35" i="60"/>
  <c r="X34" i="60"/>
  <c r="T34" i="60"/>
  <c r="Z34" i="60" s="1"/>
  <c r="P34" i="60"/>
  <c r="H34" i="60"/>
  <c r="N34" i="60" s="1"/>
  <c r="D34" i="60"/>
  <c r="L34" i="60" s="1"/>
  <c r="B34" i="60"/>
  <c r="Z33" i="60"/>
  <c r="X33" i="60"/>
  <c r="N33" i="60"/>
  <c r="L33" i="60"/>
  <c r="J33" i="60"/>
  <c r="B33" i="60"/>
  <c r="T32" i="60"/>
  <c r="P32" i="60"/>
  <c r="X32" i="60" s="1"/>
  <c r="Z32" i="60" s="1"/>
  <c r="J32" i="60"/>
  <c r="H32" i="60"/>
  <c r="D32" i="60"/>
  <c r="B32" i="60"/>
  <c r="X31" i="60"/>
  <c r="Z31" i="60" s="1"/>
  <c r="N31" i="60"/>
  <c r="L31" i="60"/>
  <c r="J31" i="60"/>
  <c r="B31" i="60"/>
  <c r="X30" i="60"/>
  <c r="T30" i="60"/>
  <c r="P30" i="60"/>
  <c r="J30" i="60"/>
  <c r="H30" i="60"/>
  <c r="D30" i="60"/>
  <c r="L30" i="60" s="1"/>
  <c r="B30" i="60"/>
  <c r="Z29" i="60"/>
  <c r="X29" i="60"/>
  <c r="N29" i="60"/>
  <c r="L29" i="60"/>
  <c r="J29" i="60"/>
  <c r="F29" i="60"/>
  <c r="B29" i="60"/>
  <c r="X28" i="60"/>
  <c r="T28" i="60"/>
  <c r="Z28" i="60" s="1"/>
  <c r="P28" i="60"/>
  <c r="H28" i="60"/>
  <c r="D28" i="60"/>
  <c r="L28" i="60" s="1"/>
  <c r="N28" i="60" s="1"/>
  <c r="B28" i="60"/>
  <c r="Z27" i="60"/>
  <c r="X27" i="60"/>
  <c r="V27" i="60"/>
  <c r="N27" i="60"/>
  <c r="L27" i="60"/>
  <c r="J27" i="60"/>
  <c r="B27" i="60"/>
  <c r="Z26" i="60"/>
  <c r="X26" i="60"/>
  <c r="L26" i="60"/>
  <c r="N26" i="60" s="1"/>
  <c r="J26" i="60"/>
  <c r="F26" i="60"/>
  <c r="B26" i="60"/>
  <c r="Z25" i="60"/>
  <c r="X25" i="60"/>
  <c r="N25" i="60"/>
  <c r="L25" i="60"/>
  <c r="J25" i="60"/>
  <c r="B25" i="60"/>
  <c r="Z24" i="60"/>
  <c r="X24" i="60"/>
  <c r="V24" i="60"/>
  <c r="L24" i="60"/>
  <c r="N24" i="60" s="1"/>
  <c r="J24" i="60"/>
  <c r="F24" i="60"/>
  <c r="B24" i="60"/>
  <c r="Z23" i="60"/>
  <c r="X23" i="60"/>
  <c r="N23" i="60"/>
  <c r="L23" i="60"/>
  <c r="J23" i="60"/>
  <c r="B23" i="60"/>
  <c r="Z22" i="60"/>
  <c r="X22" i="60"/>
  <c r="L22" i="60"/>
  <c r="N22" i="60" s="1"/>
  <c r="J22" i="60"/>
  <c r="F22" i="60"/>
  <c r="B22" i="60"/>
  <c r="Z21" i="60"/>
  <c r="X21" i="60"/>
  <c r="V21" i="60"/>
  <c r="N21" i="60"/>
  <c r="L21" i="60"/>
  <c r="J21" i="60"/>
  <c r="B21" i="60"/>
  <c r="Z20" i="60"/>
  <c r="X20" i="60"/>
  <c r="L20" i="60"/>
  <c r="N20" i="60" s="1"/>
  <c r="J20" i="60"/>
  <c r="F20" i="60"/>
  <c r="B20" i="60"/>
  <c r="T19" i="60"/>
  <c r="P19" i="60"/>
  <c r="J19" i="60"/>
  <c r="H19" i="60"/>
  <c r="F19" i="60"/>
  <c r="D19" i="60"/>
  <c r="B19" i="60"/>
  <c r="T18" i="60"/>
  <c r="R18" i="60"/>
  <c r="P18" i="60"/>
  <c r="J18" i="60"/>
  <c r="H18" i="60"/>
  <c r="F18" i="60"/>
  <c r="D18" i="60"/>
  <c r="L18" i="60" s="1"/>
  <c r="V16" i="60"/>
  <c r="P16" i="60"/>
  <c r="P49" i="60" s="1"/>
  <c r="P53" i="60" s="1"/>
  <c r="J16" i="60"/>
  <c r="D16" i="60"/>
  <c r="D49" i="60" s="1"/>
  <c r="X14" i="60"/>
  <c r="T14" i="60"/>
  <c r="Z14" i="60" s="1"/>
  <c r="R14" i="60"/>
  <c r="P14" i="60"/>
  <c r="J14" i="60"/>
  <c r="H14" i="60"/>
  <c r="N14" i="60" s="1"/>
  <c r="D14" i="60"/>
  <c r="T12" i="60"/>
  <c r="V49" i="60" s="1"/>
  <c r="P12" i="60"/>
  <c r="R49" i="60" s="1"/>
  <c r="N12" i="60"/>
  <c r="H12" i="60"/>
  <c r="J38" i="60" s="1"/>
  <c r="D12" i="60"/>
  <c r="F56" i="60" s="1"/>
  <c r="D6" i="60"/>
  <c r="D4" i="60"/>
  <c r="F69" i="59"/>
  <c r="Z64" i="59"/>
  <c r="X64" i="59"/>
  <c r="N64" i="59"/>
  <c r="L64" i="59"/>
  <c r="V62" i="59"/>
  <c r="V60" i="59"/>
  <c r="T60" i="59"/>
  <c r="Z60" i="59" s="1"/>
  <c r="R60" i="59"/>
  <c r="P60" i="59"/>
  <c r="X60" i="59" s="1"/>
  <c r="H60" i="59"/>
  <c r="N60" i="59" s="1"/>
  <c r="D60" i="59"/>
  <c r="Z58" i="59"/>
  <c r="X58" i="59"/>
  <c r="N58" i="59"/>
  <c r="L58" i="59"/>
  <c r="B58" i="59"/>
  <c r="X57" i="59"/>
  <c r="Z57" i="59" s="1"/>
  <c r="V57" i="59"/>
  <c r="N57" i="59"/>
  <c r="L57" i="59"/>
  <c r="B57" i="59"/>
  <c r="V56" i="59"/>
  <c r="T56" i="59"/>
  <c r="P56" i="59"/>
  <c r="L56" i="59"/>
  <c r="H56" i="59"/>
  <c r="N56" i="59" s="1"/>
  <c r="D56" i="59"/>
  <c r="B56" i="59"/>
  <c r="Z55" i="59"/>
  <c r="X55" i="59"/>
  <c r="V55" i="59"/>
  <c r="N55" i="59"/>
  <c r="L55" i="59"/>
  <c r="J55" i="59"/>
  <c r="B55" i="59"/>
  <c r="Z54" i="59"/>
  <c r="X54" i="59"/>
  <c r="T54" i="59"/>
  <c r="P54" i="59"/>
  <c r="H54" i="59"/>
  <c r="D54" i="59"/>
  <c r="L54" i="59" s="1"/>
  <c r="N54" i="59" s="1"/>
  <c r="B54" i="59"/>
  <c r="Z53" i="59"/>
  <c r="X53" i="59"/>
  <c r="V53" i="59"/>
  <c r="N53" i="59"/>
  <c r="L53" i="59"/>
  <c r="B53" i="59"/>
  <c r="Z52" i="59"/>
  <c r="X52" i="59"/>
  <c r="V52" i="59"/>
  <c r="L52" i="59"/>
  <c r="N52" i="59" s="1"/>
  <c r="B52" i="59"/>
  <c r="V51" i="59"/>
  <c r="T51" i="59"/>
  <c r="P51" i="59"/>
  <c r="J51" i="59"/>
  <c r="H51" i="59"/>
  <c r="N51" i="59" s="1"/>
  <c r="D51" i="59"/>
  <c r="L51" i="59" s="1"/>
  <c r="B51" i="59"/>
  <c r="X50" i="59"/>
  <c r="Z50" i="59" s="1"/>
  <c r="V50" i="59"/>
  <c r="N50" i="59"/>
  <c r="L50" i="59"/>
  <c r="B50" i="59"/>
  <c r="Z49" i="59"/>
  <c r="X49" i="59"/>
  <c r="V49" i="59"/>
  <c r="N49" i="59"/>
  <c r="L49" i="59"/>
  <c r="B49" i="59"/>
  <c r="V48" i="59"/>
  <c r="T48" i="59"/>
  <c r="P48" i="59"/>
  <c r="X48" i="59" s="1"/>
  <c r="H48" i="59"/>
  <c r="D48" i="59"/>
  <c r="B48" i="59"/>
  <c r="X47" i="59"/>
  <c r="Z47" i="59" s="1"/>
  <c r="V47" i="59"/>
  <c r="R47" i="59"/>
  <c r="N47" i="59"/>
  <c r="L47" i="59"/>
  <c r="B47" i="59"/>
  <c r="Z46" i="59"/>
  <c r="X46" i="59"/>
  <c r="L46" i="59"/>
  <c r="N46" i="59" s="1"/>
  <c r="B46" i="59"/>
  <c r="Z45" i="59"/>
  <c r="X45" i="59"/>
  <c r="V45" i="59"/>
  <c r="R45" i="59"/>
  <c r="N45" i="59"/>
  <c r="L45" i="59"/>
  <c r="B45" i="59"/>
  <c r="X44" i="59"/>
  <c r="Z44" i="59" s="1"/>
  <c r="T44" i="59"/>
  <c r="R44" i="59"/>
  <c r="P44" i="59"/>
  <c r="L44" i="59"/>
  <c r="H44" i="59"/>
  <c r="N44" i="59" s="1"/>
  <c r="D44" i="59"/>
  <c r="B44" i="59"/>
  <c r="Z43" i="59"/>
  <c r="X43" i="59"/>
  <c r="V43" i="59"/>
  <c r="N43" i="59"/>
  <c r="L43" i="59"/>
  <c r="B43" i="59"/>
  <c r="V42" i="59"/>
  <c r="T42" i="59"/>
  <c r="P42" i="59"/>
  <c r="X42" i="59" s="1"/>
  <c r="Z42" i="59" s="1"/>
  <c r="H42" i="59"/>
  <c r="D42" i="59"/>
  <c r="B42" i="59"/>
  <c r="Z41" i="59"/>
  <c r="X41" i="59"/>
  <c r="N41" i="59"/>
  <c r="L41" i="59"/>
  <c r="J41" i="59"/>
  <c r="B41" i="59"/>
  <c r="V40" i="59"/>
  <c r="T40" i="59"/>
  <c r="P40" i="59"/>
  <c r="X40" i="59" s="1"/>
  <c r="H40" i="59"/>
  <c r="N40" i="59" s="1"/>
  <c r="D40" i="59"/>
  <c r="L40" i="59" s="1"/>
  <c r="B40" i="59"/>
  <c r="Z39" i="59"/>
  <c r="X39" i="59"/>
  <c r="V39" i="59"/>
  <c r="N39" i="59"/>
  <c r="L39" i="59"/>
  <c r="B39" i="59"/>
  <c r="X38" i="59"/>
  <c r="Z38" i="59" s="1"/>
  <c r="N38" i="59"/>
  <c r="L38" i="59"/>
  <c r="J38" i="59"/>
  <c r="B38" i="59"/>
  <c r="Z37" i="59"/>
  <c r="X37" i="59"/>
  <c r="T37" i="59"/>
  <c r="P37" i="59"/>
  <c r="H37" i="59"/>
  <c r="D37" i="59"/>
  <c r="B37" i="59"/>
  <c r="Z36" i="59"/>
  <c r="X36" i="59"/>
  <c r="V36" i="59"/>
  <c r="N36" i="59"/>
  <c r="L36" i="59"/>
  <c r="J36" i="59"/>
  <c r="B36" i="59"/>
  <c r="V35" i="59"/>
  <c r="T35" i="59"/>
  <c r="R35" i="59"/>
  <c r="P35" i="59"/>
  <c r="H35" i="59"/>
  <c r="N35" i="59" s="1"/>
  <c r="D35" i="59"/>
  <c r="B35" i="59"/>
  <c r="Z34" i="59"/>
  <c r="X34" i="59"/>
  <c r="V34" i="59"/>
  <c r="R34" i="59"/>
  <c r="N34" i="59"/>
  <c r="L34" i="59"/>
  <c r="B34" i="59"/>
  <c r="Z33" i="59"/>
  <c r="X33" i="59"/>
  <c r="V33" i="59"/>
  <c r="L33" i="59"/>
  <c r="N33" i="59" s="1"/>
  <c r="B33" i="59"/>
  <c r="X32" i="59"/>
  <c r="Z32" i="59" s="1"/>
  <c r="L32" i="59"/>
  <c r="N32" i="59" s="1"/>
  <c r="B32" i="59"/>
  <c r="X31" i="59"/>
  <c r="Z31" i="59" s="1"/>
  <c r="V31" i="59"/>
  <c r="L31" i="59"/>
  <c r="N31" i="59" s="1"/>
  <c r="B31" i="59"/>
  <c r="X30" i="59"/>
  <c r="Z30" i="59" s="1"/>
  <c r="V30" i="59"/>
  <c r="R30" i="59"/>
  <c r="N30" i="59"/>
  <c r="L30" i="59"/>
  <c r="F30" i="59"/>
  <c r="B30" i="59"/>
  <c r="X29" i="59"/>
  <c r="Z29" i="59" s="1"/>
  <c r="V29" i="59"/>
  <c r="T29" i="59"/>
  <c r="P29" i="59"/>
  <c r="N29" i="59"/>
  <c r="L29" i="59"/>
  <c r="J29" i="59"/>
  <c r="H29" i="59"/>
  <c r="F29" i="59"/>
  <c r="D29" i="59"/>
  <c r="B29" i="59"/>
  <c r="Z28" i="59"/>
  <c r="X28" i="59"/>
  <c r="N28" i="59"/>
  <c r="L28" i="59"/>
  <c r="J28" i="59"/>
  <c r="B28" i="59"/>
  <c r="X27" i="59"/>
  <c r="Z27" i="59" s="1"/>
  <c r="V27" i="59"/>
  <c r="R27" i="59"/>
  <c r="N27" i="59"/>
  <c r="L27" i="59"/>
  <c r="B27" i="59"/>
  <c r="Z26" i="59"/>
  <c r="X26" i="59"/>
  <c r="R26" i="59"/>
  <c r="L26" i="59"/>
  <c r="N26" i="59" s="1"/>
  <c r="B26" i="59"/>
  <c r="Z25" i="59"/>
  <c r="X25" i="59"/>
  <c r="V25" i="59"/>
  <c r="N25" i="59"/>
  <c r="L25" i="59"/>
  <c r="J25" i="59"/>
  <c r="B25" i="59"/>
  <c r="X24" i="59"/>
  <c r="Z24" i="59" s="1"/>
  <c r="R24" i="59"/>
  <c r="N24" i="59"/>
  <c r="L24" i="59"/>
  <c r="B24" i="59"/>
  <c r="X23" i="59"/>
  <c r="Z23" i="59" s="1"/>
  <c r="R23" i="59"/>
  <c r="N23" i="59"/>
  <c r="L23" i="59"/>
  <c r="J23" i="59"/>
  <c r="B23" i="59"/>
  <c r="Z22" i="59"/>
  <c r="X22" i="59"/>
  <c r="R22" i="59"/>
  <c r="L22" i="59"/>
  <c r="N22" i="59" s="1"/>
  <c r="F22" i="59"/>
  <c r="B22" i="59"/>
  <c r="X21" i="59"/>
  <c r="Z21" i="59" s="1"/>
  <c r="V21" i="59"/>
  <c r="N21" i="59"/>
  <c r="L21" i="59"/>
  <c r="J21" i="59"/>
  <c r="B21" i="59"/>
  <c r="X20" i="59"/>
  <c r="Z20" i="59" s="1"/>
  <c r="L20" i="59"/>
  <c r="N20" i="59" s="1"/>
  <c r="J20" i="59"/>
  <c r="B20" i="59"/>
  <c r="X19" i="59"/>
  <c r="V19" i="59"/>
  <c r="T19" i="59"/>
  <c r="Z19" i="59" s="1"/>
  <c r="P19" i="59"/>
  <c r="J19" i="59"/>
  <c r="H19" i="59"/>
  <c r="D19" i="59"/>
  <c r="B19" i="59"/>
  <c r="V18" i="59"/>
  <c r="T18" i="59"/>
  <c r="P18" i="59"/>
  <c r="X18" i="59" s="1"/>
  <c r="Z18" i="59" s="1"/>
  <c r="J18" i="59"/>
  <c r="H18" i="59"/>
  <c r="D18" i="59"/>
  <c r="V16" i="59"/>
  <c r="T16" i="59"/>
  <c r="Z16" i="59" s="1"/>
  <c r="P16" i="59"/>
  <c r="X16" i="59" s="1"/>
  <c r="Z14" i="59"/>
  <c r="V14" i="59"/>
  <c r="T14" i="59"/>
  <c r="R14" i="59"/>
  <c r="P14" i="59"/>
  <c r="X14" i="59" s="1"/>
  <c r="N14" i="59"/>
  <c r="J14" i="59"/>
  <c r="H14" i="59"/>
  <c r="D14" i="59"/>
  <c r="L14" i="59" s="1"/>
  <c r="Z12" i="59"/>
  <c r="X12" i="59"/>
  <c r="T12" i="59"/>
  <c r="V23" i="59" s="1"/>
  <c r="P12" i="59"/>
  <c r="R69" i="59" s="1"/>
  <c r="L12" i="59"/>
  <c r="H12" i="59"/>
  <c r="J60" i="59" s="1"/>
  <c r="D12" i="59"/>
  <c r="F54" i="59" s="1"/>
  <c r="D6" i="59"/>
  <c r="D4" i="59"/>
  <c r="V78" i="58"/>
  <c r="V75" i="58"/>
  <c r="Z73" i="58"/>
  <c r="X73" i="58"/>
  <c r="V73" i="58"/>
  <c r="N73" i="58"/>
  <c r="L73" i="58"/>
  <c r="V71" i="58"/>
  <c r="Z69" i="58"/>
  <c r="X69" i="58"/>
  <c r="V69" i="58"/>
  <c r="T69" i="58"/>
  <c r="P69" i="58"/>
  <c r="N69" i="58"/>
  <c r="L69" i="58"/>
  <c r="H69" i="58"/>
  <c r="D69" i="58"/>
  <c r="Z67" i="58"/>
  <c r="X67" i="58"/>
  <c r="V67" i="58"/>
  <c r="N67" i="58"/>
  <c r="L67" i="58"/>
  <c r="B67" i="58"/>
  <c r="V66" i="58"/>
  <c r="T66" i="58"/>
  <c r="Z66" i="58" s="1"/>
  <c r="P66" i="58"/>
  <c r="X66" i="58" s="1"/>
  <c r="L66" i="58"/>
  <c r="H66" i="58"/>
  <c r="D66" i="58"/>
  <c r="B66" i="58"/>
  <c r="Z65" i="58"/>
  <c r="X65" i="58"/>
  <c r="V65" i="58"/>
  <c r="N65" i="58"/>
  <c r="L65" i="58"/>
  <c r="J65" i="58"/>
  <c r="B65" i="58"/>
  <c r="T64" i="58"/>
  <c r="P64" i="58"/>
  <c r="X64" i="58" s="1"/>
  <c r="Z64" i="58" s="1"/>
  <c r="H64" i="58"/>
  <c r="D64" i="58"/>
  <c r="B64" i="58"/>
  <c r="Z63" i="58"/>
  <c r="X63" i="58"/>
  <c r="V63" i="58"/>
  <c r="N63" i="58"/>
  <c r="L63" i="58"/>
  <c r="B63" i="58"/>
  <c r="V62" i="58"/>
  <c r="T62" i="58"/>
  <c r="P62" i="58"/>
  <c r="H62" i="58"/>
  <c r="D62" i="58"/>
  <c r="L62" i="58" s="1"/>
  <c r="B62" i="58"/>
  <c r="X61" i="58"/>
  <c r="Z61" i="58" s="1"/>
  <c r="V61" i="58"/>
  <c r="N61" i="58"/>
  <c r="L61" i="58"/>
  <c r="B61" i="58"/>
  <c r="X60" i="58"/>
  <c r="Z60" i="58" s="1"/>
  <c r="V60" i="58"/>
  <c r="L60" i="58"/>
  <c r="N60" i="58" s="1"/>
  <c r="B60" i="58"/>
  <c r="Z59" i="58"/>
  <c r="X59" i="58"/>
  <c r="V59" i="58"/>
  <c r="N59" i="58"/>
  <c r="L59" i="58"/>
  <c r="B59" i="58"/>
  <c r="V58" i="58"/>
  <c r="T58" i="58"/>
  <c r="P58" i="58"/>
  <c r="X58" i="58" s="1"/>
  <c r="L58" i="58"/>
  <c r="H58" i="58"/>
  <c r="D58" i="58"/>
  <c r="B58" i="58"/>
  <c r="Z57" i="58"/>
  <c r="X57" i="58"/>
  <c r="V57" i="58"/>
  <c r="N57" i="58"/>
  <c r="L57" i="58"/>
  <c r="J57" i="58"/>
  <c r="B57" i="58"/>
  <c r="T56" i="58"/>
  <c r="P56" i="58"/>
  <c r="X56" i="58" s="1"/>
  <c r="Z56" i="58" s="1"/>
  <c r="H56" i="58"/>
  <c r="D56" i="58"/>
  <c r="B56" i="58"/>
  <c r="Z55" i="58"/>
  <c r="X55" i="58"/>
  <c r="V55" i="58"/>
  <c r="N55" i="58"/>
  <c r="L55" i="58"/>
  <c r="B55" i="58"/>
  <c r="X54" i="58"/>
  <c r="Z54" i="58" s="1"/>
  <c r="V54" i="58"/>
  <c r="L54" i="58"/>
  <c r="N54" i="58" s="1"/>
  <c r="B54" i="58"/>
  <c r="V53" i="58"/>
  <c r="T53" i="58"/>
  <c r="P53" i="58"/>
  <c r="X53" i="58" s="1"/>
  <c r="Z53" i="58" s="1"/>
  <c r="H53" i="58"/>
  <c r="D53" i="58"/>
  <c r="L53" i="58" s="1"/>
  <c r="N53" i="58" s="1"/>
  <c r="B53" i="58"/>
  <c r="X52" i="58"/>
  <c r="Z52" i="58" s="1"/>
  <c r="V52" i="58"/>
  <c r="L52" i="58"/>
  <c r="N52" i="58" s="1"/>
  <c r="B52" i="58"/>
  <c r="Z51" i="58"/>
  <c r="X51" i="58"/>
  <c r="V51" i="58"/>
  <c r="N51" i="58"/>
  <c r="L51" i="58"/>
  <c r="B51" i="58"/>
  <c r="X50" i="58"/>
  <c r="Z50" i="58" s="1"/>
  <c r="V50" i="58"/>
  <c r="N50" i="58"/>
  <c r="L50" i="58"/>
  <c r="F50" i="58"/>
  <c r="B50" i="58"/>
  <c r="X49" i="58"/>
  <c r="Z49" i="58" s="1"/>
  <c r="V49" i="58"/>
  <c r="T49" i="58"/>
  <c r="P49" i="58"/>
  <c r="N49" i="58"/>
  <c r="L49" i="58"/>
  <c r="H49" i="58"/>
  <c r="F49" i="58"/>
  <c r="D49" i="58"/>
  <c r="B49" i="58"/>
  <c r="X48" i="58"/>
  <c r="Z48" i="58" s="1"/>
  <c r="L48" i="58"/>
  <c r="N48" i="58" s="1"/>
  <c r="B48" i="58"/>
  <c r="V47" i="58"/>
  <c r="T47" i="58"/>
  <c r="X47" i="58" s="1"/>
  <c r="Z47" i="58" s="1"/>
  <c r="P47" i="58"/>
  <c r="H47" i="58"/>
  <c r="D47" i="58"/>
  <c r="B47" i="58"/>
  <c r="X46" i="58"/>
  <c r="Z46" i="58" s="1"/>
  <c r="V46" i="58"/>
  <c r="N46" i="58"/>
  <c r="L46" i="58"/>
  <c r="B46" i="58"/>
  <c r="V45" i="58"/>
  <c r="T45" i="58"/>
  <c r="P45" i="58"/>
  <c r="X45" i="58" s="1"/>
  <c r="Z45" i="58" s="1"/>
  <c r="N45" i="58"/>
  <c r="H45" i="58"/>
  <c r="D45" i="58"/>
  <c r="L45" i="58" s="1"/>
  <c r="B45" i="58"/>
  <c r="X44" i="58"/>
  <c r="Z44" i="58" s="1"/>
  <c r="V44" i="58"/>
  <c r="L44" i="58"/>
  <c r="N44" i="58" s="1"/>
  <c r="B44" i="58"/>
  <c r="Z43" i="58"/>
  <c r="X43" i="58"/>
  <c r="V43" i="58"/>
  <c r="T43" i="58"/>
  <c r="P43" i="58"/>
  <c r="L43" i="58"/>
  <c r="N43" i="58" s="1"/>
  <c r="H43" i="58"/>
  <c r="D43" i="58"/>
  <c r="B43" i="58"/>
  <c r="X42" i="58"/>
  <c r="Z42" i="58" s="1"/>
  <c r="L42" i="58"/>
  <c r="N42" i="58" s="1"/>
  <c r="B42" i="58"/>
  <c r="V41" i="58"/>
  <c r="T41" i="58"/>
  <c r="P41" i="58"/>
  <c r="N41" i="58"/>
  <c r="H41" i="58"/>
  <c r="L41" i="58" s="1"/>
  <c r="D41" i="58"/>
  <c r="B41" i="58"/>
  <c r="X40" i="58"/>
  <c r="Z40" i="58" s="1"/>
  <c r="V40" i="58"/>
  <c r="L40" i="58"/>
  <c r="N40" i="58" s="1"/>
  <c r="B40" i="58"/>
  <c r="V39" i="58"/>
  <c r="T39" i="58"/>
  <c r="P39" i="58"/>
  <c r="X39" i="58" s="1"/>
  <c r="Z39" i="58" s="1"/>
  <c r="J39" i="58"/>
  <c r="H39" i="58"/>
  <c r="D39" i="58"/>
  <c r="L39" i="58" s="1"/>
  <c r="N39" i="58" s="1"/>
  <c r="B39" i="58"/>
  <c r="X38" i="58"/>
  <c r="Z38" i="58" s="1"/>
  <c r="V38" i="58"/>
  <c r="L38" i="58"/>
  <c r="N38" i="58" s="1"/>
  <c r="F38" i="58"/>
  <c r="B38" i="58"/>
  <c r="X37" i="58"/>
  <c r="Z37" i="58" s="1"/>
  <c r="V37" i="58"/>
  <c r="T37" i="58"/>
  <c r="P37" i="58"/>
  <c r="N37" i="58"/>
  <c r="L37" i="58"/>
  <c r="J37" i="58"/>
  <c r="H37" i="58"/>
  <c r="F37" i="58"/>
  <c r="D37" i="58"/>
  <c r="B37" i="58"/>
  <c r="X36" i="58"/>
  <c r="Z36" i="58" s="1"/>
  <c r="L36" i="58"/>
  <c r="N36" i="58" s="1"/>
  <c r="B36" i="58"/>
  <c r="V35" i="58"/>
  <c r="T35" i="58"/>
  <c r="X35" i="58" s="1"/>
  <c r="Z35" i="58" s="1"/>
  <c r="P35" i="58"/>
  <c r="J35" i="58"/>
  <c r="H35" i="58"/>
  <c r="D35" i="58"/>
  <c r="B35" i="58"/>
  <c r="X34" i="58"/>
  <c r="Z34" i="58" s="1"/>
  <c r="V34" i="58"/>
  <c r="L34" i="58"/>
  <c r="N34" i="58" s="1"/>
  <c r="B34" i="58"/>
  <c r="Z33" i="58"/>
  <c r="X33" i="58"/>
  <c r="V33" i="58"/>
  <c r="N33" i="58"/>
  <c r="L33" i="58"/>
  <c r="J33" i="58"/>
  <c r="B33" i="58"/>
  <c r="X32" i="58"/>
  <c r="Z32" i="58" s="1"/>
  <c r="V32" i="58"/>
  <c r="L32" i="58"/>
  <c r="N32" i="58" s="1"/>
  <c r="B32" i="58"/>
  <c r="Z31" i="58"/>
  <c r="X31" i="58"/>
  <c r="V31" i="58"/>
  <c r="N31" i="58"/>
  <c r="L31" i="58"/>
  <c r="J31" i="58"/>
  <c r="B31" i="58"/>
  <c r="V30" i="58"/>
  <c r="T30" i="58"/>
  <c r="P30" i="58"/>
  <c r="H30" i="58"/>
  <c r="N30" i="58" s="1"/>
  <c r="D30" i="58"/>
  <c r="L30" i="58" s="1"/>
  <c r="B30" i="58"/>
  <c r="Z29" i="58"/>
  <c r="X29" i="58"/>
  <c r="V29" i="58"/>
  <c r="N29" i="58"/>
  <c r="L29" i="58"/>
  <c r="J29" i="58"/>
  <c r="B29" i="58"/>
  <c r="X28" i="58"/>
  <c r="Z28" i="58" s="1"/>
  <c r="V28" i="58"/>
  <c r="L28" i="58"/>
  <c r="N28" i="58" s="1"/>
  <c r="B28" i="58"/>
  <c r="Z27" i="58"/>
  <c r="X27" i="58"/>
  <c r="V27" i="58"/>
  <c r="N27" i="58"/>
  <c r="L27" i="58"/>
  <c r="J27" i="58"/>
  <c r="B27" i="58"/>
  <c r="X26" i="58"/>
  <c r="Z26" i="58" s="1"/>
  <c r="V26" i="58"/>
  <c r="L26" i="58"/>
  <c r="N26" i="58" s="1"/>
  <c r="F26" i="58"/>
  <c r="B26" i="58"/>
  <c r="Z25" i="58"/>
  <c r="X25" i="58"/>
  <c r="V25" i="58"/>
  <c r="N25" i="58"/>
  <c r="L25" i="58"/>
  <c r="J25" i="58"/>
  <c r="B25" i="58"/>
  <c r="X24" i="58"/>
  <c r="Z24" i="58" s="1"/>
  <c r="V24" i="58"/>
  <c r="L24" i="58"/>
  <c r="N24" i="58" s="1"/>
  <c r="B24" i="58"/>
  <c r="Z23" i="58"/>
  <c r="X23" i="58"/>
  <c r="V23" i="58"/>
  <c r="N23" i="58"/>
  <c r="L23" i="58"/>
  <c r="J23" i="58"/>
  <c r="B23" i="58"/>
  <c r="X22" i="58"/>
  <c r="Z22" i="58" s="1"/>
  <c r="V22" i="58"/>
  <c r="L22" i="58"/>
  <c r="N22" i="58" s="1"/>
  <c r="F22" i="58"/>
  <c r="B22" i="58"/>
  <c r="Z21" i="58"/>
  <c r="X21" i="58"/>
  <c r="V21" i="58"/>
  <c r="N21" i="58"/>
  <c r="L21" i="58"/>
  <c r="J21" i="58"/>
  <c r="B21" i="58"/>
  <c r="X20" i="58"/>
  <c r="Z20" i="58" s="1"/>
  <c r="V20" i="58"/>
  <c r="L20" i="58"/>
  <c r="N20" i="58" s="1"/>
  <c r="B20" i="58"/>
  <c r="Z19" i="58"/>
  <c r="X19" i="58"/>
  <c r="V19" i="58"/>
  <c r="T19" i="58"/>
  <c r="P19" i="58"/>
  <c r="N19" i="58"/>
  <c r="L19" i="58"/>
  <c r="J19" i="58"/>
  <c r="H19" i="58"/>
  <c r="D19" i="58"/>
  <c r="B19" i="58"/>
  <c r="T18" i="58"/>
  <c r="P18" i="58"/>
  <c r="H18" i="58"/>
  <c r="N18" i="58" s="1"/>
  <c r="D18" i="58"/>
  <c r="L18" i="58" s="1"/>
  <c r="T14" i="58"/>
  <c r="P14" i="58"/>
  <c r="H14" i="58"/>
  <c r="N14" i="58" s="1"/>
  <c r="D14" i="58"/>
  <c r="L14" i="58" s="1"/>
  <c r="Z12" i="58"/>
  <c r="T12" i="58"/>
  <c r="V64" i="58" s="1"/>
  <c r="P12" i="58"/>
  <c r="R43" i="58" s="1"/>
  <c r="L12" i="58"/>
  <c r="H12" i="58"/>
  <c r="J66" i="58" s="1"/>
  <c r="D12" i="58"/>
  <c r="F65" i="58" s="1"/>
  <c r="D6" i="58"/>
  <c r="D4" i="58"/>
  <c r="V73" i="57"/>
  <c r="V70" i="57"/>
  <c r="Z68" i="57"/>
  <c r="X68" i="57"/>
  <c r="V68" i="57"/>
  <c r="N68" i="57"/>
  <c r="L68" i="57"/>
  <c r="T64" i="57"/>
  <c r="Z64" i="57" s="1"/>
  <c r="P64" i="57"/>
  <c r="X64" i="57" s="1"/>
  <c r="H64" i="57"/>
  <c r="D64" i="57"/>
  <c r="X62" i="57"/>
  <c r="Z62" i="57" s="1"/>
  <c r="L62" i="57"/>
  <c r="N62" i="57" s="1"/>
  <c r="B62" i="57"/>
  <c r="V61" i="57"/>
  <c r="T61" i="57"/>
  <c r="X61" i="57" s="1"/>
  <c r="Z61" i="57" s="1"/>
  <c r="P61" i="57"/>
  <c r="H61" i="57"/>
  <c r="L61" i="57" s="1"/>
  <c r="N61" i="57" s="1"/>
  <c r="D61" i="57"/>
  <c r="B61" i="57"/>
  <c r="X60" i="57"/>
  <c r="Z60" i="57" s="1"/>
  <c r="V60" i="57"/>
  <c r="L60" i="57"/>
  <c r="N60" i="57" s="1"/>
  <c r="B60" i="57"/>
  <c r="V59" i="57"/>
  <c r="T59" i="57"/>
  <c r="P59" i="57"/>
  <c r="X59" i="57" s="1"/>
  <c r="Z59" i="57" s="1"/>
  <c r="H59" i="57"/>
  <c r="D59" i="57"/>
  <c r="L59" i="57" s="1"/>
  <c r="N59" i="57" s="1"/>
  <c r="B59" i="57"/>
  <c r="Z58" i="57"/>
  <c r="X58" i="57"/>
  <c r="V58" i="57"/>
  <c r="N58" i="57"/>
  <c r="L58" i="57"/>
  <c r="B58" i="57"/>
  <c r="Z57" i="57"/>
  <c r="X57" i="57"/>
  <c r="V57" i="57"/>
  <c r="N57" i="57"/>
  <c r="L57" i="57"/>
  <c r="B57" i="57"/>
  <c r="X56" i="57"/>
  <c r="Z56" i="57" s="1"/>
  <c r="V56" i="57"/>
  <c r="N56" i="57"/>
  <c r="L56" i="57"/>
  <c r="F56" i="57"/>
  <c r="B56" i="57"/>
  <c r="Z55" i="57"/>
  <c r="X55" i="57"/>
  <c r="V55" i="57"/>
  <c r="T55" i="57"/>
  <c r="P55" i="57"/>
  <c r="N55" i="57"/>
  <c r="L55" i="57"/>
  <c r="H55" i="57"/>
  <c r="F55" i="57"/>
  <c r="D55" i="57"/>
  <c r="B55" i="57"/>
  <c r="Z54" i="57"/>
  <c r="X54" i="57"/>
  <c r="N54" i="57"/>
  <c r="L54" i="57"/>
  <c r="B54" i="57"/>
  <c r="Z53" i="57"/>
  <c r="V53" i="57"/>
  <c r="T53" i="57"/>
  <c r="X53" i="57" s="1"/>
  <c r="P53" i="57"/>
  <c r="N53" i="57"/>
  <c r="H53" i="57"/>
  <c r="L53" i="57" s="1"/>
  <c r="D53" i="57"/>
  <c r="B53" i="57"/>
  <c r="X52" i="57"/>
  <c r="Z52" i="57" s="1"/>
  <c r="V52" i="57"/>
  <c r="L52" i="57"/>
  <c r="N52" i="57" s="1"/>
  <c r="B52" i="57"/>
  <c r="V51" i="57"/>
  <c r="T51" i="57"/>
  <c r="P51" i="57"/>
  <c r="X51" i="57" s="1"/>
  <c r="Z51" i="57" s="1"/>
  <c r="H51" i="57"/>
  <c r="D51" i="57"/>
  <c r="L51" i="57" s="1"/>
  <c r="N51" i="57" s="1"/>
  <c r="B51" i="57"/>
  <c r="Z50" i="57"/>
  <c r="X50" i="57"/>
  <c r="V50" i="57"/>
  <c r="N50" i="57"/>
  <c r="L50" i="57"/>
  <c r="B50" i="57"/>
  <c r="Z49" i="57"/>
  <c r="X49" i="57"/>
  <c r="V49" i="57"/>
  <c r="N49" i="57"/>
  <c r="L49" i="57"/>
  <c r="B49" i="57"/>
  <c r="X48" i="57"/>
  <c r="Z48" i="57" s="1"/>
  <c r="V48" i="57"/>
  <c r="N48" i="57"/>
  <c r="L48" i="57"/>
  <c r="F48" i="57"/>
  <c r="B48" i="57"/>
  <c r="Z47" i="57"/>
  <c r="X47" i="57"/>
  <c r="V47" i="57"/>
  <c r="T47" i="57"/>
  <c r="P47" i="57"/>
  <c r="N47" i="57"/>
  <c r="L47" i="57"/>
  <c r="H47" i="57"/>
  <c r="F47" i="57"/>
  <c r="D47" i="57"/>
  <c r="B47" i="57"/>
  <c r="Z46" i="57"/>
  <c r="X46" i="57"/>
  <c r="N46" i="57"/>
  <c r="L46" i="57"/>
  <c r="B46" i="57"/>
  <c r="Z45" i="57"/>
  <c r="V45" i="57"/>
  <c r="T45" i="57"/>
  <c r="X45" i="57" s="1"/>
  <c r="P45" i="57"/>
  <c r="H45" i="57"/>
  <c r="N45" i="57" s="1"/>
  <c r="D45" i="57"/>
  <c r="B45" i="57"/>
  <c r="X44" i="57"/>
  <c r="Z44" i="57" s="1"/>
  <c r="V44" i="57"/>
  <c r="L44" i="57"/>
  <c r="N44" i="57" s="1"/>
  <c r="B44" i="57"/>
  <c r="V43" i="57"/>
  <c r="T43" i="57"/>
  <c r="P43" i="57"/>
  <c r="X43" i="57" s="1"/>
  <c r="Z43" i="57" s="1"/>
  <c r="H43" i="57"/>
  <c r="D43" i="57"/>
  <c r="L43" i="57" s="1"/>
  <c r="N43" i="57" s="1"/>
  <c r="B43" i="57"/>
  <c r="X42" i="57"/>
  <c r="Z42" i="57" s="1"/>
  <c r="V42" i="57"/>
  <c r="L42" i="57"/>
  <c r="N42" i="57" s="1"/>
  <c r="B42" i="57"/>
  <c r="Z41" i="57"/>
  <c r="X41" i="57"/>
  <c r="V41" i="57"/>
  <c r="T41" i="57"/>
  <c r="R41" i="57"/>
  <c r="P41" i="57"/>
  <c r="N41" i="57"/>
  <c r="L41" i="57"/>
  <c r="H41" i="57"/>
  <c r="D41" i="57"/>
  <c r="B41" i="57"/>
  <c r="X40" i="57"/>
  <c r="Z40" i="57" s="1"/>
  <c r="R40" i="57"/>
  <c r="L40" i="57"/>
  <c r="N40" i="57" s="1"/>
  <c r="B40" i="57"/>
  <c r="V39" i="57"/>
  <c r="T39" i="57"/>
  <c r="P39" i="57"/>
  <c r="H39" i="57"/>
  <c r="L39" i="57" s="1"/>
  <c r="N39" i="57" s="1"/>
  <c r="D39" i="57"/>
  <c r="B39" i="57"/>
  <c r="X38" i="57"/>
  <c r="Z38" i="57" s="1"/>
  <c r="V38" i="57"/>
  <c r="L38" i="57"/>
  <c r="N38" i="57" s="1"/>
  <c r="B38" i="57"/>
  <c r="V37" i="57"/>
  <c r="T37" i="57"/>
  <c r="P37" i="57"/>
  <c r="X37" i="57" s="1"/>
  <c r="Z37" i="57" s="1"/>
  <c r="J37" i="57"/>
  <c r="H37" i="57"/>
  <c r="D37" i="57"/>
  <c r="L37" i="57" s="1"/>
  <c r="N37" i="57" s="1"/>
  <c r="B37" i="57"/>
  <c r="X36" i="57"/>
  <c r="Z36" i="57" s="1"/>
  <c r="V36" i="57"/>
  <c r="L36" i="57"/>
  <c r="N36" i="57" s="1"/>
  <c r="F36" i="57"/>
  <c r="B36" i="57"/>
  <c r="Z35" i="57"/>
  <c r="X35" i="57"/>
  <c r="V35" i="57"/>
  <c r="T35" i="57"/>
  <c r="P35" i="57"/>
  <c r="N35" i="57"/>
  <c r="L35" i="57"/>
  <c r="H35" i="57"/>
  <c r="F35" i="57"/>
  <c r="D35" i="57"/>
  <c r="B35" i="57"/>
  <c r="X34" i="57"/>
  <c r="Z34" i="57" s="1"/>
  <c r="N34" i="57"/>
  <c r="L34" i="57"/>
  <c r="B34" i="57"/>
  <c r="V33" i="57"/>
  <c r="T33" i="57"/>
  <c r="X33" i="57" s="1"/>
  <c r="Z33" i="57" s="1"/>
  <c r="P33" i="57"/>
  <c r="J33" i="57"/>
  <c r="H33" i="57"/>
  <c r="N33" i="57" s="1"/>
  <c r="D33" i="57"/>
  <c r="B33" i="57"/>
  <c r="Z32" i="57"/>
  <c r="X32" i="57"/>
  <c r="V32" i="57"/>
  <c r="N32" i="57"/>
  <c r="L32" i="57"/>
  <c r="B32" i="57"/>
  <c r="Z31" i="57"/>
  <c r="X31" i="57"/>
  <c r="V31" i="57"/>
  <c r="N31" i="57"/>
  <c r="L31" i="57"/>
  <c r="B31" i="57"/>
  <c r="X30" i="57"/>
  <c r="Z30" i="57" s="1"/>
  <c r="V30" i="57"/>
  <c r="L30" i="57"/>
  <c r="N30" i="57" s="1"/>
  <c r="B30" i="57"/>
  <c r="Z29" i="57"/>
  <c r="X29" i="57"/>
  <c r="V29" i="57"/>
  <c r="N29" i="57"/>
  <c r="L29" i="57"/>
  <c r="B29" i="57"/>
  <c r="V28" i="57"/>
  <c r="T28" i="57"/>
  <c r="P28" i="57"/>
  <c r="H28" i="57"/>
  <c r="D28" i="57"/>
  <c r="L28" i="57" s="1"/>
  <c r="B28" i="57"/>
  <c r="Z27" i="57"/>
  <c r="X27" i="57"/>
  <c r="V27" i="57"/>
  <c r="N27" i="57"/>
  <c r="L27" i="57"/>
  <c r="J27" i="57"/>
  <c r="B27" i="57"/>
  <c r="X26" i="57"/>
  <c r="Z26" i="57" s="1"/>
  <c r="V26" i="57"/>
  <c r="L26" i="57"/>
  <c r="N26" i="57" s="1"/>
  <c r="B26" i="57"/>
  <c r="Z25" i="57"/>
  <c r="X25" i="57"/>
  <c r="V25" i="57"/>
  <c r="N25" i="57"/>
  <c r="L25" i="57"/>
  <c r="J25" i="57"/>
  <c r="B25" i="57"/>
  <c r="X24" i="57"/>
  <c r="Z24" i="57" s="1"/>
  <c r="V24" i="57"/>
  <c r="R24" i="57"/>
  <c r="L24" i="57"/>
  <c r="N24" i="57" s="1"/>
  <c r="F24" i="57"/>
  <c r="B24" i="57"/>
  <c r="Z23" i="57"/>
  <c r="X23" i="57"/>
  <c r="V23" i="57"/>
  <c r="N23" i="57"/>
  <c r="L23" i="57"/>
  <c r="J23" i="57"/>
  <c r="B23" i="57"/>
  <c r="X22" i="57"/>
  <c r="Z22" i="57" s="1"/>
  <c r="V22" i="57"/>
  <c r="L22" i="57"/>
  <c r="N22" i="57" s="1"/>
  <c r="B22" i="57"/>
  <c r="Z21" i="57"/>
  <c r="X21" i="57"/>
  <c r="V21" i="57"/>
  <c r="N21" i="57"/>
  <c r="L21" i="57"/>
  <c r="J21" i="57"/>
  <c r="B21" i="57"/>
  <c r="X20" i="57"/>
  <c r="Z20" i="57" s="1"/>
  <c r="V20" i="57"/>
  <c r="R20" i="57"/>
  <c r="L20" i="57"/>
  <c r="N20" i="57" s="1"/>
  <c r="F20" i="57"/>
  <c r="B20" i="57"/>
  <c r="V19" i="57"/>
  <c r="T19" i="57"/>
  <c r="P19" i="57"/>
  <c r="X19" i="57" s="1"/>
  <c r="Z19" i="57" s="1"/>
  <c r="N19" i="57"/>
  <c r="L19" i="57"/>
  <c r="J19" i="57"/>
  <c r="H19" i="57"/>
  <c r="F19" i="57"/>
  <c r="D19" i="57"/>
  <c r="B19" i="57"/>
  <c r="T18" i="57"/>
  <c r="Z18" i="57" s="1"/>
  <c r="P18" i="57"/>
  <c r="X18" i="57" s="1"/>
  <c r="H18" i="57"/>
  <c r="D18" i="57"/>
  <c r="T14" i="57"/>
  <c r="Z14" i="57" s="1"/>
  <c r="P14" i="57"/>
  <c r="X14" i="57" s="1"/>
  <c r="H14" i="57"/>
  <c r="N14" i="57" s="1"/>
  <c r="D14" i="57"/>
  <c r="D16" i="57" s="1"/>
  <c r="Z12" i="57"/>
  <c r="X12" i="57"/>
  <c r="T12" i="57"/>
  <c r="V66" i="57" s="1"/>
  <c r="P12" i="57"/>
  <c r="R31" i="57" s="1"/>
  <c r="L12" i="57"/>
  <c r="H12" i="57"/>
  <c r="J68" i="57" s="1"/>
  <c r="D12" i="57"/>
  <c r="F66" i="57" s="1"/>
  <c r="D6" i="57"/>
  <c r="D4" i="57"/>
  <c r="Z75" i="56"/>
  <c r="X75" i="56"/>
  <c r="R75" i="56"/>
  <c r="N75" i="56"/>
  <c r="L75" i="56"/>
  <c r="F75" i="56"/>
  <c r="R73" i="56"/>
  <c r="T71" i="56"/>
  <c r="Z71" i="56" s="1"/>
  <c r="R71" i="56"/>
  <c r="P71" i="56"/>
  <c r="X71" i="56" s="1"/>
  <c r="H71" i="56"/>
  <c r="N71" i="56" s="1"/>
  <c r="D71" i="56"/>
  <c r="L71" i="56" s="1"/>
  <c r="X69" i="56"/>
  <c r="Z69" i="56" s="1"/>
  <c r="R69" i="56"/>
  <c r="N69" i="56"/>
  <c r="L69" i="56"/>
  <c r="B69" i="56"/>
  <c r="Z68" i="56"/>
  <c r="X68" i="56"/>
  <c r="R68" i="56"/>
  <c r="N68" i="56"/>
  <c r="L68" i="56"/>
  <c r="J68" i="56"/>
  <c r="B68" i="56"/>
  <c r="T67" i="56"/>
  <c r="Z67" i="56" s="1"/>
  <c r="R67" i="56"/>
  <c r="P67" i="56"/>
  <c r="X67" i="56" s="1"/>
  <c r="H67" i="56"/>
  <c r="D67" i="56"/>
  <c r="B67" i="56"/>
  <c r="Z66" i="56"/>
  <c r="X66" i="56"/>
  <c r="R66" i="56"/>
  <c r="N66" i="56"/>
  <c r="L66" i="56"/>
  <c r="B66" i="56"/>
  <c r="X65" i="56"/>
  <c r="T65" i="56"/>
  <c r="Z65" i="56" s="1"/>
  <c r="P65" i="56"/>
  <c r="H65" i="56"/>
  <c r="N65" i="56" s="1"/>
  <c r="D65" i="56"/>
  <c r="L65" i="56" s="1"/>
  <c r="B65" i="56"/>
  <c r="Z64" i="56"/>
  <c r="X64" i="56"/>
  <c r="N64" i="56"/>
  <c r="L64" i="56"/>
  <c r="B64" i="56"/>
  <c r="X63" i="56"/>
  <c r="T63" i="56"/>
  <c r="Z63" i="56" s="1"/>
  <c r="R63" i="56"/>
  <c r="P63" i="56"/>
  <c r="H63" i="56"/>
  <c r="N63" i="56" s="1"/>
  <c r="D63" i="56"/>
  <c r="L63" i="56" s="1"/>
  <c r="B63" i="56"/>
  <c r="Z62" i="56"/>
  <c r="X62" i="56"/>
  <c r="R62" i="56"/>
  <c r="N62" i="56"/>
  <c r="L62" i="56"/>
  <c r="B62" i="56"/>
  <c r="X61" i="56"/>
  <c r="Z61" i="56" s="1"/>
  <c r="R61" i="56"/>
  <c r="L61" i="56"/>
  <c r="N61" i="56" s="1"/>
  <c r="B61" i="56"/>
  <c r="Z60" i="56"/>
  <c r="X60" i="56"/>
  <c r="R60" i="56"/>
  <c r="N60" i="56"/>
  <c r="L60" i="56"/>
  <c r="J60" i="56"/>
  <c r="B60" i="56"/>
  <c r="T59" i="56"/>
  <c r="R59" i="56"/>
  <c r="P59" i="56"/>
  <c r="X59" i="56" s="1"/>
  <c r="H59" i="56"/>
  <c r="D59" i="56"/>
  <c r="L59" i="56" s="1"/>
  <c r="B59" i="56"/>
  <c r="Z58" i="56"/>
  <c r="X58" i="56"/>
  <c r="R58" i="56"/>
  <c r="N58" i="56"/>
  <c r="L58" i="56"/>
  <c r="B58" i="56"/>
  <c r="X57" i="56"/>
  <c r="T57" i="56"/>
  <c r="Z57" i="56" s="1"/>
  <c r="P57" i="56"/>
  <c r="H57" i="56"/>
  <c r="N57" i="56" s="1"/>
  <c r="D57" i="56"/>
  <c r="L57" i="56" s="1"/>
  <c r="B57" i="56"/>
  <c r="Z56" i="56"/>
  <c r="X56" i="56"/>
  <c r="N56" i="56"/>
  <c r="L56" i="56"/>
  <c r="B56" i="56"/>
  <c r="X55" i="56"/>
  <c r="Z55" i="56" s="1"/>
  <c r="R55" i="56"/>
  <c r="L55" i="56"/>
  <c r="N55" i="56" s="1"/>
  <c r="B55" i="56"/>
  <c r="Z54" i="56"/>
  <c r="X54" i="56"/>
  <c r="N54" i="56"/>
  <c r="L54" i="56"/>
  <c r="B54" i="56"/>
  <c r="T53" i="56"/>
  <c r="R53" i="56"/>
  <c r="P53" i="56"/>
  <c r="X53" i="56" s="1"/>
  <c r="L53" i="56"/>
  <c r="H53" i="56"/>
  <c r="D53" i="56"/>
  <c r="B53" i="56"/>
  <c r="Z52" i="56"/>
  <c r="X52" i="56"/>
  <c r="R52" i="56"/>
  <c r="N52" i="56"/>
  <c r="L52" i="56"/>
  <c r="J52" i="56"/>
  <c r="B52" i="56"/>
  <c r="X51" i="56"/>
  <c r="Z51" i="56" s="1"/>
  <c r="R51" i="56"/>
  <c r="N51" i="56"/>
  <c r="L51" i="56"/>
  <c r="F51" i="56"/>
  <c r="B51" i="56"/>
  <c r="Z50" i="56"/>
  <c r="X50" i="56"/>
  <c r="R50" i="56"/>
  <c r="N50" i="56"/>
  <c r="L50" i="56"/>
  <c r="B50" i="56"/>
  <c r="T49" i="56"/>
  <c r="R49" i="56"/>
  <c r="P49" i="56"/>
  <c r="H49" i="56"/>
  <c r="N49" i="56" s="1"/>
  <c r="D49" i="56"/>
  <c r="L49" i="56" s="1"/>
  <c r="B49" i="56"/>
  <c r="Z48" i="56"/>
  <c r="X48" i="56"/>
  <c r="V48" i="56"/>
  <c r="R48" i="56"/>
  <c r="N48" i="56"/>
  <c r="L48" i="56"/>
  <c r="B48" i="56"/>
  <c r="T47" i="56"/>
  <c r="Z47" i="56" s="1"/>
  <c r="P47" i="56"/>
  <c r="X47" i="56" s="1"/>
  <c r="L47" i="56"/>
  <c r="H47" i="56"/>
  <c r="N47" i="56" s="1"/>
  <c r="D47" i="56"/>
  <c r="B47" i="56"/>
  <c r="Z46" i="56"/>
  <c r="X46" i="56"/>
  <c r="N46" i="56"/>
  <c r="L46" i="56"/>
  <c r="B46" i="56"/>
  <c r="T45" i="56"/>
  <c r="Z45" i="56" s="1"/>
  <c r="R45" i="56"/>
  <c r="P45" i="56"/>
  <c r="X45" i="56" s="1"/>
  <c r="L45" i="56"/>
  <c r="H45" i="56"/>
  <c r="D45" i="56"/>
  <c r="B45" i="56"/>
  <c r="Z44" i="56"/>
  <c r="X44" i="56"/>
  <c r="R44" i="56"/>
  <c r="N44" i="56"/>
  <c r="L44" i="56"/>
  <c r="J44" i="56"/>
  <c r="B44" i="56"/>
  <c r="T43" i="56"/>
  <c r="R43" i="56"/>
  <c r="P43" i="56"/>
  <c r="X43" i="56" s="1"/>
  <c r="H43" i="56"/>
  <c r="N43" i="56" s="1"/>
  <c r="D43" i="56"/>
  <c r="L43" i="56" s="1"/>
  <c r="B43" i="56"/>
  <c r="Z42" i="56"/>
  <c r="X42" i="56"/>
  <c r="R42" i="56"/>
  <c r="N42" i="56"/>
  <c r="L42" i="56"/>
  <c r="B42" i="56"/>
  <c r="X41" i="56"/>
  <c r="T41" i="56"/>
  <c r="Z41" i="56" s="1"/>
  <c r="P41" i="56"/>
  <c r="H41" i="56"/>
  <c r="D41" i="56"/>
  <c r="L41" i="56" s="1"/>
  <c r="B41" i="56"/>
  <c r="Z40" i="56"/>
  <c r="X40" i="56"/>
  <c r="N40" i="56"/>
  <c r="L40" i="56"/>
  <c r="B40" i="56"/>
  <c r="X39" i="56"/>
  <c r="T39" i="56"/>
  <c r="R39" i="56"/>
  <c r="P39" i="56"/>
  <c r="H39" i="56"/>
  <c r="D39" i="56"/>
  <c r="L39" i="56" s="1"/>
  <c r="B39" i="56"/>
  <c r="Z38" i="56"/>
  <c r="X38" i="56"/>
  <c r="R38" i="56"/>
  <c r="N38" i="56"/>
  <c r="L38" i="56"/>
  <c r="B38" i="56"/>
  <c r="T37" i="56"/>
  <c r="R37" i="56"/>
  <c r="P37" i="56"/>
  <c r="X37" i="56" s="1"/>
  <c r="H37" i="56"/>
  <c r="D37" i="56"/>
  <c r="L37" i="56" s="1"/>
  <c r="B37" i="56"/>
  <c r="Z36" i="56"/>
  <c r="X36" i="56"/>
  <c r="V36" i="56"/>
  <c r="R36" i="56"/>
  <c r="N36" i="56"/>
  <c r="L36" i="56"/>
  <c r="B36" i="56"/>
  <c r="T35" i="56"/>
  <c r="Z35" i="56" s="1"/>
  <c r="P35" i="56"/>
  <c r="X35" i="56" s="1"/>
  <c r="L35" i="56"/>
  <c r="H35" i="56"/>
  <c r="N35" i="56" s="1"/>
  <c r="D35" i="56"/>
  <c r="B35" i="56"/>
  <c r="Z34" i="56"/>
  <c r="X34" i="56"/>
  <c r="N34" i="56"/>
  <c r="L34" i="56"/>
  <c r="B34" i="56"/>
  <c r="T33" i="56"/>
  <c r="R33" i="56"/>
  <c r="P33" i="56"/>
  <c r="X33" i="56" s="1"/>
  <c r="L33" i="56"/>
  <c r="H33" i="56"/>
  <c r="N33" i="56" s="1"/>
  <c r="D33" i="56"/>
  <c r="B33" i="56"/>
  <c r="Z32" i="56"/>
  <c r="X32" i="56"/>
  <c r="V32" i="56"/>
  <c r="R32" i="56"/>
  <c r="N32" i="56"/>
  <c r="L32" i="56"/>
  <c r="J32" i="56"/>
  <c r="B32" i="56"/>
  <c r="X31" i="56"/>
  <c r="Z31" i="56" s="1"/>
  <c r="R31" i="56"/>
  <c r="L31" i="56"/>
  <c r="N31" i="56" s="1"/>
  <c r="F31" i="56"/>
  <c r="B31" i="56"/>
  <c r="Z30" i="56"/>
  <c r="X30" i="56"/>
  <c r="R30" i="56"/>
  <c r="N30" i="56"/>
  <c r="L30" i="56"/>
  <c r="B30" i="56"/>
  <c r="T29" i="56"/>
  <c r="R29" i="56"/>
  <c r="P29" i="56"/>
  <c r="X29" i="56" s="1"/>
  <c r="H29" i="56"/>
  <c r="D29" i="56"/>
  <c r="L29" i="56" s="1"/>
  <c r="B29" i="56"/>
  <c r="Z28" i="56"/>
  <c r="X28" i="56"/>
  <c r="V28" i="56"/>
  <c r="R28" i="56"/>
  <c r="N28" i="56"/>
  <c r="L28" i="56"/>
  <c r="B28" i="56"/>
  <c r="X27" i="56"/>
  <c r="Z27" i="56" s="1"/>
  <c r="R27" i="56"/>
  <c r="L27" i="56"/>
  <c r="N27" i="56" s="1"/>
  <c r="F27" i="56"/>
  <c r="B27" i="56"/>
  <c r="Z26" i="56"/>
  <c r="X26" i="56"/>
  <c r="R26" i="56"/>
  <c r="N26" i="56"/>
  <c r="L26" i="56"/>
  <c r="B26" i="56"/>
  <c r="X25" i="56"/>
  <c r="Z25" i="56" s="1"/>
  <c r="R25" i="56"/>
  <c r="N25" i="56"/>
  <c r="L25" i="56"/>
  <c r="F25" i="56"/>
  <c r="B25" i="56"/>
  <c r="Z24" i="56"/>
  <c r="X24" i="56"/>
  <c r="V24" i="56"/>
  <c r="R24" i="56"/>
  <c r="N24" i="56"/>
  <c r="L24" i="56"/>
  <c r="B24" i="56"/>
  <c r="X23" i="56"/>
  <c r="Z23" i="56" s="1"/>
  <c r="R23" i="56"/>
  <c r="L23" i="56"/>
  <c r="N23" i="56" s="1"/>
  <c r="F23" i="56"/>
  <c r="B23" i="56"/>
  <c r="Z22" i="56"/>
  <c r="X22" i="56"/>
  <c r="R22" i="56"/>
  <c r="N22" i="56"/>
  <c r="L22" i="56"/>
  <c r="B22" i="56"/>
  <c r="X21" i="56"/>
  <c r="Z21" i="56" s="1"/>
  <c r="R21" i="56"/>
  <c r="L21" i="56"/>
  <c r="N21" i="56" s="1"/>
  <c r="F21" i="56"/>
  <c r="B21" i="56"/>
  <c r="Z20" i="56"/>
  <c r="X20" i="56"/>
  <c r="V20" i="56"/>
  <c r="R20" i="56"/>
  <c r="N20" i="56"/>
  <c r="L20" i="56"/>
  <c r="B20" i="56"/>
  <c r="T19" i="56"/>
  <c r="P19" i="56"/>
  <c r="X19" i="56" s="1"/>
  <c r="L19" i="56"/>
  <c r="H19" i="56"/>
  <c r="N19" i="56" s="1"/>
  <c r="D19" i="56"/>
  <c r="B19" i="56"/>
  <c r="Z18" i="56"/>
  <c r="X18" i="56"/>
  <c r="T18" i="56"/>
  <c r="R18" i="56"/>
  <c r="P18" i="56"/>
  <c r="H18" i="56"/>
  <c r="F18" i="56"/>
  <c r="D18" i="56"/>
  <c r="L18" i="56" s="1"/>
  <c r="N18" i="56" s="1"/>
  <c r="R16" i="56"/>
  <c r="F16" i="56"/>
  <c r="Z14" i="56"/>
  <c r="X14" i="56"/>
  <c r="T14" i="56"/>
  <c r="R14" i="56"/>
  <c r="P14" i="56"/>
  <c r="P16" i="56" s="1"/>
  <c r="N14" i="56"/>
  <c r="H14" i="56"/>
  <c r="F14" i="56"/>
  <c r="D14" i="56"/>
  <c r="L14" i="56" s="1"/>
  <c r="Z12" i="56"/>
  <c r="T12" i="56"/>
  <c r="V63" i="56" s="1"/>
  <c r="P12" i="56"/>
  <c r="R80" i="56" s="1"/>
  <c r="N12" i="56"/>
  <c r="H12" i="56"/>
  <c r="J53" i="56" s="1"/>
  <c r="D12" i="56"/>
  <c r="F68" i="56" s="1"/>
  <c r="D6" i="56"/>
  <c r="D4" i="56"/>
  <c r="V40" i="55"/>
  <c r="J40" i="55"/>
  <c r="V37" i="55"/>
  <c r="J37" i="55"/>
  <c r="Z35" i="55"/>
  <c r="X35" i="55"/>
  <c r="V35" i="55"/>
  <c r="N35" i="55"/>
  <c r="L35" i="55"/>
  <c r="J35" i="55"/>
  <c r="V33" i="55"/>
  <c r="J33" i="55"/>
  <c r="F33" i="55"/>
  <c r="Z31" i="55"/>
  <c r="V31" i="55"/>
  <c r="T31" i="55"/>
  <c r="P31" i="55"/>
  <c r="X31" i="55" s="1"/>
  <c r="N31" i="55"/>
  <c r="L31" i="55"/>
  <c r="J31" i="55"/>
  <c r="H31" i="55"/>
  <c r="D31" i="55"/>
  <c r="Z29" i="55"/>
  <c r="X29" i="55"/>
  <c r="V29" i="55"/>
  <c r="N29" i="55"/>
  <c r="L29" i="55"/>
  <c r="J29" i="55"/>
  <c r="B29" i="55"/>
  <c r="X28" i="55"/>
  <c r="Z28" i="55" s="1"/>
  <c r="V28" i="55"/>
  <c r="L28" i="55"/>
  <c r="N28" i="55" s="1"/>
  <c r="B28" i="55"/>
  <c r="Z27" i="55"/>
  <c r="X27" i="55"/>
  <c r="V27" i="55"/>
  <c r="T27" i="55"/>
  <c r="R27" i="55"/>
  <c r="P27" i="55"/>
  <c r="J27" i="55"/>
  <c r="H27" i="55"/>
  <c r="D27" i="55"/>
  <c r="L27" i="55" s="1"/>
  <c r="N27" i="55" s="1"/>
  <c r="B27" i="55"/>
  <c r="X26" i="55"/>
  <c r="Z26" i="55" s="1"/>
  <c r="R26" i="55"/>
  <c r="L26" i="55"/>
  <c r="N26" i="55" s="1"/>
  <c r="B26" i="55"/>
  <c r="V25" i="55"/>
  <c r="T25" i="55"/>
  <c r="X25" i="55" s="1"/>
  <c r="Z25" i="55" s="1"/>
  <c r="P25" i="55"/>
  <c r="N25" i="55"/>
  <c r="L25" i="55"/>
  <c r="J25" i="55"/>
  <c r="H25" i="55"/>
  <c r="D25" i="55"/>
  <c r="B25" i="55"/>
  <c r="X24" i="55"/>
  <c r="Z24" i="55" s="1"/>
  <c r="V24" i="55"/>
  <c r="L24" i="55"/>
  <c r="N24" i="55" s="1"/>
  <c r="B24" i="55"/>
  <c r="V23" i="55"/>
  <c r="T23" i="55"/>
  <c r="R23" i="55"/>
  <c r="P23" i="55"/>
  <c r="X23" i="55" s="1"/>
  <c r="Z23" i="55" s="1"/>
  <c r="J23" i="55"/>
  <c r="H23" i="55"/>
  <c r="D23" i="55"/>
  <c r="L23" i="55" s="1"/>
  <c r="N23" i="55" s="1"/>
  <c r="B23" i="55"/>
  <c r="X22" i="55"/>
  <c r="Z22" i="55" s="1"/>
  <c r="V22" i="55"/>
  <c r="R22" i="55"/>
  <c r="L22" i="55"/>
  <c r="N22" i="55" s="1"/>
  <c r="B22" i="55"/>
  <c r="V21" i="55"/>
  <c r="T21" i="55"/>
  <c r="P21" i="55"/>
  <c r="X21" i="55" s="1"/>
  <c r="Z21" i="55" s="1"/>
  <c r="N21" i="55"/>
  <c r="L21" i="55"/>
  <c r="J21" i="55"/>
  <c r="H21" i="55"/>
  <c r="F21" i="55"/>
  <c r="D21" i="55"/>
  <c r="B21" i="55"/>
  <c r="X20" i="55"/>
  <c r="Z20" i="55" s="1"/>
  <c r="L20" i="55"/>
  <c r="N20" i="55" s="1"/>
  <c r="J20" i="55"/>
  <c r="B20" i="55"/>
  <c r="Z19" i="55"/>
  <c r="X19" i="55"/>
  <c r="V19" i="55"/>
  <c r="T19" i="55"/>
  <c r="P19" i="55"/>
  <c r="J19" i="55"/>
  <c r="H19" i="55"/>
  <c r="L19" i="55" s="1"/>
  <c r="N19" i="55" s="1"/>
  <c r="D19" i="55"/>
  <c r="B19" i="55"/>
  <c r="T18" i="55"/>
  <c r="P18" i="55"/>
  <c r="J18" i="55"/>
  <c r="H18" i="55"/>
  <c r="D18" i="55"/>
  <c r="L18" i="55" s="1"/>
  <c r="J16" i="55"/>
  <c r="D16" i="55"/>
  <c r="D33" i="55" s="1"/>
  <c r="T14" i="55"/>
  <c r="Z14" i="55" s="1"/>
  <c r="P14" i="55"/>
  <c r="L14" i="55"/>
  <c r="J14" i="55"/>
  <c r="H14" i="55"/>
  <c r="N14" i="55" s="1"/>
  <c r="D14" i="55"/>
  <c r="Z12" i="55"/>
  <c r="T12" i="55"/>
  <c r="V18" i="55" s="1"/>
  <c r="P12" i="55"/>
  <c r="R28" i="55" s="1"/>
  <c r="H12" i="55"/>
  <c r="J24" i="55" s="1"/>
  <c r="D12" i="55"/>
  <c r="F22" i="55" s="1"/>
  <c r="D6" i="55"/>
  <c r="D4" i="55"/>
  <c r="X29" i="54"/>
  <c r="T29" i="54"/>
  <c r="Z29" i="54" s="1"/>
  <c r="P29" i="54"/>
  <c r="H29" i="54"/>
  <c r="D29" i="54"/>
  <c r="X28" i="54"/>
  <c r="T28" i="54"/>
  <c r="Z28" i="54" s="1"/>
  <c r="P28" i="54"/>
  <c r="H28" i="54"/>
  <c r="D28" i="54"/>
  <c r="Z24" i="54"/>
  <c r="X24" i="54"/>
  <c r="N24" i="54"/>
  <c r="L24" i="54"/>
  <c r="P22" i="54"/>
  <c r="P26" i="54" s="1"/>
  <c r="P31" i="54" s="1"/>
  <c r="T20" i="54"/>
  <c r="Z20" i="54" s="1"/>
  <c r="P20" i="54"/>
  <c r="H20" i="54"/>
  <c r="D20" i="54"/>
  <c r="T18" i="54"/>
  <c r="Z18" i="54" s="1"/>
  <c r="P18" i="54"/>
  <c r="H18" i="54"/>
  <c r="D18" i="54"/>
  <c r="T16" i="54"/>
  <c r="Z16" i="54" s="1"/>
  <c r="P16" i="54"/>
  <c r="X16" i="54" s="1"/>
  <c r="H16" i="54"/>
  <c r="T14" i="54"/>
  <c r="Z14" i="54" s="1"/>
  <c r="P14" i="54"/>
  <c r="X14" i="54" s="1"/>
  <c r="H14" i="54"/>
  <c r="D14" i="54"/>
  <c r="X12" i="54"/>
  <c r="T12" i="54"/>
  <c r="V31" i="54" s="1"/>
  <c r="P12" i="54"/>
  <c r="L12" i="54"/>
  <c r="H12" i="54"/>
  <c r="J22" i="54" s="1"/>
  <c r="D12" i="54"/>
  <c r="F22" i="54" s="1"/>
  <c r="D6" i="54"/>
  <c r="D4" i="54"/>
  <c r="X103" i="51"/>
  <c r="Z103" i="51" s="1"/>
  <c r="L103" i="51"/>
  <c r="N103" i="51" s="1"/>
  <c r="X99" i="51"/>
  <c r="T99" i="51"/>
  <c r="P99" i="51"/>
  <c r="L99" i="51"/>
  <c r="N99" i="51" s="1"/>
  <c r="H99" i="51"/>
  <c r="D99" i="51"/>
  <c r="B99" i="51"/>
  <c r="T98" i="51"/>
  <c r="P98" i="51"/>
  <c r="H98" i="51"/>
  <c r="N98" i="51" s="1"/>
  <c r="D98" i="51"/>
  <c r="B98" i="51"/>
  <c r="T97" i="51"/>
  <c r="P97" i="51"/>
  <c r="H97" i="51"/>
  <c r="D97" i="51"/>
  <c r="D96" i="51" s="1"/>
  <c r="B97" i="51"/>
  <c r="X94" i="51"/>
  <c r="Z94" i="51" s="1"/>
  <c r="N94" i="51"/>
  <c r="L94" i="51"/>
  <c r="B94" i="51"/>
  <c r="T93" i="51"/>
  <c r="P93" i="51"/>
  <c r="X93" i="51" s="1"/>
  <c r="N93" i="51"/>
  <c r="H93" i="51"/>
  <c r="D93" i="51"/>
  <c r="L93" i="51" s="1"/>
  <c r="B93" i="51"/>
  <c r="Z92" i="51"/>
  <c r="X92" i="51"/>
  <c r="N92" i="51"/>
  <c r="L92" i="51"/>
  <c r="B92" i="51"/>
  <c r="T91" i="51"/>
  <c r="Z91" i="51" s="1"/>
  <c r="P91" i="51"/>
  <c r="X91" i="51" s="1"/>
  <c r="N91" i="51"/>
  <c r="H91" i="51"/>
  <c r="D91" i="51"/>
  <c r="L91" i="51" s="1"/>
  <c r="B91" i="51"/>
  <c r="Z90" i="51"/>
  <c r="X90" i="51"/>
  <c r="L90" i="51"/>
  <c r="N90" i="51" s="1"/>
  <c r="B90" i="51"/>
  <c r="X89" i="51"/>
  <c r="T89" i="51"/>
  <c r="P89" i="51"/>
  <c r="H89" i="51"/>
  <c r="D89" i="51"/>
  <c r="L89" i="51" s="1"/>
  <c r="B89" i="51"/>
  <c r="X88" i="51"/>
  <c r="Z88" i="51" s="1"/>
  <c r="N88" i="51"/>
  <c r="L88" i="51"/>
  <c r="B88" i="51"/>
  <c r="Z87" i="51"/>
  <c r="X87" i="51"/>
  <c r="L87" i="51"/>
  <c r="N87" i="51" s="1"/>
  <c r="B87" i="51"/>
  <c r="T86" i="51"/>
  <c r="P86" i="51"/>
  <c r="H86" i="51"/>
  <c r="L86" i="51" s="1"/>
  <c r="N86" i="51" s="1"/>
  <c r="D86" i="51"/>
  <c r="B86" i="51"/>
  <c r="Z85" i="51"/>
  <c r="X85" i="51"/>
  <c r="L85" i="51"/>
  <c r="N85" i="51" s="1"/>
  <c r="B85" i="51"/>
  <c r="T84" i="51"/>
  <c r="P84" i="51"/>
  <c r="H84" i="51"/>
  <c r="N84" i="51" s="1"/>
  <c r="D84" i="51"/>
  <c r="L84" i="51" s="1"/>
  <c r="B84" i="51"/>
  <c r="X83" i="51"/>
  <c r="Z83" i="51" s="1"/>
  <c r="N83" i="51"/>
  <c r="L83" i="51"/>
  <c r="B83" i="51"/>
  <c r="T82" i="51"/>
  <c r="P82" i="51"/>
  <c r="X82" i="51" s="1"/>
  <c r="Z82" i="51" s="1"/>
  <c r="L82" i="51"/>
  <c r="N82" i="51" s="1"/>
  <c r="H82" i="51"/>
  <c r="D82" i="51"/>
  <c r="B82" i="51"/>
  <c r="Z81" i="51"/>
  <c r="X81" i="51"/>
  <c r="N81" i="51"/>
  <c r="L81" i="51"/>
  <c r="B81" i="51"/>
  <c r="T80" i="51"/>
  <c r="P80" i="51"/>
  <c r="N80" i="51"/>
  <c r="H80" i="51"/>
  <c r="L80" i="51" s="1"/>
  <c r="D80" i="51"/>
  <c r="B80" i="51"/>
  <c r="Z79" i="51"/>
  <c r="X79" i="51"/>
  <c r="L79" i="51"/>
  <c r="N79" i="51" s="1"/>
  <c r="B79" i="51"/>
  <c r="T78" i="51"/>
  <c r="P78" i="51"/>
  <c r="H78" i="51"/>
  <c r="N78" i="51" s="1"/>
  <c r="D78" i="51"/>
  <c r="L78" i="51" s="1"/>
  <c r="B78" i="51"/>
  <c r="X77" i="51"/>
  <c r="Z77" i="51" s="1"/>
  <c r="N77" i="51"/>
  <c r="L77" i="51"/>
  <c r="B77" i="51"/>
  <c r="T76" i="51"/>
  <c r="P76" i="51"/>
  <c r="X76" i="51" s="1"/>
  <c r="Z76" i="51" s="1"/>
  <c r="L76" i="51"/>
  <c r="N76" i="51" s="1"/>
  <c r="H76" i="51"/>
  <c r="D76" i="51"/>
  <c r="B76" i="51"/>
  <c r="Z75" i="51"/>
  <c r="X75" i="51"/>
  <c r="L75" i="51"/>
  <c r="N75" i="51" s="1"/>
  <c r="B75" i="51"/>
  <c r="T74" i="51"/>
  <c r="P74" i="51"/>
  <c r="H74" i="51"/>
  <c r="L74" i="51" s="1"/>
  <c r="N74" i="51" s="1"/>
  <c r="D74" i="51"/>
  <c r="B74" i="51"/>
  <c r="Z73" i="51"/>
  <c r="X73" i="51"/>
  <c r="L73" i="51"/>
  <c r="N73" i="51" s="1"/>
  <c r="B73" i="51"/>
  <c r="T72" i="51"/>
  <c r="P72" i="51"/>
  <c r="H72" i="51"/>
  <c r="D72" i="51"/>
  <c r="L72" i="51" s="1"/>
  <c r="B72" i="51"/>
  <c r="X71" i="51"/>
  <c r="Z71" i="51" s="1"/>
  <c r="N71" i="51"/>
  <c r="L71" i="51"/>
  <c r="B71" i="51"/>
  <c r="Z70" i="51"/>
  <c r="X70" i="51"/>
  <c r="N70" i="51"/>
  <c r="L70" i="51"/>
  <c r="B70" i="51"/>
  <c r="X69" i="51"/>
  <c r="Z69" i="51" s="1"/>
  <c r="L69" i="51"/>
  <c r="N69" i="51" s="1"/>
  <c r="B69" i="51"/>
  <c r="Z68" i="51"/>
  <c r="X68" i="51"/>
  <c r="L68" i="51"/>
  <c r="N68" i="51" s="1"/>
  <c r="B68" i="51"/>
  <c r="T67" i="51"/>
  <c r="P67" i="51"/>
  <c r="H67" i="51"/>
  <c r="D67" i="51"/>
  <c r="L67" i="51" s="1"/>
  <c r="B67" i="51"/>
  <c r="Z66" i="51"/>
  <c r="X66" i="51"/>
  <c r="N66" i="51"/>
  <c r="L66" i="51"/>
  <c r="B66" i="51"/>
  <c r="X65" i="51"/>
  <c r="Z65" i="51" s="1"/>
  <c r="N65" i="51"/>
  <c r="L65" i="51"/>
  <c r="B65" i="51"/>
  <c r="Z64" i="51"/>
  <c r="X64" i="51"/>
  <c r="N64" i="51"/>
  <c r="L64" i="51"/>
  <c r="B64" i="51"/>
  <c r="X63" i="51"/>
  <c r="Z63" i="51" s="1"/>
  <c r="N63" i="51"/>
  <c r="L63" i="51"/>
  <c r="B63" i="51"/>
  <c r="Z62" i="51"/>
  <c r="X62" i="51"/>
  <c r="N62" i="51"/>
  <c r="L62" i="51"/>
  <c r="B62" i="51"/>
  <c r="Z61" i="51"/>
  <c r="X61" i="51"/>
  <c r="N61" i="51"/>
  <c r="L61" i="51"/>
  <c r="B61" i="51"/>
  <c r="Z60" i="51"/>
  <c r="X60" i="51"/>
  <c r="N60" i="51"/>
  <c r="L60" i="51"/>
  <c r="B60" i="51"/>
  <c r="Z59" i="51"/>
  <c r="X59" i="51"/>
  <c r="N59" i="51"/>
  <c r="L59" i="51"/>
  <c r="B59" i="51"/>
  <c r="X58" i="51"/>
  <c r="Z58" i="51" s="1"/>
  <c r="N58" i="51"/>
  <c r="L58" i="51"/>
  <c r="B58" i="51"/>
  <c r="T57" i="51"/>
  <c r="P57" i="51"/>
  <c r="N57" i="51"/>
  <c r="H57" i="51"/>
  <c r="D57" i="51"/>
  <c r="L57" i="51" s="1"/>
  <c r="B57" i="51"/>
  <c r="Z56" i="51"/>
  <c r="T56" i="51"/>
  <c r="P56" i="51"/>
  <c r="X56" i="51" s="1"/>
  <c r="H56" i="51"/>
  <c r="D56" i="51"/>
  <c r="Z52" i="51"/>
  <c r="X52" i="51"/>
  <c r="N52" i="51"/>
  <c r="L52" i="51"/>
  <c r="B52" i="51"/>
  <c r="X51" i="51"/>
  <c r="Z51" i="51" s="1"/>
  <c r="N51" i="51"/>
  <c r="L51" i="51"/>
  <c r="B51" i="51"/>
  <c r="Z50" i="51"/>
  <c r="X50" i="51"/>
  <c r="N50" i="51"/>
  <c r="L50" i="51"/>
  <c r="B50" i="51"/>
  <c r="Z49" i="51"/>
  <c r="X49" i="51"/>
  <c r="N49" i="51"/>
  <c r="L49" i="51"/>
  <c r="B49" i="51"/>
  <c r="Z48" i="51"/>
  <c r="X48" i="51"/>
  <c r="L48" i="51"/>
  <c r="N48" i="51" s="1"/>
  <c r="B48" i="51"/>
  <c r="X47" i="51"/>
  <c r="Z47" i="51" s="1"/>
  <c r="L47" i="51"/>
  <c r="N47" i="51" s="1"/>
  <c r="B47" i="51"/>
  <c r="Z46" i="51"/>
  <c r="X46" i="51"/>
  <c r="L46" i="51"/>
  <c r="N46" i="51" s="1"/>
  <c r="B46" i="51"/>
  <c r="Z45" i="51"/>
  <c r="X45" i="51"/>
  <c r="N45" i="51"/>
  <c r="L45" i="51"/>
  <c r="B45" i="51"/>
  <c r="Z44" i="51"/>
  <c r="X44" i="51"/>
  <c r="N44" i="51"/>
  <c r="L44" i="51"/>
  <c r="B44" i="51"/>
  <c r="X43" i="51"/>
  <c r="Z43" i="51" s="1"/>
  <c r="N43" i="51"/>
  <c r="L43" i="51"/>
  <c r="B43" i="51"/>
  <c r="Z42" i="51"/>
  <c r="X42" i="51"/>
  <c r="N42" i="51"/>
  <c r="L42" i="51"/>
  <c r="B42" i="51"/>
  <c r="X41" i="51"/>
  <c r="Z41" i="51" s="1"/>
  <c r="L41" i="51"/>
  <c r="N41" i="51" s="1"/>
  <c r="B41" i="51"/>
  <c r="Z40" i="51"/>
  <c r="X40" i="51"/>
  <c r="L40" i="51"/>
  <c r="N40" i="51" s="1"/>
  <c r="B40" i="51"/>
  <c r="Z39" i="51"/>
  <c r="X39" i="51"/>
  <c r="L39" i="51"/>
  <c r="N39" i="51" s="1"/>
  <c r="B39" i="51"/>
  <c r="T38" i="51"/>
  <c r="P38" i="51"/>
  <c r="H38" i="51"/>
  <c r="D38" i="51"/>
  <c r="T36" i="51"/>
  <c r="Z36" i="51" s="1"/>
  <c r="P36" i="51"/>
  <c r="N36" i="51"/>
  <c r="L36" i="51"/>
  <c r="H36" i="51"/>
  <c r="D36" i="51"/>
  <c r="B36" i="51"/>
  <c r="X35" i="51"/>
  <c r="T35" i="51"/>
  <c r="P35" i="51"/>
  <c r="H35" i="51"/>
  <c r="N35" i="51" s="1"/>
  <c r="D35" i="51"/>
  <c r="B35" i="51"/>
  <c r="Z34" i="51"/>
  <c r="T34" i="51"/>
  <c r="P34" i="51"/>
  <c r="L34" i="51"/>
  <c r="H34" i="51"/>
  <c r="N34" i="51" s="1"/>
  <c r="D34" i="51"/>
  <c r="B34" i="51"/>
  <c r="T33" i="51"/>
  <c r="Z33" i="51" s="1"/>
  <c r="P33" i="51"/>
  <c r="L33" i="51"/>
  <c r="H33" i="51"/>
  <c r="N33" i="51" s="1"/>
  <c r="D33" i="51"/>
  <c r="B33" i="51"/>
  <c r="T32" i="51"/>
  <c r="P32" i="51"/>
  <c r="H32" i="51"/>
  <c r="L32" i="51" s="1"/>
  <c r="D32" i="51"/>
  <c r="B32" i="51"/>
  <c r="Z31" i="51"/>
  <c r="X31" i="51"/>
  <c r="T31" i="51"/>
  <c r="P31" i="51"/>
  <c r="H31" i="51"/>
  <c r="N31" i="51" s="1"/>
  <c r="D31" i="51"/>
  <c r="B31" i="51"/>
  <c r="T30" i="51"/>
  <c r="Z30" i="51" s="1"/>
  <c r="P30" i="51"/>
  <c r="X30" i="51" s="1"/>
  <c r="N30" i="51"/>
  <c r="L30" i="51"/>
  <c r="H30" i="51"/>
  <c r="D30" i="51"/>
  <c r="B30" i="51"/>
  <c r="T29" i="51"/>
  <c r="X29" i="51" s="1"/>
  <c r="Z29" i="51" s="1"/>
  <c r="P29" i="51"/>
  <c r="H29" i="51"/>
  <c r="D29" i="51"/>
  <c r="B29" i="51"/>
  <c r="T28" i="51"/>
  <c r="P28" i="51"/>
  <c r="H28" i="51"/>
  <c r="D28" i="51"/>
  <c r="B28" i="51"/>
  <c r="X27" i="51"/>
  <c r="T27" i="51"/>
  <c r="P27" i="51"/>
  <c r="L27" i="51"/>
  <c r="H27" i="51"/>
  <c r="D27" i="51"/>
  <c r="B27" i="51"/>
  <c r="T26" i="51"/>
  <c r="P26" i="51"/>
  <c r="X26" i="51" s="1"/>
  <c r="Z26" i="51" s="1"/>
  <c r="N26" i="51"/>
  <c r="H26" i="51"/>
  <c r="L26" i="51" s="1"/>
  <c r="D26" i="51"/>
  <c r="B26" i="51"/>
  <c r="Z25" i="51"/>
  <c r="X25" i="51"/>
  <c r="T25" i="51"/>
  <c r="P25" i="51"/>
  <c r="L25" i="51"/>
  <c r="H25" i="51"/>
  <c r="D25" i="51"/>
  <c r="B25" i="51"/>
  <c r="T24" i="51"/>
  <c r="P24" i="51"/>
  <c r="N24" i="51"/>
  <c r="L24" i="51"/>
  <c r="H24" i="51"/>
  <c r="D24" i="51"/>
  <c r="B24" i="51"/>
  <c r="X23" i="51"/>
  <c r="Z23" i="51" s="1"/>
  <c r="T23" i="51"/>
  <c r="P23" i="51"/>
  <c r="H23" i="51"/>
  <c r="D23" i="51"/>
  <c r="B23" i="51"/>
  <c r="T22" i="51"/>
  <c r="P22" i="51"/>
  <c r="H22" i="51"/>
  <c r="D22" i="51"/>
  <c r="B22" i="51"/>
  <c r="T21" i="51"/>
  <c r="P21" i="51"/>
  <c r="X21" i="51" s="1"/>
  <c r="L21" i="51"/>
  <c r="H21" i="51"/>
  <c r="D21" i="51"/>
  <c r="B21" i="51"/>
  <c r="T20" i="51"/>
  <c r="P20" i="51"/>
  <c r="X20" i="51" s="1"/>
  <c r="Z20" i="51" s="1"/>
  <c r="H20" i="51"/>
  <c r="L20" i="51" s="1"/>
  <c r="D20" i="51"/>
  <c r="B20" i="51"/>
  <c r="Z19" i="51"/>
  <c r="X19" i="51"/>
  <c r="T19" i="51"/>
  <c r="P19" i="51"/>
  <c r="H19" i="51"/>
  <c r="D19" i="51"/>
  <c r="B19" i="51"/>
  <c r="T18" i="51"/>
  <c r="P18" i="51"/>
  <c r="X18" i="51" s="1"/>
  <c r="N18" i="51"/>
  <c r="L18" i="51"/>
  <c r="H18" i="51"/>
  <c r="D18" i="51"/>
  <c r="B18" i="51"/>
  <c r="T17" i="51"/>
  <c r="X17" i="51" s="1"/>
  <c r="Z17" i="51" s="1"/>
  <c r="P17" i="51"/>
  <c r="H17" i="51"/>
  <c r="D17" i="51"/>
  <c r="B17" i="51"/>
  <c r="T16" i="51"/>
  <c r="P16" i="51"/>
  <c r="L16" i="51"/>
  <c r="H16" i="51"/>
  <c r="D16" i="51"/>
  <c r="B16" i="51"/>
  <c r="T15" i="51"/>
  <c r="P15" i="51"/>
  <c r="X15" i="51" s="1"/>
  <c r="L15" i="51"/>
  <c r="H15" i="51"/>
  <c r="D15" i="51"/>
  <c r="B15" i="51"/>
  <c r="T14" i="51"/>
  <c r="T12" i="51" s="1"/>
  <c r="P14" i="51"/>
  <c r="N14" i="51"/>
  <c r="H14" i="51"/>
  <c r="L14" i="51" s="1"/>
  <c r="D14" i="51"/>
  <c r="B14" i="51"/>
  <c r="Z13" i="51"/>
  <c r="X13" i="51"/>
  <c r="T13" i="51"/>
  <c r="P13" i="51"/>
  <c r="H13" i="51"/>
  <c r="D13" i="51"/>
  <c r="D12" i="51" s="1"/>
  <c r="F62" i="51" s="1"/>
  <c r="B13" i="51"/>
  <c r="D4" i="51"/>
  <c r="Z71" i="48"/>
  <c r="X71" i="48"/>
  <c r="L71" i="48"/>
  <c r="N71" i="48" s="1"/>
  <c r="Z67" i="48"/>
  <c r="X67" i="48"/>
  <c r="T67" i="48"/>
  <c r="P67" i="48"/>
  <c r="L67" i="48"/>
  <c r="H67" i="48"/>
  <c r="N67" i="48" s="1"/>
  <c r="D67" i="48"/>
  <c r="B67" i="48"/>
  <c r="Z66" i="48"/>
  <c r="X66" i="48"/>
  <c r="T66" i="48"/>
  <c r="T65" i="48" s="1"/>
  <c r="P66" i="48"/>
  <c r="H66" i="48"/>
  <c r="D66" i="48"/>
  <c r="L66" i="48" s="1"/>
  <c r="N66" i="48" s="1"/>
  <c r="B66" i="48"/>
  <c r="Z65" i="48"/>
  <c r="X65" i="48"/>
  <c r="P65" i="48"/>
  <c r="H65" i="48"/>
  <c r="D65" i="48"/>
  <c r="L65" i="48" s="1"/>
  <c r="Z63" i="48"/>
  <c r="X63" i="48"/>
  <c r="N63" i="48"/>
  <c r="L63" i="48"/>
  <c r="B63" i="48"/>
  <c r="T62" i="48"/>
  <c r="P62" i="48"/>
  <c r="X62" i="48" s="1"/>
  <c r="Z62" i="48" s="1"/>
  <c r="N62" i="48"/>
  <c r="L62" i="48"/>
  <c r="H62" i="48"/>
  <c r="D62" i="48"/>
  <c r="B62" i="48"/>
  <c r="X61" i="48"/>
  <c r="Z61" i="48" s="1"/>
  <c r="N61" i="48"/>
  <c r="L61" i="48"/>
  <c r="B61" i="48"/>
  <c r="T60" i="48"/>
  <c r="P60" i="48"/>
  <c r="X60" i="48" s="1"/>
  <c r="L60" i="48"/>
  <c r="H60" i="48"/>
  <c r="D60" i="48"/>
  <c r="B60" i="48"/>
  <c r="Z59" i="48"/>
  <c r="X59" i="48"/>
  <c r="N59" i="48"/>
  <c r="L59" i="48"/>
  <c r="B59" i="48"/>
  <c r="Z58" i="48"/>
  <c r="X58" i="48"/>
  <c r="N58" i="48"/>
  <c r="L58" i="48"/>
  <c r="B58" i="48"/>
  <c r="Z57" i="48"/>
  <c r="X57" i="48"/>
  <c r="L57" i="48"/>
  <c r="N57" i="48" s="1"/>
  <c r="B57" i="48"/>
  <c r="Z56" i="48"/>
  <c r="X56" i="48"/>
  <c r="N56" i="48"/>
  <c r="L56" i="48"/>
  <c r="B56" i="48"/>
  <c r="X55" i="48"/>
  <c r="T55" i="48"/>
  <c r="Z55" i="48" s="1"/>
  <c r="P55" i="48"/>
  <c r="N55" i="48"/>
  <c r="L55" i="48"/>
  <c r="H55" i="48"/>
  <c r="D55" i="48"/>
  <c r="B55" i="48"/>
  <c r="Z54" i="48"/>
  <c r="X54" i="48"/>
  <c r="N54" i="48"/>
  <c r="L54" i="48"/>
  <c r="B54" i="48"/>
  <c r="Z53" i="48"/>
  <c r="X53" i="48"/>
  <c r="N53" i="48"/>
  <c r="L53" i="48"/>
  <c r="B53" i="48"/>
  <c r="Z52" i="48"/>
  <c r="X52" i="48"/>
  <c r="T52" i="48"/>
  <c r="P52" i="48"/>
  <c r="N52" i="48"/>
  <c r="H52" i="48"/>
  <c r="D52" i="48"/>
  <c r="L52" i="48" s="1"/>
  <c r="B52" i="48"/>
  <c r="Z51" i="48"/>
  <c r="X51" i="48"/>
  <c r="L51" i="48"/>
  <c r="N51" i="48" s="1"/>
  <c r="B51" i="48"/>
  <c r="X50" i="48"/>
  <c r="T50" i="48"/>
  <c r="P50" i="48"/>
  <c r="H50" i="48"/>
  <c r="D50" i="48"/>
  <c r="L50" i="48" s="1"/>
  <c r="B50" i="48"/>
  <c r="Z49" i="48"/>
  <c r="X49" i="48"/>
  <c r="N49" i="48"/>
  <c r="L49" i="48"/>
  <c r="B49" i="48"/>
  <c r="T48" i="48"/>
  <c r="P48" i="48"/>
  <c r="N48" i="48"/>
  <c r="H48" i="48"/>
  <c r="D48" i="48"/>
  <c r="L48" i="48" s="1"/>
  <c r="B48" i="48"/>
  <c r="Z47" i="48"/>
  <c r="X47" i="48"/>
  <c r="N47" i="48"/>
  <c r="L47" i="48"/>
  <c r="B47" i="48"/>
  <c r="T46" i="48"/>
  <c r="P46" i="48"/>
  <c r="X46" i="48" s="1"/>
  <c r="Z46" i="48" s="1"/>
  <c r="N46" i="48"/>
  <c r="L46" i="48"/>
  <c r="H46" i="48"/>
  <c r="D46" i="48"/>
  <c r="B46" i="48"/>
  <c r="X45" i="48"/>
  <c r="Z45" i="48" s="1"/>
  <c r="N45" i="48"/>
  <c r="L45" i="48"/>
  <c r="B45" i="48"/>
  <c r="T44" i="48"/>
  <c r="Z44" i="48" s="1"/>
  <c r="P44" i="48"/>
  <c r="X44" i="48" s="1"/>
  <c r="L44" i="48"/>
  <c r="H44" i="48"/>
  <c r="D44" i="48"/>
  <c r="B44" i="48"/>
  <c r="X43" i="48"/>
  <c r="Z43" i="48" s="1"/>
  <c r="N43" i="48"/>
  <c r="L43" i="48"/>
  <c r="B43" i="48"/>
  <c r="T42" i="48"/>
  <c r="P42" i="48"/>
  <c r="X42" i="48" s="1"/>
  <c r="Z42" i="48" s="1"/>
  <c r="H42" i="48"/>
  <c r="N42" i="48" s="1"/>
  <c r="D42" i="48"/>
  <c r="B42" i="48"/>
  <c r="Z41" i="48"/>
  <c r="X41" i="48"/>
  <c r="N41" i="48"/>
  <c r="L41" i="48"/>
  <c r="B41" i="48"/>
  <c r="Z40" i="48"/>
  <c r="X40" i="48"/>
  <c r="T40" i="48"/>
  <c r="P40" i="48"/>
  <c r="N40" i="48"/>
  <c r="H40" i="48"/>
  <c r="D40" i="48"/>
  <c r="L40" i="48" s="1"/>
  <c r="B40" i="48"/>
  <c r="Z39" i="48"/>
  <c r="X39" i="48"/>
  <c r="L39" i="48"/>
  <c r="N39" i="48" s="1"/>
  <c r="B39" i="48"/>
  <c r="X38" i="48"/>
  <c r="T38" i="48"/>
  <c r="Z38" i="48" s="1"/>
  <c r="P38" i="48"/>
  <c r="H38" i="48"/>
  <c r="N38" i="48" s="1"/>
  <c r="D38" i="48"/>
  <c r="L38" i="48" s="1"/>
  <c r="B38" i="48"/>
  <c r="Z37" i="48"/>
  <c r="X37" i="48"/>
  <c r="N37" i="48"/>
  <c r="L37" i="48"/>
  <c r="B37" i="48"/>
  <c r="T36" i="48"/>
  <c r="P36" i="48"/>
  <c r="H36" i="48"/>
  <c r="D36" i="48"/>
  <c r="L36" i="48" s="1"/>
  <c r="N36" i="48" s="1"/>
  <c r="B36" i="48"/>
  <c r="Z35" i="48"/>
  <c r="X35" i="48"/>
  <c r="N35" i="48"/>
  <c r="L35" i="48"/>
  <c r="B35" i="48"/>
  <c r="Z34" i="48"/>
  <c r="X34" i="48"/>
  <c r="L34" i="48"/>
  <c r="N34" i="48" s="1"/>
  <c r="B34" i="48"/>
  <c r="Z33" i="48"/>
  <c r="X33" i="48"/>
  <c r="L33" i="48"/>
  <c r="N33" i="48" s="1"/>
  <c r="B33" i="48"/>
  <c r="Z32" i="48"/>
  <c r="X32" i="48"/>
  <c r="L32" i="48"/>
  <c r="N32" i="48" s="1"/>
  <c r="B32" i="48"/>
  <c r="Z31" i="48"/>
  <c r="X31" i="48"/>
  <c r="N31" i="48"/>
  <c r="L31" i="48"/>
  <c r="B31" i="48"/>
  <c r="Z30" i="48"/>
  <c r="X30" i="48"/>
  <c r="L30" i="48"/>
  <c r="N30" i="48" s="1"/>
  <c r="B30" i="48"/>
  <c r="T29" i="48"/>
  <c r="P29" i="48"/>
  <c r="X29" i="48" s="1"/>
  <c r="H29" i="48"/>
  <c r="N29" i="48" s="1"/>
  <c r="D29" i="48"/>
  <c r="L29" i="48" s="1"/>
  <c r="B29" i="48"/>
  <c r="X28" i="48"/>
  <c r="Z28" i="48" s="1"/>
  <c r="N28" i="48"/>
  <c r="L28" i="48"/>
  <c r="F28" i="48"/>
  <c r="B28" i="48"/>
  <c r="Z27" i="48"/>
  <c r="X27" i="48"/>
  <c r="L27" i="48"/>
  <c r="N27" i="48" s="1"/>
  <c r="B27" i="48"/>
  <c r="X26" i="48"/>
  <c r="Z26" i="48" s="1"/>
  <c r="N26" i="48"/>
  <c r="L26" i="48"/>
  <c r="B26" i="48"/>
  <c r="X25" i="48"/>
  <c r="Z25" i="48" s="1"/>
  <c r="N25" i="48"/>
  <c r="L25" i="48"/>
  <c r="B25" i="48"/>
  <c r="X24" i="48"/>
  <c r="Z24" i="48" s="1"/>
  <c r="N24" i="48"/>
  <c r="L24" i="48"/>
  <c r="B24" i="48"/>
  <c r="Z23" i="48"/>
  <c r="X23" i="48"/>
  <c r="L23" i="48"/>
  <c r="N23" i="48" s="1"/>
  <c r="B23" i="48"/>
  <c r="X22" i="48"/>
  <c r="Z22" i="48" s="1"/>
  <c r="N22" i="48"/>
  <c r="L22" i="48"/>
  <c r="B22" i="48"/>
  <c r="X21" i="48"/>
  <c r="Z21" i="48" s="1"/>
  <c r="N21" i="48"/>
  <c r="L21" i="48"/>
  <c r="B21" i="48"/>
  <c r="T20" i="48"/>
  <c r="P20" i="48"/>
  <c r="X20" i="48" s="1"/>
  <c r="L20" i="48"/>
  <c r="H20" i="48"/>
  <c r="N20" i="48" s="1"/>
  <c r="D20" i="48"/>
  <c r="B20" i="48"/>
  <c r="T19" i="48"/>
  <c r="P19" i="48"/>
  <c r="N19" i="48"/>
  <c r="L19" i="48"/>
  <c r="H19" i="48"/>
  <c r="D19" i="48"/>
  <c r="T15" i="48"/>
  <c r="Z15" i="48" s="1"/>
  <c r="P15" i="48"/>
  <c r="N15" i="48"/>
  <c r="L15" i="48"/>
  <c r="H15" i="48"/>
  <c r="D15" i="48"/>
  <c r="T13" i="48"/>
  <c r="T12" i="48" s="1"/>
  <c r="V47" i="48" s="1"/>
  <c r="P13" i="48"/>
  <c r="P12" i="48" s="1"/>
  <c r="H13" i="48"/>
  <c r="D13" i="48"/>
  <c r="D12" i="48" s="1"/>
  <c r="B13" i="48"/>
  <c r="D4" i="48"/>
  <c r="X94" i="45"/>
  <c r="Z94" i="45" s="1"/>
  <c r="L94" i="45"/>
  <c r="N94" i="45" s="1"/>
  <c r="T90" i="45"/>
  <c r="Z90" i="45" s="1"/>
  <c r="P90" i="45"/>
  <c r="X90" i="45" s="1"/>
  <c r="H90" i="45"/>
  <c r="N90" i="45" s="1"/>
  <c r="D90" i="45"/>
  <c r="L90" i="45" s="1"/>
  <c r="Z88" i="45"/>
  <c r="X88" i="45"/>
  <c r="L88" i="45"/>
  <c r="N88" i="45" s="1"/>
  <c r="B88" i="45"/>
  <c r="Z87" i="45"/>
  <c r="X87" i="45"/>
  <c r="L87" i="45"/>
  <c r="N87" i="45" s="1"/>
  <c r="B87" i="45"/>
  <c r="T86" i="45"/>
  <c r="Z86" i="45" s="1"/>
  <c r="P86" i="45"/>
  <c r="X86" i="45" s="1"/>
  <c r="H86" i="45"/>
  <c r="D86" i="45"/>
  <c r="L86" i="45" s="1"/>
  <c r="B86" i="45"/>
  <c r="X85" i="45"/>
  <c r="Z85" i="45" s="1"/>
  <c r="N85" i="45"/>
  <c r="L85" i="45"/>
  <c r="F85" i="45"/>
  <c r="B85" i="45"/>
  <c r="T84" i="45"/>
  <c r="P84" i="45"/>
  <c r="X84" i="45" s="1"/>
  <c r="Z84" i="45" s="1"/>
  <c r="L84" i="45"/>
  <c r="N84" i="45" s="1"/>
  <c r="H84" i="45"/>
  <c r="F84" i="45"/>
  <c r="D84" i="45"/>
  <c r="B84" i="45"/>
  <c r="Z83" i="45"/>
  <c r="X83" i="45"/>
  <c r="N83" i="45"/>
  <c r="L83" i="45"/>
  <c r="B83" i="45"/>
  <c r="Z82" i="45"/>
  <c r="X82" i="45"/>
  <c r="T82" i="45"/>
  <c r="P82" i="45"/>
  <c r="H82" i="45"/>
  <c r="D82" i="45"/>
  <c r="B82" i="45"/>
  <c r="Z81" i="45"/>
  <c r="X81" i="45"/>
  <c r="N81" i="45"/>
  <c r="L81" i="45"/>
  <c r="B81" i="45"/>
  <c r="Z80" i="45"/>
  <c r="X80" i="45"/>
  <c r="L80" i="45"/>
  <c r="N80" i="45" s="1"/>
  <c r="B80" i="45"/>
  <c r="Z79" i="45"/>
  <c r="X79" i="45"/>
  <c r="N79" i="45"/>
  <c r="L79" i="45"/>
  <c r="B79" i="45"/>
  <c r="X78" i="45"/>
  <c r="Z78" i="45" s="1"/>
  <c r="L78" i="45"/>
  <c r="N78" i="45" s="1"/>
  <c r="B78" i="45"/>
  <c r="Z77" i="45"/>
  <c r="X77" i="45"/>
  <c r="N77" i="45"/>
  <c r="L77" i="45"/>
  <c r="B77" i="45"/>
  <c r="Z76" i="45"/>
  <c r="X76" i="45"/>
  <c r="L76" i="45"/>
  <c r="N76" i="45" s="1"/>
  <c r="B76" i="45"/>
  <c r="Z75" i="45"/>
  <c r="X75" i="45"/>
  <c r="L75" i="45"/>
  <c r="N75" i="45" s="1"/>
  <c r="B75" i="45"/>
  <c r="X74" i="45"/>
  <c r="Z74" i="45" s="1"/>
  <c r="N74" i="45"/>
  <c r="L74" i="45"/>
  <c r="B74" i="45"/>
  <c r="Z73" i="45"/>
  <c r="X73" i="45"/>
  <c r="T73" i="45"/>
  <c r="P73" i="45"/>
  <c r="H73" i="45"/>
  <c r="D73" i="45"/>
  <c r="L73" i="45" s="1"/>
  <c r="N73" i="45" s="1"/>
  <c r="B73" i="45"/>
  <c r="X72" i="45"/>
  <c r="Z72" i="45" s="1"/>
  <c r="L72" i="45"/>
  <c r="N72" i="45" s="1"/>
  <c r="B72" i="45"/>
  <c r="X71" i="45"/>
  <c r="Z71" i="45" s="1"/>
  <c r="N71" i="45"/>
  <c r="L71" i="45"/>
  <c r="B71" i="45"/>
  <c r="X70" i="45"/>
  <c r="Z70" i="45" s="1"/>
  <c r="N70" i="45"/>
  <c r="L70" i="45"/>
  <c r="B70" i="45"/>
  <c r="T69" i="45"/>
  <c r="Z69" i="45" s="1"/>
  <c r="P69" i="45"/>
  <c r="X69" i="45" s="1"/>
  <c r="L69" i="45"/>
  <c r="H69" i="45"/>
  <c r="N69" i="45" s="1"/>
  <c r="D69" i="45"/>
  <c r="B69" i="45"/>
  <c r="X68" i="45"/>
  <c r="Z68" i="45" s="1"/>
  <c r="N68" i="45"/>
  <c r="L68" i="45"/>
  <c r="B68" i="45"/>
  <c r="Z67" i="45"/>
  <c r="X67" i="45"/>
  <c r="N67" i="45"/>
  <c r="L67" i="45"/>
  <c r="B67" i="45"/>
  <c r="Z66" i="45"/>
  <c r="X66" i="45"/>
  <c r="N66" i="45"/>
  <c r="L66" i="45"/>
  <c r="B66" i="45"/>
  <c r="T65" i="45"/>
  <c r="P65" i="45"/>
  <c r="H65" i="45"/>
  <c r="D65" i="45"/>
  <c r="L65" i="45" s="1"/>
  <c r="N65" i="45" s="1"/>
  <c r="B65" i="45"/>
  <c r="Z64" i="45"/>
  <c r="X64" i="45"/>
  <c r="L64" i="45"/>
  <c r="N64" i="45" s="1"/>
  <c r="B64" i="45"/>
  <c r="T63" i="45"/>
  <c r="P63" i="45"/>
  <c r="X63" i="45" s="1"/>
  <c r="Z63" i="45" s="1"/>
  <c r="N63" i="45"/>
  <c r="L63" i="45"/>
  <c r="H63" i="45"/>
  <c r="D63" i="45"/>
  <c r="B63" i="45"/>
  <c r="X62" i="45"/>
  <c r="Z62" i="45" s="1"/>
  <c r="N62" i="45"/>
  <c r="L62" i="45"/>
  <c r="B62" i="45"/>
  <c r="T61" i="45"/>
  <c r="P61" i="45"/>
  <c r="X61" i="45" s="1"/>
  <c r="L61" i="45"/>
  <c r="H61" i="45"/>
  <c r="D61" i="45"/>
  <c r="B61" i="45"/>
  <c r="X60" i="45"/>
  <c r="Z60" i="45" s="1"/>
  <c r="N60" i="45"/>
  <c r="L60" i="45"/>
  <c r="B60" i="45"/>
  <c r="T59" i="45"/>
  <c r="P59" i="45"/>
  <c r="X59" i="45" s="1"/>
  <c r="Z59" i="45" s="1"/>
  <c r="H59" i="45"/>
  <c r="D59" i="45"/>
  <c r="B59" i="45"/>
  <c r="Z58" i="45"/>
  <c r="X58" i="45"/>
  <c r="N58" i="45"/>
  <c r="L58" i="45"/>
  <c r="B58" i="45"/>
  <c r="Z57" i="45"/>
  <c r="X57" i="45"/>
  <c r="T57" i="45"/>
  <c r="P57" i="45"/>
  <c r="N57" i="45"/>
  <c r="H57" i="45"/>
  <c r="D57" i="45"/>
  <c r="L57" i="45" s="1"/>
  <c r="B57" i="45"/>
  <c r="X56" i="45"/>
  <c r="Z56" i="45" s="1"/>
  <c r="L56" i="45"/>
  <c r="N56" i="45" s="1"/>
  <c r="B56" i="45"/>
  <c r="X55" i="45"/>
  <c r="T55" i="45"/>
  <c r="Z55" i="45" s="1"/>
  <c r="P55" i="45"/>
  <c r="H55" i="45"/>
  <c r="N55" i="45" s="1"/>
  <c r="D55" i="45"/>
  <c r="L55" i="45" s="1"/>
  <c r="B55" i="45"/>
  <c r="Z54" i="45"/>
  <c r="X54" i="45"/>
  <c r="N54" i="45"/>
  <c r="L54" i="45"/>
  <c r="B54" i="45"/>
  <c r="T53" i="45"/>
  <c r="P53" i="45"/>
  <c r="H53" i="45"/>
  <c r="D53" i="45"/>
  <c r="L53" i="45" s="1"/>
  <c r="N53" i="45" s="1"/>
  <c r="B53" i="45"/>
  <c r="Z52" i="45"/>
  <c r="X52" i="45"/>
  <c r="L52" i="45"/>
  <c r="N52" i="45" s="1"/>
  <c r="B52" i="45"/>
  <c r="T51" i="45"/>
  <c r="P51" i="45"/>
  <c r="X51" i="45" s="1"/>
  <c r="Z51" i="45" s="1"/>
  <c r="N51" i="45"/>
  <c r="L51" i="45"/>
  <c r="H51" i="45"/>
  <c r="D51" i="45"/>
  <c r="B51" i="45"/>
  <c r="X50" i="45"/>
  <c r="Z50" i="45" s="1"/>
  <c r="N50" i="45"/>
  <c r="L50" i="45"/>
  <c r="B50" i="45"/>
  <c r="T49" i="45"/>
  <c r="P49" i="45"/>
  <c r="X49" i="45" s="1"/>
  <c r="L49" i="45"/>
  <c r="H49" i="45"/>
  <c r="D49" i="45"/>
  <c r="B49" i="45"/>
  <c r="X48" i="45"/>
  <c r="Z48" i="45" s="1"/>
  <c r="R48" i="45"/>
  <c r="N48" i="45"/>
  <c r="L48" i="45"/>
  <c r="B48" i="45"/>
  <c r="T47" i="45"/>
  <c r="P47" i="45"/>
  <c r="X47" i="45" s="1"/>
  <c r="Z47" i="45" s="1"/>
  <c r="H47" i="45"/>
  <c r="D47" i="45"/>
  <c r="B47" i="45"/>
  <c r="Z46" i="45"/>
  <c r="X46" i="45"/>
  <c r="L46" i="45"/>
  <c r="N46" i="45" s="1"/>
  <c r="B46" i="45"/>
  <c r="Z45" i="45"/>
  <c r="X45" i="45"/>
  <c r="T45" i="45"/>
  <c r="P45" i="45"/>
  <c r="H45" i="45"/>
  <c r="D45" i="45"/>
  <c r="L45" i="45" s="1"/>
  <c r="N45" i="45" s="1"/>
  <c r="B45" i="45"/>
  <c r="Z44" i="45"/>
  <c r="X44" i="45"/>
  <c r="L44" i="45"/>
  <c r="N44" i="45" s="1"/>
  <c r="B44" i="45"/>
  <c r="X43" i="45"/>
  <c r="Z43" i="45" s="1"/>
  <c r="N43" i="45"/>
  <c r="L43" i="45"/>
  <c r="B43" i="45"/>
  <c r="X42" i="45"/>
  <c r="Z42" i="45" s="1"/>
  <c r="N42" i="45"/>
  <c r="L42" i="45"/>
  <c r="B42" i="45"/>
  <c r="X41" i="45"/>
  <c r="Z41" i="45" s="1"/>
  <c r="N41" i="45"/>
  <c r="L41" i="45"/>
  <c r="B41" i="45"/>
  <c r="Z40" i="45"/>
  <c r="X40" i="45"/>
  <c r="L40" i="45"/>
  <c r="N40" i="45" s="1"/>
  <c r="B40" i="45"/>
  <c r="X39" i="45"/>
  <c r="Z39" i="45" s="1"/>
  <c r="N39" i="45"/>
  <c r="L39" i="45"/>
  <c r="B39" i="45"/>
  <c r="X38" i="45"/>
  <c r="Z38" i="45" s="1"/>
  <c r="N38" i="45"/>
  <c r="L38" i="45"/>
  <c r="B38" i="45"/>
  <c r="T37" i="45"/>
  <c r="Z37" i="45" s="1"/>
  <c r="R37" i="45"/>
  <c r="P37" i="45"/>
  <c r="X37" i="45" s="1"/>
  <c r="L37" i="45"/>
  <c r="H37" i="45"/>
  <c r="D37" i="45"/>
  <c r="B37" i="45"/>
  <c r="X36" i="45"/>
  <c r="Z36" i="45" s="1"/>
  <c r="N36" i="45"/>
  <c r="L36" i="45"/>
  <c r="B36" i="45"/>
  <c r="Z35" i="45"/>
  <c r="X35" i="45"/>
  <c r="N35" i="45"/>
  <c r="L35" i="45"/>
  <c r="B35" i="45"/>
  <c r="Z34" i="45"/>
  <c r="X34" i="45"/>
  <c r="L34" i="45"/>
  <c r="N34" i="45" s="1"/>
  <c r="B34" i="45"/>
  <c r="Z33" i="45"/>
  <c r="X33" i="45"/>
  <c r="R33" i="45"/>
  <c r="N33" i="45"/>
  <c r="L33" i="45"/>
  <c r="B33" i="45"/>
  <c r="X32" i="45"/>
  <c r="Z32" i="45" s="1"/>
  <c r="R32" i="45"/>
  <c r="N32" i="45"/>
  <c r="L32" i="45"/>
  <c r="B32" i="45"/>
  <c r="X31" i="45"/>
  <c r="Z31" i="45" s="1"/>
  <c r="N31" i="45"/>
  <c r="L31" i="45"/>
  <c r="B31" i="45"/>
  <c r="Z30" i="45"/>
  <c r="X30" i="45"/>
  <c r="L30" i="45"/>
  <c r="N30" i="45" s="1"/>
  <c r="B30" i="45"/>
  <c r="Z29" i="45"/>
  <c r="X29" i="45"/>
  <c r="N29" i="45"/>
  <c r="L29" i="45"/>
  <c r="B29" i="45"/>
  <c r="X28" i="45"/>
  <c r="Z28" i="45" s="1"/>
  <c r="N28" i="45"/>
  <c r="L28" i="45"/>
  <c r="B28" i="45"/>
  <c r="T27" i="45"/>
  <c r="P27" i="45"/>
  <c r="X27" i="45" s="1"/>
  <c r="Z27" i="45" s="1"/>
  <c r="H27" i="45"/>
  <c r="N27" i="45" s="1"/>
  <c r="D27" i="45"/>
  <c r="L27" i="45" s="1"/>
  <c r="B27" i="45"/>
  <c r="T26" i="45"/>
  <c r="P26" i="45"/>
  <c r="X26" i="45" s="1"/>
  <c r="H26" i="45"/>
  <c r="D26" i="45"/>
  <c r="L26" i="45" s="1"/>
  <c r="X22" i="45"/>
  <c r="Z22" i="45" s="1"/>
  <c r="R22" i="45"/>
  <c r="L22" i="45"/>
  <c r="N22" i="45" s="1"/>
  <c r="B22" i="45"/>
  <c r="Z21" i="45"/>
  <c r="X21" i="45"/>
  <c r="N21" i="45"/>
  <c r="L21" i="45"/>
  <c r="B21" i="45"/>
  <c r="T20" i="45"/>
  <c r="P20" i="45"/>
  <c r="X20" i="45" s="1"/>
  <c r="H20" i="45"/>
  <c r="D20" i="45"/>
  <c r="T18" i="45"/>
  <c r="P18" i="45"/>
  <c r="X18" i="45" s="1"/>
  <c r="N18" i="45"/>
  <c r="L18" i="45"/>
  <c r="H18" i="45"/>
  <c r="D18" i="45"/>
  <c r="B18" i="45"/>
  <c r="Z17" i="45"/>
  <c r="T17" i="45"/>
  <c r="X17" i="45" s="1"/>
  <c r="P17" i="45"/>
  <c r="L17" i="45"/>
  <c r="H17" i="45"/>
  <c r="D17" i="45"/>
  <c r="B17" i="45"/>
  <c r="T16" i="45"/>
  <c r="P16" i="45"/>
  <c r="X16" i="45" s="1"/>
  <c r="Z16" i="45" s="1"/>
  <c r="L16" i="45"/>
  <c r="N16" i="45" s="1"/>
  <c r="H16" i="45"/>
  <c r="D16" i="45"/>
  <c r="B16" i="45"/>
  <c r="T15" i="45"/>
  <c r="X15" i="45" s="1"/>
  <c r="Z15" i="45" s="1"/>
  <c r="P15" i="45"/>
  <c r="H15" i="45"/>
  <c r="D15" i="45"/>
  <c r="B15" i="45"/>
  <c r="T14" i="45"/>
  <c r="P14" i="45"/>
  <c r="X14" i="45" s="1"/>
  <c r="L14" i="45"/>
  <c r="N14" i="45" s="1"/>
  <c r="H14" i="45"/>
  <c r="D14" i="45"/>
  <c r="B14" i="45"/>
  <c r="T13" i="45"/>
  <c r="P13" i="45"/>
  <c r="L13" i="45"/>
  <c r="H13" i="45"/>
  <c r="D13" i="45"/>
  <c r="D12" i="45" s="1"/>
  <c r="B13" i="45"/>
  <c r="P12" i="45"/>
  <c r="R60" i="45" s="1"/>
  <c r="D4" i="45"/>
  <c r="X121" i="42"/>
  <c r="Z121" i="42" s="1"/>
  <c r="N121" i="42"/>
  <c r="L121" i="42"/>
  <c r="T117" i="42"/>
  <c r="P117" i="42"/>
  <c r="X117" i="42" s="1"/>
  <c r="Z117" i="42" s="1"/>
  <c r="H117" i="42"/>
  <c r="D117" i="42"/>
  <c r="L117" i="42" s="1"/>
  <c r="N117" i="42" s="1"/>
  <c r="B117" i="42"/>
  <c r="T116" i="42"/>
  <c r="P116" i="42"/>
  <c r="X116" i="42" s="1"/>
  <c r="H116" i="42"/>
  <c r="D116" i="42"/>
  <c r="D114" i="42" s="1"/>
  <c r="L114" i="42" s="1"/>
  <c r="B116" i="42"/>
  <c r="T115" i="42"/>
  <c r="P115" i="42"/>
  <c r="X115" i="42" s="1"/>
  <c r="H115" i="42"/>
  <c r="D115" i="42"/>
  <c r="B115" i="42"/>
  <c r="H114" i="42"/>
  <c r="N114" i="42" s="1"/>
  <c r="X112" i="42"/>
  <c r="Z112" i="42" s="1"/>
  <c r="L112" i="42"/>
  <c r="N112" i="42" s="1"/>
  <c r="B112" i="42"/>
  <c r="T111" i="42"/>
  <c r="P111" i="42"/>
  <c r="X111" i="42" s="1"/>
  <c r="Z111" i="42" s="1"/>
  <c r="H111" i="42"/>
  <c r="D111" i="42"/>
  <c r="L111" i="42" s="1"/>
  <c r="N111" i="42" s="1"/>
  <c r="B111" i="42"/>
  <c r="X110" i="42"/>
  <c r="Z110" i="42" s="1"/>
  <c r="N110" i="42"/>
  <c r="L110" i="42"/>
  <c r="B110" i="42"/>
  <c r="X109" i="42"/>
  <c r="Z109" i="42" s="1"/>
  <c r="N109" i="42"/>
  <c r="L109" i="42"/>
  <c r="B109" i="42"/>
  <c r="X108" i="42"/>
  <c r="Z108" i="42" s="1"/>
  <c r="L108" i="42"/>
  <c r="N108" i="42" s="1"/>
  <c r="B108" i="42"/>
  <c r="X107" i="42"/>
  <c r="Z107" i="42" s="1"/>
  <c r="T107" i="42"/>
  <c r="P107" i="42"/>
  <c r="L107" i="42"/>
  <c r="N107" i="42" s="1"/>
  <c r="H107" i="42"/>
  <c r="D107" i="42"/>
  <c r="B107" i="42"/>
  <c r="X106" i="42"/>
  <c r="Z106" i="42" s="1"/>
  <c r="L106" i="42"/>
  <c r="N106" i="42" s="1"/>
  <c r="B106" i="42"/>
  <c r="T105" i="42"/>
  <c r="Z105" i="42" s="1"/>
  <c r="P105" i="42"/>
  <c r="X105" i="42" s="1"/>
  <c r="H105" i="42"/>
  <c r="D105" i="42"/>
  <c r="B105" i="42"/>
  <c r="X104" i="42"/>
  <c r="Z104" i="42" s="1"/>
  <c r="L104" i="42"/>
  <c r="N104" i="42" s="1"/>
  <c r="B104" i="42"/>
  <c r="T103" i="42"/>
  <c r="P103" i="42"/>
  <c r="X103" i="42" s="1"/>
  <c r="Z103" i="42" s="1"/>
  <c r="H103" i="42"/>
  <c r="D103" i="42"/>
  <c r="L103" i="42" s="1"/>
  <c r="N103" i="42" s="1"/>
  <c r="B103" i="42"/>
  <c r="X102" i="42"/>
  <c r="Z102" i="42" s="1"/>
  <c r="L102" i="42"/>
  <c r="N102" i="42" s="1"/>
  <c r="B102" i="42"/>
  <c r="X101" i="42"/>
  <c r="Z101" i="42" s="1"/>
  <c r="N101" i="42"/>
  <c r="L101" i="42"/>
  <c r="B101" i="42"/>
  <c r="Z100" i="42"/>
  <c r="X100" i="42"/>
  <c r="N100" i="42"/>
  <c r="L100" i="42"/>
  <c r="B100" i="42"/>
  <c r="X99" i="42"/>
  <c r="Z99" i="42" s="1"/>
  <c r="N99" i="42"/>
  <c r="L99" i="42"/>
  <c r="B99" i="42"/>
  <c r="X98" i="42"/>
  <c r="Z98" i="42" s="1"/>
  <c r="L98" i="42"/>
  <c r="N98" i="42" s="1"/>
  <c r="B98" i="42"/>
  <c r="X97" i="42"/>
  <c r="Z97" i="42" s="1"/>
  <c r="N97" i="42"/>
  <c r="L97" i="42"/>
  <c r="B97" i="42"/>
  <c r="X96" i="42"/>
  <c r="Z96" i="42" s="1"/>
  <c r="N96" i="42"/>
  <c r="L96" i="42"/>
  <c r="B96" i="42"/>
  <c r="X95" i="42"/>
  <c r="Z95" i="42" s="1"/>
  <c r="N95" i="42"/>
  <c r="L95" i="42"/>
  <c r="B95" i="42"/>
  <c r="T94" i="42"/>
  <c r="P94" i="42"/>
  <c r="X94" i="42" s="1"/>
  <c r="H94" i="42"/>
  <c r="N94" i="42" s="1"/>
  <c r="D94" i="42"/>
  <c r="L94" i="42" s="1"/>
  <c r="B94" i="42"/>
  <c r="Z93" i="42"/>
  <c r="X93" i="42"/>
  <c r="N93" i="42"/>
  <c r="L93" i="42"/>
  <c r="B93" i="42"/>
  <c r="X92" i="42"/>
  <c r="Z92" i="42" s="1"/>
  <c r="T92" i="42"/>
  <c r="P92" i="42"/>
  <c r="L92" i="42"/>
  <c r="N92" i="42" s="1"/>
  <c r="H92" i="42"/>
  <c r="D92" i="42"/>
  <c r="B92" i="42"/>
  <c r="Z91" i="42"/>
  <c r="X91" i="42"/>
  <c r="L91" i="42"/>
  <c r="N91" i="42" s="1"/>
  <c r="B91" i="42"/>
  <c r="X90" i="42"/>
  <c r="Z90" i="42" s="1"/>
  <c r="L90" i="42"/>
  <c r="N90" i="42" s="1"/>
  <c r="B90" i="42"/>
  <c r="Z89" i="42"/>
  <c r="X89" i="42"/>
  <c r="L89" i="42"/>
  <c r="N89" i="42" s="1"/>
  <c r="B89" i="42"/>
  <c r="X88" i="42"/>
  <c r="Z88" i="42" s="1"/>
  <c r="L88" i="42"/>
  <c r="N88" i="42" s="1"/>
  <c r="B88" i="42"/>
  <c r="Z87" i="42"/>
  <c r="X87" i="42"/>
  <c r="L87" i="42"/>
  <c r="N87" i="42" s="1"/>
  <c r="B87" i="42"/>
  <c r="T86" i="42"/>
  <c r="X86" i="42" s="1"/>
  <c r="P86" i="42"/>
  <c r="H86" i="42"/>
  <c r="D86" i="42"/>
  <c r="B86" i="42"/>
  <c r="X85" i="42"/>
  <c r="Z85" i="42" s="1"/>
  <c r="N85" i="42"/>
  <c r="L85" i="42"/>
  <c r="B85" i="42"/>
  <c r="X84" i="42"/>
  <c r="Z84" i="42" s="1"/>
  <c r="N84" i="42"/>
  <c r="L84" i="42"/>
  <c r="B84" i="42"/>
  <c r="X83" i="42"/>
  <c r="Z83" i="42" s="1"/>
  <c r="T83" i="42"/>
  <c r="P83" i="42"/>
  <c r="L83" i="42"/>
  <c r="N83" i="42" s="1"/>
  <c r="H83" i="42"/>
  <c r="D83" i="42"/>
  <c r="B83" i="42"/>
  <c r="X82" i="42"/>
  <c r="Z82" i="42" s="1"/>
  <c r="L82" i="42"/>
  <c r="N82" i="42" s="1"/>
  <c r="B82" i="42"/>
  <c r="Z81" i="42"/>
  <c r="X81" i="42"/>
  <c r="N81" i="42"/>
  <c r="L81" i="42"/>
  <c r="B81" i="42"/>
  <c r="Z80" i="42"/>
  <c r="X80" i="42"/>
  <c r="L80" i="42"/>
  <c r="N80" i="42" s="1"/>
  <c r="B80" i="42"/>
  <c r="T79" i="42"/>
  <c r="P79" i="42"/>
  <c r="H79" i="42"/>
  <c r="D79" i="42"/>
  <c r="L79" i="42" s="1"/>
  <c r="B79" i="42"/>
  <c r="X78" i="42"/>
  <c r="Z78" i="42" s="1"/>
  <c r="L78" i="42"/>
  <c r="N78" i="42" s="1"/>
  <c r="B78" i="42"/>
  <c r="T77" i="42"/>
  <c r="P77" i="42"/>
  <c r="X77" i="42" s="1"/>
  <c r="Z77" i="42" s="1"/>
  <c r="H77" i="42"/>
  <c r="D77" i="42"/>
  <c r="L77" i="42" s="1"/>
  <c r="N77" i="42" s="1"/>
  <c r="B77" i="42"/>
  <c r="Z76" i="42"/>
  <c r="X76" i="42"/>
  <c r="N76" i="42"/>
  <c r="L76" i="42"/>
  <c r="B76" i="42"/>
  <c r="Z75" i="42"/>
  <c r="X75" i="42"/>
  <c r="T75" i="42"/>
  <c r="P75" i="42"/>
  <c r="N75" i="42"/>
  <c r="L75" i="42"/>
  <c r="H75" i="42"/>
  <c r="D75" i="42"/>
  <c r="B75" i="42"/>
  <c r="X74" i="42"/>
  <c r="Z74" i="42" s="1"/>
  <c r="L74" i="42"/>
  <c r="N74" i="42" s="1"/>
  <c r="B74" i="42"/>
  <c r="T73" i="42"/>
  <c r="Z73" i="42" s="1"/>
  <c r="P73" i="42"/>
  <c r="X73" i="42" s="1"/>
  <c r="H73" i="42"/>
  <c r="D73" i="42"/>
  <c r="B73" i="42"/>
  <c r="X72" i="42"/>
  <c r="Z72" i="42" s="1"/>
  <c r="L72" i="42"/>
  <c r="N72" i="42" s="1"/>
  <c r="B72" i="42"/>
  <c r="T71" i="42"/>
  <c r="P71" i="42"/>
  <c r="X71" i="42" s="1"/>
  <c r="Z71" i="42" s="1"/>
  <c r="H71" i="42"/>
  <c r="D71" i="42"/>
  <c r="L71" i="42" s="1"/>
  <c r="N71" i="42" s="1"/>
  <c r="B71" i="42"/>
  <c r="X70" i="42"/>
  <c r="Z70" i="42" s="1"/>
  <c r="L70" i="42"/>
  <c r="N70" i="42" s="1"/>
  <c r="B70" i="42"/>
  <c r="X69" i="42"/>
  <c r="Z69" i="42" s="1"/>
  <c r="N69" i="42"/>
  <c r="L69" i="42"/>
  <c r="B69" i="42"/>
  <c r="T68" i="42"/>
  <c r="P68" i="42"/>
  <c r="X68" i="42" s="1"/>
  <c r="H68" i="42"/>
  <c r="D68" i="42"/>
  <c r="L68" i="42" s="1"/>
  <c r="B68" i="42"/>
  <c r="Z67" i="42"/>
  <c r="X67" i="42"/>
  <c r="N67" i="42"/>
  <c r="L67" i="42"/>
  <c r="B67" i="42"/>
  <c r="X66" i="42"/>
  <c r="Z66" i="42" s="1"/>
  <c r="T66" i="42"/>
  <c r="P66" i="42"/>
  <c r="N66" i="42"/>
  <c r="L66" i="42"/>
  <c r="H66" i="42"/>
  <c r="D66" i="42"/>
  <c r="B66" i="42"/>
  <c r="Z65" i="42"/>
  <c r="X65" i="42"/>
  <c r="L65" i="42"/>
  <c r="N65" i="42" s="1"/>
  <c r="B65" i="42"/>
  <c r="T64" i="42"/>
  <c r="P64" i="42"/>
  <c r="H64" i="42"/>
  <c r="L64" i="42" s="1"/>
  <c r="D64" i="42"/>
  <c r="B64" i="42"/>
  <c r="X63" i="42"/>
  <c r="Z63" i="42" s="1"/>
  <c r="N63" i="42"/>
  <c r="L63" i="42"/>
  <c r="B63" i="42"/>
  <c r="T62" i="42"/>
  <c r="Z62" i="42" s="1"/>
  <c r="P62" i="42"/>
  <c r="X62" i="42" s="1"/>
  <c r="H62" i="42"/>
  <c r="D62" i="42"/>
  <c r="L62" i="42" s="1"/>
  <c r="B62" i="42"/>
  <c r="Z61" i="42"/>
  <c r="X61" i="42"/>
  <c r="N61" i="42"/>
  <c r="L61" i="42"/>
  <c r="B61" i="42"/>
  <c r="X60" i="42"/>
  <c r="Z60" i="42" s="1"/>
  <c r="T60" i="42"/>
  <c r="P60" i="42"/>
  <c r="L60" i="42"/>
  <c r="N60" i="42" s="1"/>
  <c r="H60" i="42"/>
  <c r="D60" i="42"/>
  <c r="B60" i="42"/>
  <c r="Z59" i="42"/>
  <c r="X59" i="42"/>
  <c r="L59" i="42"/>
  <c r="N59" i="42" s="1"/>
  <c r="B59" i="42"/>
  <c r="X58" i="42"/>
  <c r="Z58" i="42" s="1"/>
  <c r="L58" i="42"/>
  <c r="N58" i="42" s="1"/>
  <c r="B58" i="42"/>
  <c r="Z57" i="42"/>
  <c r="X57" i="42"/>
  <c r="L57" i="42"/>
  <c r="N57" i="42" s="1"/>
  <c r="B57" i="42"/>
  <c r="T56" i="42"/>
  <c r="P56" i="42"/>
  <c r="H56" i="42"/>
  <c r="L56" i="42" s="1"/>
  <c r="D56" i="42"/>
  <c r="B56" i="42"/>
  <c r="X55" i="42"/>
  <c r="Z55" i="42" s="1"/>
  <c r="N55" i="42"/>
  <c r="L55" i="42"/>
  <c r="B55" i="42"/>
  <c r="T54" i="42"/>
  <c r="P54" i="42"/>
  <c r="X54" i="42" s="1"/>
  <c r="H54" i="42"/>
  <c r="N54" i="42" s="1"/>
  <c r="D54" i="42"/>
  <c r="L54" i="42" s="1"/>
  <c r="B54" i="42"/>
  <c r="Z53" i="42"/>
  <c r="X53" i="42"/>
  <c r="N53" i="42"/>
  <c r="L53" i="42"/>
  <c r="B53" i="42"/>
  <c r="X52" i="42"/>
  <c r="Z52" i="42" s="1"/>
  <c r="T52" i="42"/>
  <c r="P52" i="42"/>
  <c r="L52" i="42"/>
  <c r="N52" i="42" s="1"/>
  <c r="H52" i="42"/>
  <c r="D52" i="42"/>
  <c r="B52" i="42"/>
  <c r="Z51" i="42"/>
  <c r="X51" i="42"/>
  <c r="L51" i="42"/>
  <c r="N51" i="42" s="1"/>
  <c r="B51" i="42"/>
  <c r="T50" i="42"/>
  <c r="X50" i="42" s="1"/>
  <c r="P50" i="42"/>
  <c r="H50" i="42"/>
  <c r="D50" i="42"/>
  <c r="B50" i="42"/>
  <c r="X49" i="42"/>
  <c r="Z49" i="42" s="1"/>
  <c r="N49" i="42"/>
  <c r="L49" i="42"/>
  <c r="B49" i="42"/>
  <c r="X48" i="42"/>
  <c r="Z48" i="42" s="1"/>
  <c r="L48" i="42"/>
  <c r="N48" i="42" s="1"/>
  <c r="B48" i="42"/>
  <c r="X47" i="42"/>
  <c r="Z47" i="42" s="1"/>
  <c r="N47" i="42"/>
  <c r="L47" i="42"/>
  <c r="B47" i="42"/>
  <c r="X46" i="42"/>
  <c r="Z46" i="42" s="1"/>
  <c r="L46" i="42"/>
  <c r="N46" i="42" s="1"/>
  <c r="B46" i="42"/>
  <c r="X45" i="42"/>
  <c r="Z45" i="42" s="1"/>
  <c r="N45" i="42"/>
  <c r="L45" i="42"/>
  <c r="B45" i="42"/>
  <c r="X44" i="42"/>
  <c r="Z44" i="42" s="1"/>
  <c r="L44" i="42"/>
  <c r="N44" i="42" s="1"/>
  <c r="B44" i="42"/>
  <c r="X43" i="42"/>
  <c r="Z43" i="42" s="1"/>
  <c r="N43" i="42"/>
  <c r="L43" i="42"/>
  <c r="B43" i="42"/>
  <c r="T42" i="42"/>
  <c r="Z42" i="42" s="1"/>
  <c r="P42" i="42"/>
  <c r="X42" i="42" s="1"/>
  <c r="H42" i="42"/>
  <c r="N42" i="42" s="1"/>
  <c r="D42" i="42"/>
  <c r="L42" i="42" s="1"/>
  <c r="B42" i="42"/>
  <c r="Z41" i="42"/>
  <c r="X41" i="42"/>
  <c r="N41" i="42"/>
  <c r="L41" i="42"/>
  <c r="B41" i="42"/>
  <c r="X40" i="42"/>
  <c r="Z40" i="42" s="1"/>
  <c r="L40" i="42"/>
  <c r="N40" i="42" s="1"/>
  <c r="B40" i="42"/>
  <c r="Z39" i="42"/>
  <c r="X39" i="42"/>
  <c r="N39" i="42"/>
  <c r="L39" i="42"/>
  <c r="B39" i="42"/>
  <c r="X38" i="42"/>
  <c r="Z38" i="42" s="1"/>
  <c r="L38" i="42"/>
  <c r="N38" i="42" s="1"/>
  <c r="B38" i="42"/>
  <c r="Z37" i="42"/>
  <c r="X37" i="42"/>
  <c r="N37" i="42"/>
  <c r="L37" i="42"/>
  <c r="B37" i="42"/>
  <c r="X36" i="42"/>
  <c r="Z36" i="42" s="1"/>
  <c r="L36" i="42"/>
  <c r="N36" i="42" s="1"/>
  <c r="B36" i="42"/>
  <c r="Z35" i="42"/>
  <c r="X35" i="42"/>
  <c r="N35" i="42"/>
  <c r="L35" i="42"/>
  <c r="B35" i="42"/>
  <c r="X34" i="42"/>
  <c r="Z34" i="42" s="1"/>
  <c r="L34" i="42"/>
  <c r="N34" i="42" s="1"/>
  <c r="B34" i="42"/>
  <c r="Z33" i="42"/>
  <c r="X33" i="42"/>
  <c r="N33" i="42"/>
  <c r="L33" i="42"/>
  <c r="B33" i="42"/>
  <c r="X32" i="42"/>
  <c r="Z32" i="42" s="1"/>
  <c r="T32" i="42"/>
  <c r="P32" i="42"/>
  <c r="L32" i="42"/>
  <c r="N32" i="42" s="1"/>
  <c r="H32" i="42"/>
  <c r="D32" i="42"/>
  <c r="B32" i="42"/>
  <c r="T31" i="42"/>
  <c r="P31" i="42"/>
  <c r="X31" i="42" s="1"/>
  <c r="Z31" i="42" s="1"/>
  <c r="H31" i="42"/>
  <c r="D31" i="42"/>
  <c r="L31" i="42" s="1"/>
  <c r="N31" i="42" s="1"/>
  <c r="Z27" i="42"/>
  <c r="X27" i="42"/>
  <c r="L27" i="42"/>
  <c r="N27" i="42" s="1"/>
  <c r="B27" i="42"/>
  <c r="X26" i="42"/>
  <c r="Z26" i="42" s="1"/>
  <c r="L26" i="42"/>
  <c r="N26" i="42" s="1"/>
  <c r="B26" i="42"/>
  <c r="T25" i="42"/>
  <c r="P25" i="42"/>
  <c r="X25" i="42" s="1"/>
  <c r="Z25" i="42" s="1"/>
  <c r="H25" i="42"/>
  <c r="D25" i="42"/>
  <c r="L25" i="42" s="1"/>
  <c r="N25" i="42" s="1"/>
  <c r="T23" i="42"/>
  <c r="P23" i="42"/>
  <c r="X23" i="42" s="1"/>
  <c r="Z23" i="42" s="1"/>
  <c r="L23" i="42"/>
  <c r="H23" i="42"/>
  <c r="N23" i="42" s="1"/>
  <c r="D23" i="42"/>
  <c r="B23" i="42"/>
  <c r="T22" i="42"/>
  <c r="P22" i="42"/>
  <c r="X22" i="42" s="1"/>
  <c r="H22" i="42"/>
  <c r="D22" i="42"/>
  <c r="L22" i="42" s="1"/>
  <c r="B22" i="42"/>
  <c r="T21" i="42"/>
  <c r="P21" i="42"/>
  <c r="X21" i="42" s="1"/>
  <c r="Z21" i="42" s="1"/>
  <c r="L21" i="42"/>
  <c r="H21" i="42"/>
  <c r="N21" i="42" s="1"/>
  <c r="D21" i="42"/>
  <c r="B21" i="42"/>
  <c r="T20" i="42"/>
  <c r="P20" i="42"/>
  <c r="X20" i="42" s="1"/>
  <c r="H20" i="42"/>
  <c r="N20" i="42" s="1"/>
  <c r="D20" i="42"/>
  <c r="L20" i="42" s="1"/>
  <c r="B20" i="42"/>
  <c r="T19" i="42"/>
  <c r="P19" i="42"/>
  <c r="X19" i="42" s="1"/>
  <c r="Z19" i="42" s="1"/>
  <c r="L19" i="42"/>
  <c r="H19" i="42"/>
  <c r="N19" i="42" s="1"/>
  <c r="D19" i="42"/>
  <c r="B19" i="42"/>
  <c r="T18" i="42"/>
  <c r="P18" i="42"/>
  <c r="X18" i="42" s="1"/>
  <c r="H18" i="42"/>
  <c r="N18" i="42" s="1"/>
  <c r="D18" i="42"/>
  <c r="L18" i="42" s="1"/>
  <c r="B18" i="42"/>
  <c r="T17" i="42"/>
  <c r="P17" i="42"/>
  <c r="X17" i="42" s="1"/>
  <c r="Z17" i="42" s="1"/>
  <c r="L17" i="42"/>
  <c r="H17" i="42"/>
  <c r="N17" i="42" s="1"/>
  <c r="D17" i="42"/>
  <c r="B17" i="42"/>
  <c r="T16" i="42"/>
  <c r="Z16" i="42" s="1"/>
  <c r="P16" i="42"/>
  <c r="X16" i="42" s="1"/>
  <c r="H16" i="42"/>
  <c r="D16" i="42"/>
  <c r="L16" i="42" s="1"/>
  <c r="B16" i="42"/>
  <c r="T15" i="42"/>
  <c r="P15" i="42"/>
  <c r="X15" i="42" s="1"/>
  <c r="Z15" i="42" s="1"/>
  <c r="L15" i="42"/>
  <c r="H15" i="42"/>
  <c r="N15" i="42" s="1"/>
  <c r="D15" i="42"/>
  <c r="B15" i="42"/>
  <c r="T14" i="42"/>
  <c r="P14" i="42"/>
  <c r="P12" i="42" s="1"/>
  <c r="H14" i="42"/>
  <c r="D14" i="42"/>
  <c r="D12" i="42" s="1"/>
  <c r="B14" i="42"/>
  <c r="T13" i="42"/>
  <c r="P13" i="42"/>
  <c r="X13" i="42" s="1"/>
  <c r="Z13" i="42" s="1"/>
  <c r="L13" i="42"/>
  <c r="H13" i="42"/>
  <c r="H12" i="42" s="1"/>
  <c r="D13" i="42"/>
  <c r="B13" i="42"/>
  <c r="D4" i="42"/>
  <c r="X132" i="39"/>
  <c r="Z132" i="39" s="1"/>
  <c r="N132" i="39"/>
  <c r="L132" i="39"/>
  <c r="X128" i="39"/>
  <c r="Z128" i="39" s="1"/>
  <c r="T128" i="39"/>
  <c r="P128" i="39"/>
  <c r="L128" i="39"/>
  <c r="N128" i="39" s="1"/>
  <c r="H128" i="39"/>
  <c r="D128" i="39"/>
  <c r="B128" i="39"/>
  <c r="Z127" i="39"/>
  <c r="X127" i="39"/>
  <c r="T127" i="39"/>
  <c r="P127" i="39"/>
  <c r="N127" i="39"/>
  <c r="L127" i="39"/>
  <c r="H127" i="39"/>
  <c r="D127" i="39"/>
  <c r="B127" i="39"/>
  <c r="T126" i="39"/>
  <c r="P126" i="39"/>
  <c r="H126" i="39"/>
  <c r="D126" i="39"/>
  <c r="B126" i="39"/>
  <c r="T125" i="39"/>
  <c r="H125" i="39"/>
  <c r="X123" i="39"/>
  <c r="Z123" i="39" s="1"/>
  <c r="N123" i="39"/>
  <c r="L123" i="39"/>
  <c r="B123" i="39"/>
  <c r="X122" i="39"/>
  <c r="Z122" i="39" s="1"/>
  <c r="T122" i="39"/>
  <c r="P122" i="39"/>
  <c r="L122" i="39"/>
  <c r="N122" i="39" s="1"/>
  <c r="H122" i="39"/>
  <c r="D122" i="39"/>
  <c r="B122" i="39"/>
  <c r="Z121" i="39"/>
  <c r="X121" i="39"/>
  <c r="L121" i="39"/>
  <c r="N121" i="39" s="1"/>
  <c r="B121" i="39"/>
  <c r="Z120" i="39"/>
  <c r="X120" i="39"/>
  <c r="N120" i="39"/>
  <c r="L120" i="39"/>
  <c r="B120" i="39"/>
  <c r="Z119" i="39"/>
  <c r="X119" i="39"/>
  <c r="L119" i="39"/>
  <c r="N119" i="39" s="1"/>
  <c r="B119" i="39"/>
  <c r="T118" i="39"/>
  <c r="P118" i="39"/>
  <c r="H118" i="39"/>
  <c r="D118" i="39"/>
  <c r="L118" i="39" s="1"/>
  <c r="B118" i="39"/>
  <c r="X117" i="39"/>
  <c r="Z117" i="39" s="1"/>
  <c r="L117" i="39"/>
  <c r="N117" i="39" s="1"/>
  <c r="B117" i="39"/>
  <c r="T116" i="39"/>
  <c r="P116" i="39"/>
  <c r="X116" i="39" s="1"/>
  <c r="Z116" i="39" s="1"/>
  <c r="H116" i="39"/>
  <c r="D116" i="39"/>
  <c r="L116" i="39" s="1"/>
  <c r="N116" i="39" s="1"/>
  <c r="B116" i="39"/>
  <c r="Z115" i="39"/>
  <c r="X115" i="39"/>
  <c r="N115" i="39"/>
  <c r="L115" i="39"/>
  <c r="B115" i="39"/>
  <c r="X114" i="39"/>
  <c r="Z114" i="39" s="1"/>
  <c r="T114" i="39"/>
  <c r="P114" i="39"/>
  <c r="L114" i="39"/>
  <c r="N114" i="39" s="1"/>
  <c r="H114" i="39"/>
  <c r="D114" i="39"/>
  <c r="B114" i="39"/>
  <c r="Z113" i="39"/>
  <c r="X113" i="39"/>
  <c r="L113" i="39"/>
  <c r="N113" i="39" s="1"/>
  <c r="B113" i="39"/>
  <c r="X112" i="39"/>
  <c r="Z112" i="39" s="1"/>
  <c r="N112" i="39"/>
  <c r="L112" i="39"/>
  <c r="B112" i="39"/>
  <c r="Z111" i="39"/>
  <c r="X111" i="39"/>
  <c r="N111" i="39"/>
  <c r="L111" i="39"/>
  <c r="B111" i="39"/>
  <c r="X110" i="39"/>
  <c r="Z110" i="39" s="1"/>
  <c r="N110" i="39"/>
  <c r="L110" i="39"/>
  <c r="B110" i="39"/>
  <c r="Z109" i="39"/>
  <c r="X109" i="39"/>
  <c r="L109" i="39"/>
  <c r="N109" i="39" s="1"/>
  <c r="B109" i="39"/>
  <c r="X108" i="39"/>
  <c r="Z108" i="39" s="1"/>
  <c r="N108" i="39"/>
  <c r="L108" i="39"/>
  <c r="B108" i="39"/>
  <c r="Z107" i="39"/>
  <c r="X107" i="39"/>
  <c r="L107" i="39"/>
  <c r="N107" i="39" s="1"/>
  <c r="B107" i="39"/>
  <c r="X106" i="39"/>
  <c r="Z106" i="39" s="1"/>
  <c r="N106" i="39"/>
  <c r="L106" i="39"/>
  <c r="B106" i="39"/>
  <c r="Z105" i="39"/>
  <c r="X105" i="39"/>
  <c r="T105" i="39"/>
  <c r="P105" i="39"/>
  <c r="N105" i="39"/>
  <c r="L105" i="39"/>
  <c r="H105" i="39"/>
  <c r="D105" i="39"/>
  <c r="B105" i="39"/>
  <c r="Z104" i="39"/>
  <c r="X104" i="39"/>
  <c r="L104" i="39"/>
  <c r="N104" i="39" s="1"/>
  <c r="B104" i="39"/>
  <c r="X103" i="39"/>
  <c r="Z103" i="39" s="1"/>
  <c r="N103" i="39"/>
  <c r="L103" i="39"/>
  <c r="B103" i="39"/>
  <c r="T102" i="39"/>
  <c r="P102" i="39"/>
  <c r="X102" i="39" s="1"/>
  <c r="Z102" i="39" s="1"/>
  <c r="N102" i="39"/>
  <c r="H102" i="39"/>
  <c r="D102" i="39"/>
  <c r="L102" i="39" s="1"/>
  <c r="B102" i="39"/>
  <c r="X101" i="39"/>
  <c r="Z101" i="39" s="1"/>
  <c r="L101" i="39"/>
  <c r="N101" i="39" s="1"/>
  <c r="B101" i="39"/>
  <c r="X100" i="39"/>
  <c r="Z100" i="39" s="1"/>
  <c r="N100" i="39"/>
  <c r="L100" i="39"/>
  <c r="B100" i="39"/>
  <c r="Z99" i="39"/>
  <c r="X99" i="39"/>
  <c r="N99" i="39"/>
  <c r="L99" i="39"/>
  <c r="B99" i="39"/>
  <c r="X98" i="39"/>
  <c r="Z98" i="39" s="1"/>
  <c r="L98" i="39"/>
  <c r="N98" i="39" s="1"/>
  <c r="B98" i="39"/>
  <c r="X97" i="39"/>
  <c r="Z97" i="39" s="1"/>
  <c r="N97" i="39"/>
  <c r="L97" i="39"/>
  <c r="B97" i="39"/>
  <c r="X96" i="39"/>
  <c r="Z96" i="39" s="1"/>
  <c r="T96" i="39"/>
  <c r="P96" i="39"/>
  <c r="L96" i="39"/>
  <c r="N96" i="39" s="1"/>
  <c r="H96" i="39"/>
  <c r="D96" i="39"/>
  <c r="B96" i="39"/>
  <c r="Z95" i="39"/>
  <c r="X95" i="39"/>
  <c r="L95" i="39"/>
  <c r="N95" i="39" s="1"/>
  <c r="B95" i="39"/>
  <c r="X94" i="39"/>
  <c r="Z94" i="39" s="1"/>
  <c r="N94" i="39"/>
  <c r="L94" i="39"/>
  <c r="B94" i="39"/>
  <c r="X93" i="39"/>
  <c r="Z93" i="39" s="1"/>
  <c r="T93" i="39"/>
  <c r="P93" i="39"/>
  <c r="N93" i="39"/>
  <c r="L93" i="39"/>
  <c r="H93" i="39"/>
  <c r="D93" i="39"/>
  <c r="B93" i="39"/>
  <c r="X92" i="39"/>
  <c r="Z92" i="39" s="1"/>
  <c r="L92" i="39"/>
  <c r="N92" i="39" s="1"/>
  <c r="B92" i="39"/>
  <c r="X91" i="39"/>
  <c r="Z91" i="39" s="1"/>
  <c r="N91" i="39"/>
  <c r="L91" i="39"/>
  <c r="B91" i="39"/>
  <c r="Z90" i="39"/>
  <c r="X90" i="39"/>
  <c r="L90" i="39"/>
  <c r="N90" i="39" s="1"/>
  <c r="B90" i="39"/>
  <c r="T89" i="39"/>
  <c r="P89" i="39"/>
  <c r="X89" i="39" s="1"/>
  <c r="H89" i="39"/>
  <c r="D89" i="39"/>
  <c r="B89" i="39"/>
  <c r="X88" i="39"/>
  <c r="Z88" i="39" s="1"/>
  <c r="N88" i="39"/>
  <c r="L88" i="39"/>
  <c r="B88" i="39"/>
  <c r="Z87" i="39"/>
  <c r="T87" i="39"/>
  <c r="P87" i="39"/>
  <c r="X87" i="39" s="1"/>
  <c r="H87" i="39"/>
  <c r="D87" i="39"/>
  <c r="L87" i="39" s="1"/>
  <c r="B87" i="39"/>
  <c r="Z86" i="39"/>
  <c r="X86" i="39"/>
  <c r="N86" i="39"/>
  <c r="L86" i="39"/>
  <c r="B86" i="39"/>
  <c r="Z85" i="39"/>
  <c r="X85" i="39"/>
  <c r="T85" i="39"/>
  <c r="P85" i="39"/>
  <c r="N85" i="39"/>
  <c r="L85" i="39"/>
  <c r="H85" i="39"/>
  <c r="D85" i="39"/>
  <c r="B85" i="39"/>
  <c r="Z84" i="39"/>
  <c r="X84" i="39"/>
  <c r="L84" i="39"/>
  <c r="N84" i="39" s="1"/>
  <c r="B84" i="39"/>
  <c r="T83" i="39"/>
  <c r="P83" i="39"/>
  <c r="H83" i="39"/>
  <c r="D83" i="39"/>
  <c r="L83" i="39" s="1"/>
  <c r="B83" i="39"/>
  <c r="X82" i="39"/>
  <c r="Z82" i="39" s="1"/>
  <c r="L82" i="39"/>
  <c r="N82" i="39" s="1"/>
  <c r="B82" i="39"/>
  <c r="T81" i="39"/>
  <c r="P81" i="39"/>
  <c r="X81" i="39" s="1"/>
  <c r="N81" i="39"/>
  <c r="H81" i="39"/>
  <c r="D81" i="39"/>
  <c r="L81" i="39" s="1"/>
  <c r="B81" i="39"/>
  <c r="Z80" i="39"/>
  <c r="X80" i="39"/>
  <c r="N80" i="39"/>
  <c r="L80" i="39"/>
  <c r="B80" i="39"/>
  <c r="Z79" i="39"/>
  <c r="X79" i="39"/>
  <c r="L79" i="39"/>
  <c r="N79" i="39" s="1"/>
  <c r="B79" i="39"/>
  <c r="T78" i="39"/>
  <c r="P78" i="39"/>
  <c r="H78" i="39"/>
  <c r="N78" i="39" s="1"/>
  <c r="D78" i="39"/>
  <c r="L78" i="39" s="1"/>
  <c r="B78" i="39"/>
  <c r="X77" i="39"/>
  <c r="Z77" i="39" s="1"/>
  <c r="L77" i="39"/>
  <c r="N77" i="39" s="1"/>
  <c r="B77" i="39"/>
  <c r="X76" i="39"/>
  <c r="Z76" i="39" s="1"/>
  <c r="L76" i="39"/>
  <c r="N76" i="39" s="1"/>
  <c r="B76" i="39"/>
  <c r="T75" i="39"/>
  <c r="P75" i="39"/>
  <c r="H75" i="39"/>
  <c r="D75" i="39"/>
  <c r="B75" i="39"/>
  <c r="X74" i="39"/>
  <c r="Z74" i="39" s="1"/>
  <c r="N74" i="39"/>
  <c r="L74" i="39"/>
  <c r="B74" i="39"/>
  <c r="T73" i="39"/>
  <c r="P73" i="39"/>
  <c r="X73" i="39" s="1"/>
  <c r="N73" i="39"/>
  <c r="H73" i="39"/>
  <c r="D73" i="39"/>
  <c r="L73" i="39" s="1"/>
  <c r="B73" i="39"/>
  <c r="Z72" i="39"/>
  <c r="X72" i="39"/>
  <c r="N72" i="39"/>
  <c r="L72" i="39"/>
  <c r="B72" i="39"/>
  <c r="T71" i="39"/>
  <c r="P71" i="39"/>
  <c r="L71" i="39"/>
  <c r="N71" i="39" s="1"/>
  <c r="H71" i="39"/>
  <c r="D71" i="39"/>
  <c r="B71" i="39"/>
  <c r="Z70" i="39"/>
  <c r="X70" i="39"/>
  <c r="L70" i="39"/>
  <c r="N70" i="39" s="1"/>
  <c r="B70" i="39"/>
  <c r="T69" i="39"/>
  <c r="P69" i="39"/>
  <c r="X69" i="39" s="1"/>
  <c r="H69" i="39"/>
  <c r="D69" i="39"/>
  <c r="B69" i="39"/>
  <c r="X68" i="39"/>
  <c r="Z68" i="39" s="1"/>
  <c r="N68" i="39"/>
  <c r="L68" i="39"/>
  <c r="B68" i="39"/>
  <c r="Z67" i="39"/>
  <c r="T67" i="39"/>
  <c r="P67" i="39"/>
  <c r="X67" i="39" s="1"/>
  <c r="H67" i="39"/>
  <c r="D67" i="39"/>
  <c r="L67" i="39" s="1"/>
  <c r="B67" i="39"/>
  <c r="Z66" i="39"/>
  <c r="X66" i="39"/>
  <c r="N66" i="39"/>
  <c r="L66" i="39"/>
  <c r="B66" i="39"/>
  <c r="Z65" i="39"/>
  <c r="X65" i="39"/>
  <c r="L65" i="39"/>
  <c r="N65" i="39" s="1"/>
  <c r="B65" i="39"/>
  <c r="Z64" i="39"/>
  <c r="X64" i="39"/>
  <c r="N64" i="39"/>
  <c r="L64" i="39"/>
  <c r="B64" i="39"/>
  <c r="T63" i="39"/>
  <c r="P63" i="39"/>
  <c r="H63" i="39"/>
  <c r="D63" i="39"/>
  <c r="L63" i="39" s="1"/>
  <c r="N63" i="39" s="1"/>
  <c r="B63" i="39"/>
  <c r="Z62" i="39"/>
  <c r="X62" i="39"/>
  <c r="L62" i="39"/>
  <c r="N62" i="39" s="1"/>
  <c r="B62" i="39"/>
  <c r="T61" i="39"/>
  <c r="P61" i="39"/>
  <c r="X61" i="39" s="1"/>
  <c r="H61" i="39"/>
  <c r="D61" i="39"/>
  <c r="B61" i="39"/>
  <c r="Z60" i="39"/>
  <c r="X60" i="39"/>
  <c r="N60" i="39"/>
  <c r="L60" i="39"/>
  <c r="B60" i="39"/>
  <c r="T59" i="39"/>
  <c r="P59" i="39"/>
  <c r="X59" i="39" s="1"/>
  <c r="Z59" i="39" s="1"/>
  <c r="L59" i="39"/>
  <c r="H59" i="39"/>
  <c r="N59" i="39" s="1"/>
  <c r="D59" i="39"/>
  <c r="B59" i="39"/>
  <c r="Z58" i="39"/>
  <c r="X58" i="39"/>
  <c r="N58" i="39"/>
  <c r="L58" i="39"/>
  <c r="B58" i="39"/>
  <c r="T57" i="39"/>
  <c r="P57" i="39"/>
  <c r="X57" i="39" s="1"/>
  <c r="Z57" i="39" s="1"/>
  <c r="L57" i="39"/>
  <c r="N57" i="39" s="1"/>
  <c r="H57" i="39"/>
  <c r="D57" i="39"/>
  <c r="B57" i="39"/>
  <c r="Z56" i="39"/>
  <c r="X56" i="39"/>
  <c r="N56" i="39"/>
  <c r="L56" i="39"/>
  <c r="B56" i="39"/>
  <c r="X55" i="39"/>
  <c r="Z55" i="39" s="1"/>
  <c r="N55" i="39"/>
  <c r="L55" i="39"/>
  <c r="B55" i="39"/>
  <c r="Z54" i="39"/>
  <c r="X54" i="39"/>
  <c r="L54" i="39"/>
  <c r="N54" i="39" s="1"/>
  <c r="B54" i="39"/>
  <c r="X53" i="39"/>
  <c r="Z53" i="39" s="1"/>
  <c r="L53" i="39"/>
  <c r="N53" i="39" s="1"/>
  <c r="B53" i="39"/>
  <c r="X52" i="39"/>
  <c r="Z52" i="39" s="1"/>
  <c r="N52" i="39"/>
  <c r="L52" i="39"/>
  <c r="B52" i="39"/>
  <c r="X51" i="39"/>
  <c r="Z51" i="39" s="1"/>
  <c r="N51" i="39"/>
  <c r="L51" i="39"/>
  <c r="B51" i="39"/>
  <c r="Z50" i="39"/>
  <c r="X50" i="39"/>
  <c r="L50" i="39"/>
  <c r="N50" i="39" s="1"/>
  <c r="B50" i="39"/>
  <c r="T49" i="39"/>
  <c r="P49" i="39"/>
  <c r="H49" i="39"/>
  <c r="L49" i="39" s="1"/>
  <c r="D49" i="39"/>
  <c r="B49" i="39"/>
  <c r="X48" i="39"/>
  <c r="Z48" i="39" s="1"/>
  <c r="N48" i="39"/>
  <c r="L48" i="39"/>
  <c r="B48" i="39"/>
  <c r="Z47" i="39"/>
  <c r="X47" i="39"/>
  <c r="N47" i="39"/>
  <c r="L47" i="39"/>
  <c r="B47" i="39"/>
  <c r="X46" i="39"/>
  <c r="Z46" i="39" s="1"/>
  <c r="N46" i="39"/>
  <c r="L46" i="39"/>
  <c r="B46" i="39"/>
  <c r="X45" i="39"/>
  <c r="Z45" i="39" s="1"/>
  <c r="N45" i="39"/>
  <c r="L45" i="39"/>
  <c r="B45" i="39"/>
  <c r="Z44" i="39"/>
  <c r="X44" i="39"/>
  <c r="N44" i="39"/>
  <c r="L44" i="39"/>
  <c r="B44" i="39"/>
  <c r="X43" i="39"/>
  <c r="Z43" i="39" s="1"/>
  <c r="L43" i="39"/>
  <c r="N43" i="39" s="1"/>
  <c r="B43" i="39"/>
  <c r="Z42" i="39"/>
  <c r="X42" i="39"/>
  <c r="N42" i="39"/>
  <c r="L42" i="39"/>
  <c r="B42" i="39"/>
  <c r="X41" i="39"/>
  <c r="Z41" i="39" s="1"/>
  <c r="L41" i="39"/>
  <c r="N41" i="39" s="1"/>
  <c r="B41" i="39"/>
  <c r="Z40" i="39"/>
  <c r="X40" i="39"/>
  <c r="N40" i="39"/>
  <c r="L40" i="39"/>
  <c r="B40" i="39"/>
  <c r="T39" i="39"/>
  <c r="P39" i="39"/>
  <c r="X39" i="39" s="1"/>
  <c r="Z39" i="39" s="1"/>
  <c r="H39" i="39"/>
  <c r="D39" i="39"/>
  <c r="B39" i="39"/>
  <c r="T38" i="39"/>
  <c r="P38" i="39"/>
  <c r="H38" i="39"/>
  <c r="N38" i="39" s="1"/>
  <c r="D38" i="39"/>
  <c r="L38" i="39" s="1"/>
  <c r="P36" i="39"/>
  <c r="X34" i="39"/>
  <c r="Z34" i="39" s="1"/>
  <c r="N34" i="39"/>
  <c r="L34" i="39"/>
  <c r="B34" i="39"/>
  <c r="X33" i="39"/>
  <c r="Z33" i="39" s="1"/>
  <c r="R33" i="39"/>
  <c r="L33" i="39"/>
  <c r="N33" i="39" s="1"/>
  <c r="B33" i="39"/>
  <c r="T32" i="39"/>
  <c r="P32" i="39"/>
  <c r="X32" i="39" s="1"/>
  <c r="Z32" i="39" s="1"/>
  <c r="L32" i="39"/>
  <c r="H32" i="39"/>
  <c r="N32" i="39" s="1"/>
  <c r="D32" i="39"/>
  <c r="T30" i="39"/>
  <c r="P30" i="39"/>
  <c r="H30" i="39"/>
  <c r="N30" i="39" s="1"/>
  <c r="D30" i="39"/>
  <c r="L30" i="39" s="1"/>
  <c r="B30" i="39"/>
  <c r="T29" i="39"/>
  <c r="P29" i="39"/>
  <c r="X29" i="39" s="1"/>
  <c r="Z29" i="39" s="1"/>
  <c r="L29" i="39"/>
  <c r="N29" i="39" s="1"/>
  <c r="H29" i="39"/>
  <c r="D29" i="39"/>
  <c r="B29" i="39"/>
  <c r="X28" i="39"/>
  <c r="T28" i="39"/>
  <c r="Z28" i="39" s="1"/>
  <c r="P28" i="39"/>
  <c r="L28" i="39"/>
  <c r="H28" i="39"/>
  <c r="N28" i="39" s="1"/>
  <c r="D28" i="39"/>
  <c r="B28" i="39"/>
  <c r="T27" i="39"/>
  <c r="Z27" i="39" s="1"/>
  <c r="P27" i="39"/>
  <c r="X27" i="39" s="1"/>
  <c r="H27" i="39"/>
  <c r="L27" i="39" s="1"/>
  <c r="N27" i="39" s="1"/>
  <c r="D27" i="39"/>
  <c r="B27" i="39"/>
  <c r="T26" i="39"/>
  <c r="P26" i="39"/>
  <c r="H26" i="39"/>
  <c r="N26" i="39" s="1"/>
  <c r="D26" i="39"/>
  <c r="L26" i="39" s="1"/>
  <c r="B26" i="39"/>
  <c r="T25" i="39"/>
  <c r="P25" i="39"/>
  <c r="X25" i="39" s="1"/>
  <c r="Z25" i="39" s="1"/>
  <c r="L25" i="39"/>
  <c r="N25" i="39" s="1"/>
  <c r="H25" i="39"/>
  <c r="D25" i="39"/>
  <c r="B25" i="39"/>
  <c r="X24" i="39"/>
  <c r="T24" i="39"/>
  <c r="Z24" i="39" s="1"/>
  <c r="P24" i="39"/>
  <c r="L24" i="39"/>
  <c r="H24" i="39"/>
  <c r="N24" i="39" s="1"/>
  <c r="D24" i="39"/>
  <c r="B24" i="39"/>
  <c r="T23" i="39"/>
  <c r="P23" i="39"/>
  <c r="X23" i="39" s="1"/>
  <c r="N23" i="39"/>
  <c r="H23" i="39"/>
  <c r="L23" i="39" s="1"/>
  <c r="D23" i="39"/>
  <c r="B23" i="39"/>
  <c r="T22" i="39"/>
  <c r="P22" i="39"/>
  <c r="H22" i="39"/>
  <c r="N22" i="39" s="1"/>
  <c r="D22" i="39"/>
  <c r="L22" i="39" s="1"/>
  <c r="B22" i="39"/>
  <c r="T21" i="39"/>
  <c r="P21" i="39"/>
  <c r="X21" i="39" s="1"/>
  <c r="Z21" i="39" s="1"/>
  <c r="L21" i="39"/>
  <c r="N21" i="39" s="1"/>
  <c r="H21" i="39"/>
  <c r="D21" i="39"/>
  <c r="B21" i="39"/>
  <c r="X20" i="39"/>
  <c r="T20" i="39"/>
  <c r="Z20" i="39" s="1"/>
  <c r="P20" i="39"/>
  <c r="L20" i="39"/>
  <c r="H20" i="39"/>
  <c r="N20" i="39" s="1"/>
  <c r="D20" i="39"/>
  <c r="B20" i="39"/>
  <c r="T19" i="39"/>
  <c r="P19" i="39"/>
  <c r="X19" i="39" s="1"/>
  <c r="H19" i="39"/>
  <c r="L19" i="39" s="1"/>
  <c r="N19" i="39" s="1"/>
  <c r="D19" i="39"/>
  <c r="B19" i="39"/>
  <c r="T18" i="39"/>
  <c r="P18" i="39"/>
  <c r="H18" i="39"/>
  <c r="N18" i="39" s="1"/>
  <c r="D18" i="39"/>
  <c r="L18" i="39" s="1"/>
  <c r="B18" i="39"/>
  <c r="T17" i="39"/>
  <c r="P17" i="39"/>
  <c r="X17" i="39" s="1"/>
  <c r="Z17" i="39" s="1"/>
  <c r="L17" i="39"/>
  <c r="N17" i="39" s="1"/>
  <c r="H17" i="39"/>
  <c r="D17" i="39"/>
  <c r="B17" i="39"/>
  <c r="X16" i="39"/>
  <c r="T16" i="39"/>
  <c r="Z16" i="39" s="1"/>
  <c r="P16" i="39"/>
  <c r="L16" i="39"/>
  <c r="H16" i="39"/>
  <c r="N16" i="39" s="1"/>
  <c r="D16" i="39"/>
  <c r="B16" i="39"/>
  <c r="T15" i="39"/>
  <c r="Z15" i="39" s="1"/>
  <c r="P15" i="39"/>
  <c r="X15" i="39" s="1"/>
  <c r="H15" i="39"/>
  <c r="L15" i="39" s="1"/>
  <c r="N15" i="39" s="1"/>
  <c r="D15" i="39"/>
  <c r="B15" i="39"/>
  <c r="T14" i="39"/>
  <c r="P14" i="39"/>
  <c r="H14" i="39"/>
  <c r="H12" i="39" s="1"/>
  <c r="D14" i="39"/>
  <c r="D12" i="39" s="1"/>
  <c r="B14" i="39"/>
  <c r="T13" i="39"/>
  <c r="P13" i="39"/>
  <c r="X13" i="39" s="1"/>
  <c r="Z13" i="39" s="1"/>
  <c r="L13" i="39"/>
  <c r="N13" i="39" s="1"/>
  <c r="H13" i="39"/>
  <c r="D13" i="39"/>
  <c r="B13" i="39"/>
  <c r="P12" i="39"/>
  <c r="R132" i="39" s="1"/>
  <c r="D4" i="39"/>
  <c r="Z124" i="36"/>
  <c r="X124" i="36"/>
  <c r="N124" i="36"/>
  <c r="L124" i="36"/>
  <c r="X120" i="36"/>
  <c r="Z120" i="36" s="1"/>
  <c r="T120" i="36"/>
  <c r="P120" i="36"/>
  <c r="N120" i="36"/>
  <c r="L120" i="36"/>
  <c r="H120" i="36"/>
  <c r="D120" i="36"/>
  <c r="B120" i="36"/>
  <c r="T119" i="36"/>
  <c r="P119" i="36"/>
  <c r="X119" i="36" s="1"/>
  <c r="Z119" i="36" s="1"/>
  <c r="L119" i="36"/>
  <c r="N119" i="36" s="1"/>
  <c r="H119" i="36"/>
  <c r="D119" i="36"/>
  <c r="B119" i="36"/>
  <c r="T118" i="36"/>
  <c r="Z118" i="36" s="1"/>
  <c r="P118" i="36"/>
  <c r="X118" i="36" s="1"/>
  <c r="H118" i="36"/>
  <c r="H117" i="36" s="1"/>
  <c r="D118" i="36"/>
  <c r="D117" i="36" s="1"/>
  <c r="B118" i="36"/>
  <c r="T117" i="36"/>
  <c r="X115" i="36"/>
  <c r="Z115" i="36" s="1"/>
  <c r="L115" i="36"/>
  <c r="N115" i="36" s="1"/>
  <c r="B115" i="36"/>
  <c r="X114" i="36"/>
  <c r="Z114" i="36" s="1"/>
  <c r="T114" i="36"/>
  <c r="P114" i="36"/>
  <c r="N114" i="36"/>
  <c r="L114" i="36"/>
  <c r="H114" i="36"/>
  <c r="D114" i="36"/>
  <c r="B114" i="36"/>
  <c r="Z113" i="36"/>
  <c r="X113" i="36"/>
  <c r="L113" i="36"/>
  <c r="N113" i="36" s="1"/>
  <c r="B113" i="36"/>
  <c r="Z112" i="36"/>
  <c r="X112" i="36"/>
  <c r="N112" i="36"/>
  <c r="L112" i="36"/>
  <c r="B112" i="36"/>
  <c r="X111" i="36"/>
  <c r="Z111" i="36" s="1"/>
  <c r="N111" i="36"/>
  <c r="L111" i="36"/>
  <c r="B111" i="36"/>
  <c r="T110" i="36"/>
  <c r="P110" i="36"/>
  <c r="H110" i="36"/>
  <c r="D110" i="36"/>
  <c r="B110" i="36"/>
  <c r="X109" i="36"/>
  <c r="Z109" i="36" s="1"/>
  <c r="L109" i="36"/>
  <c r="N109" i="36" s="1"/>
  <c r="B109" i="36"/>
  <c r="T108" i="36"/>
  <c r="Z108" i="36" s="1"/>
  <c r="P108" i="36"/>
  <c r="X108" i="36" s="1"/>
  <c r="H108" i="36"/>
  <c r="D108" i="36"/>
  <c r="L108" i="36" s="1"/>
  <c r="N108" i="36" s="1"/>
  <c r="B108" i="36"/>
  <c r="X107" i="36"/>
  <c r="Z107" i="36" s="1"/>
  <c r="L107" i="36"/>
  <c r="N107" i="36" s="1"/>
  <c r="B107" i="36"/>
  <c r="X106" i="36"/>
  <c r="Z106" i="36" s="1"/>
  <c r="T106" i="36"/>
  <c r="P106" i="36"/>
  <c r="N106" i="36"/>
  <c r="L106" i="36"/>
  <c r="H106" i="36"/>
  <c r="D106" i="36"/>
  <c r="B106" i="36"/>
  <c r="Z105" i="36"/>
  <c r="X105" i="36"/>
  <c r="L105" i="36"/>
  <c r="N105" i="36" s="1"/>
  <c r="B105" i="36"/>
  <c r="Z104" i="36"/>
  <c r="X104" i="36"/>
  <c r="L104" i="36"/>
  <c r="N104" i="36" s="1"/>
  <c r="B104" i="36"/>
  <c r="X103" i="36"/>
  <c r="Z103" i="36" s="1"/>
  <c r="N103" i="36"/>
  <c r="L103" i="36"/>
  <c r="B103" i="36"/>
  <c r="Z102" i="36"/>
  <c r="X102" i="36"/>
  <c r="N102" i="36"/>
  <c r="L102" i="36"/>
  <c r="B102" i="36"/>
  <c r="Z101" i="36"/>
  <c r="X101" i="36"/>
  <c r="L101" i="36"/>
  <c r="N101" i="36" s="1"/>
  <c r="B101" i="36"/>
  <c r="Z100" i="36"/>
  <c r="X100" i="36"/>
  <c r="L100" i="36"/>
  <c r="N100" i="36" s="1"/>
  <c r="B100" i="36"/>
  <c r="X99" i="36"/>
  <c r="Z99" i="36" s="1"/>
  <c r="N99" i="36"/>
  <c r="L99" i="36"/>
  <c r="B99" i="36"/>
  <c r="Z98" i="36"/>
  <c r="X98" i="36"/>
  <c r="N98" i="36"/>
  <c r="L98" i="36"/>
  <c r="B98" i="36"/>
  <c r="T97" i="36"/>
  <c r="P97" i="36"/>
  <c r="X97" i="36" s="1"/>
  <c r="Z97" i="36" s="1"/>
  <c r="L97" i="36"/>
  <c r="N97" i="36" s="1"/>
  <c r="H97" i="36"/>
  <c r="D97" i="36"/>
  <c r="B97" i="36"/>
  <c r="X96" i="36"/>
  <c r="Z96" i="36" s="1"/>
  <c r="N96" i="36"/>
  <c r="L96" i="36"/>
  <c r="B96" i="36"/>
  <c r="T95" i="36"/>
  <c r="P95" i="36"/>
  <c r="X95" i="36" s="1"/>
  <c r="Z95" i="36" s="1"/>
  <c r="L95" i="36"/>
  <c r="H95" i="36"/>
  <c r="N95" i="36" s="1"/>
  <c r="D95" i="36"/>
  <c r="B95" i="36"/>
  <c r="X94" i="36"/>
  <c r="Z94" i="36" s="1"/>
  <c r="N94" i="36"/>
  <c r="L94" i="36"/>
  <c r="B94" i="36"/>
  <c r="X93" i="36"/>
  <c r="Z93" i="36" s="1"/>
  <c r="N93" i="36"/>
  <c r="L93" i="36"/>
  <c r="B93" i="36"/>
  <c r="Z92" i="36"/>
  <c r="X92" i="36"/>
  <c r="N92" i="36"/>
  <c r="L92" i="36"/>
  <c r="B92" i="36"/>
  <c r="X91" i="36"/>
  <c r="Z91" i="36" s="1"/>
  <c r="L91" i="36"/>
  <c r="N91" i="36" s="1"/>
  <c r="B91" i="36"/>
  <c r="X90" i="36"/>
  <c r="Z90" i="36" s="1"/>
  <c r="N90" i="36"/>
  <c r="L90" i="36"/>
  <c r="B90" i="36"/>
  <c r="X89" i="36"/>
  <c r="T89" i="36"/>
  <c r="Z89" i="36" s="1"/>
  <c r="P89" i="36"/>
  <c r="H89" i="36"/>
  <c r="D89" i="36"/>
  <c r="L89" i="36" s="1"/>
  <c r="B89" i="36"/>
  <c r="Z88" i="36"/>
  <c r="X88" i="36"/>
  <c r="L88" i="36"/>
  <c r="N88" i="36" s="1"/>
  <c r="B88" i="36"/>
  <c r="X87" i="36"/>
  <c r="Z87" i="36" s="1"/>
  <c r="L87" i="36"/>
  <c r="N87" i="36" s="1"/>
  <c r="B87" i="36"/>
  <c r="T86" i="36"/>
  <c r="P86" i="36"/>
  <c r="H86" i="36"/>
  <c r="D86" i="36"/>
  <c r="B86" i="36"/>
  <c r="X85" i="36"/>
  <c r="Z85" i="36" s="1"/>
  <c r="L85" i="36"/>
  <c r="N85" i="36" s="1"/>
  <c r="B85" i="36"/>
  <c r="X84" i="36"/>
  <c r="Z84" i="36" s="1"/>
  <c r="N84" i="36"/>
  <c r="L84" i="36"/>
  <c r="B84" i="36"/>
  <c r="X83" i="36"/>
  <c r="Z83" i="36" s="1"/>
  <c r="L83" i="36"/>
  <c r="N83" i="36" s="1"/>
  <c r="B83" i="36"/>
  <c r="T82" i="36"/>
  <c r="P82" i="36"/>
  <c r="X82" i="36" s="1"/>
  <c r="Z82" i="36" s="1"/>
  <c r="H82" i="36"/>
  <c r="D82" i="36"/>
  <c r="L82" i="36" s="1"/>
  <c r="B82" i="36"/>
  <c r="X81" i="36"/>
  <c r="Z81" i="36" s="1"/>
  <c r="N81" i="36"/>
  <c r="L81" i="36"/>
  <c r="B81" i="36"/>
  <c r="Z80" i="36"/>
  <c r="X80" i="36"/>
  <c r="T80" i="36"/>
  <c r="P80" i="36"/>
  <c r="L80" i="36"/>
  <c r="N80" i="36" s="1"/>
  <c r="H80" i="36"/>
  <c r="D80" i="36"/>
  <c r="B80" i="36"/>
  <c r="X79" i="36"/>
  <c r="Z79" i="36" s="1"/>
  <c r="L79" i="36"/>
  <c r="N79" i="36" s="1"/>
  <c r="B79" i="36"/>
  <c r="T78" i="36"/>
  <c r="P78" i="36"/>
  <c r="H78" i="36"/>
  <c r="D78" i="36"/>
  <c r="B78" i="36"/>
  <c r="Z77" i="36"/>
  <c r="X77" i="36"/>
  <c r="N77" i="36"/>
  <c r="L77" i="36"/>
  <c r="B77" i="36"/>
  <c r="T76" i="36"/>
  <c r="Z76" i="36" s="1"/>
  <c r="P76" i="36"/>
  <c r="X76" i="36" s="1"/>
  <c r="N76" i="36"/>
  <c r="H76" i="36"/>
  <c r="D76" i="36"/>
  <c r="L76" i="36" s="1"/>
  <c r="B76" i="36"/>
  <c r="X75" i="36"/>
  <c r="Z75" i="36" s="1"/>
  <c r="L75" i="36"/>
  <c r="N75" i="36" s="1"/>
  <c r="B75" i="36"/>
  <c r="X74" i="36"/>
  <c r="Z74" i="36" s="1"/>
  <c r="T74" i="36"/>
  <c r="P74" i="36"/>
  <c r="N74" i="36"/>
  <c r="L74" i="36"/>
  <c r="H74" i="36"/>
  <c r="D74" i="36"/>
  <c r="B74" i="36"/>
  <c r="Z73" i="36"/>
  <c r="X73" i="36"/>
  <c r="L73" i="36"/>
  <c r="N73" i="36" s="1"/>
  <c r="B73" i="36"/>
  <c r="T72" i="36"/>
  <c r="P72" i="36"/>
  <c r="H72" i="36"/>
  <c r="D72" i="36"/>
  <c r="B72" i="36"/>
  <c r="X71" i="36"/>
  <c r="Z71" i="36" s="1"/>
  <c r="L71" i="36"/>
  <c r="N71" i="36" s="1"/>
  <c r="B71" i="36"/>
  <c r="Z70" i="36"/>
  <c r="X70" i="36"/>
  <c r="L70" i="36"/>
  <c r="N70" i="36" s="1"/>
  <c r="B70" i="36"/>
  <c r="X69" i="36"/>
  <c r="T69" i="36"/>
  <c r="P69" i="36"/>
  <c r="H69" i="36"/>
  <c r="D69" i="36"/>
  <c r="L69" i="36" s="1"/>
  <c r="N69" i="36" s="1"/>
  <c r="B69" i="36"/>
  <c r="Z68" i="36"/>
  <c r="X68" i="36"/>
  <c r="N68" i="36"/>
  <c r="L68" i="36"/>
  <c r="B68" i="36"/>
  <c r="T67" i="36"/>
  <c r="P67" i="36"/>
  <c r="X67" i="36" s="1"/>
  <c r="L67" i="36"/>
  <c r="H67" i="36"/>
  <c r="N67" i="36" s="1"/>
  <c r="D67" i="36"/>
  <c r="B67" i="36"/>
  <c r="Z66" i="36"/>
  <c r="X66" i="36"/>
  <c r="N66" i="36"/>
  <c r="L66" i="36"/>
  <c r="B66" i="36"/>
  <c r="Z65" i="36"/>
  <c r="T65" i="36"/>
  <c r="P65" i="36"/>
  <c r="X65" i="36" s="1"/>
  <c r="L65" i="36"/>
  <c r="N65" i="36" s="1"/>
  <c r="H65" i="36"/>
  <c r="D65" i="36"/>
  <c r="B65" i="36"/>
  <c r="X64" i="36"/>
  <c r="Z64" i="36" s="1"/>
  <c r="N64" i="36"/>
  <c r="L64" i="36"/>
  <c r="B64" i="36"/>
  <c r="T63" i="36"/>
  <c r="P63" i="36"/>
  <c r="X63" i="36" s="1"/>
  <c r="Z63" i="36" s="1"/>
  <c r="L63" i="36"/>
  <c r="H63" i="36"/>
  <c r="N63" i="36" s="1"/>
  <c r="D63" i="36"/>
  <c r="B63" i="36"/>
  <c r="X62" i="36"/>
  <c r="Z62" i="36" s="1"/>
  <c r="N62" i="36"/>
  <c r="L62" i="36"/>
  <c r="B62" i="36"/>
  <c r="X61" i="36"/>
  <c r="T61" i="36"/>
  <c r="Z61" i="36" s="1"/>
  <c r="P61" i="36"/>
  <c r="H61" i="36"/>
  <c r="D61" i="36"/>
  <c r="B61" i="36"/>
  <c r="Z60" i="36"/>
  <c r="X60" i="36"/>
  <c r="L60" i="36"/>
  <c r="N60" i="36" s="1"/>
  <c r="B60" i="36"/>
  <c r="X59" i="36"/>
  <c r="Z59" i="36" s="1"/>
  <c r="L59" i="36"/>
  <c r="N59" i="36" s="1"/>
  <c r="B59" i="36"/>
  <c r="Z58" i="36"/>
  <c r="X58" i="36"/>
  <c r="N58" i="36"/>
  <c r="L58" i="36"/>
  <c r="B58" i="36"/>
  <c r="Z57" i="36"/>
  <c r="T57" i="36"/>
  <c r="P57" i="36"/>
  <c r="X57" i="36" s="1"/>
  <c r="L57" i="36"/>
  <c r="N57" i="36" s="1"/>
  <c r="H57" i="36"/>
  <c r="D57" i="36"/>
  <c r="B57" i="36"/>
  <c r="X56" i="36"/>
  <c r="Z56" i="36" s="1"/>
  <c r="N56" i="36"/>
  <c r="L56" i="36"/>
  <c r="B56" i="36"/>
  <c r="X55" i="36"/>
  <c r="Z55" i="36" s="1"/>
  <c r="T55" i="36"/>
  <c r="P55" i="36"/>
  <c r="L55" i="36"/>
  <c r="H55" i="36"/>
  <c r="D55" i="36"/>
  <c r="B55" i="36"/>
  <c r="X54" i="36"/>
  <c r="Z54" i="36" s="1"/>
  <c r="N54" i="36"/>
  <c r="L54" i="36"/>
  <c r="B54" i="36"/>
  <c r="X53" i="36"/>
  <c r="T53" i="36"/>
  <c r="Z53" i="36" s="1"/>
  <c r="P53" i="36"/>
  <c r="H53" i="36"/>
  <c r="D53" i="36"/>
  <c r="B53" i="36"/>
  <c r="Z52" i="36"/>
  <c r="X52" i="36"/>
  <c r="L52" i="36"/>
  <c r="N52" i="36" s="1"/>
  <c r="B52" i="36"/>
  <c r="X51" i="36"/>
  <c r="Z51" i="36" s="1"/>
  <c r="T51" i="36"/>
  <c r="P51" i="36"/>
  <c r="N51" i="36"/>
  <c r="H51" i="36"/>
  <c r="D51" i="36"/>
  <c r="L51" i="36" s="1"/>
  <c r="B51" i="36"/>
  <c r="Z50" i="36"/>
  <c r="X50" i="36"/>
  <c r="L50" i="36"/>
  <c r="N50" i="36" s="1"/>
  <c r="B50" i="36"/>
  <c r="X49" i="36"/>
  <c r="Z49" i="36" s="1"/>
  <c r="L49" i="36"/>
  <c r="N49" i="36" s="1"/>
  <c r="B49" i="36"/>
  <c r="X48" i="36"/>
  <c r="Z48" i="36" s="1"/>
  <c r="N48" i="36"/>
  <c r="L48" i="36"/>
  <c r="B48" i="36"/>
  <c r="X47" i="36"/>
  <c r="Z47" i="36" s="1"/>
  <c r="L47" i="36"/>
  <c r="N47" i="36" s="1"/>
  <c r="B47" i="36"/>
  <c r="Z46" i="36"/>
  <c r="X46" i="36"/>
  <c r="L46" i="36"/>
  <c r="N46" i="36" s="1"/>
  <c r="B46" i="36"/>
  <c r="X45" i="36"/>
  <c r="Z45" i="36" s="1"/>
  <c r="L45" i="36"/>
  <c r="N45" i="36" s="1"/>
  <c r="B45" i="36"/>
  <c r="X44" i="36"/>
  <c r="Z44" i="36" s="1"/>
  <c r="N44" i="36"/>
  <c r="L44" i="36"/>
  <c r="B44" i="36"/>
  <c r="T43" i="36"/>
  <c r="P43" i="36"/>
  <c r="X43" i="36" s="1"/>
  <c r="Z43" i="36" s="1"/>
  <c r="L43" i="36"/>
  <c r="H43" i="36"/>
  <c r="D43" i="36"/>
  <c r="B43" i="36"/>
  <c r="X42" i="36"/>
  <c r="Z42" i="36" s="1"/>
  <c r="N42" i="36"/>
  <c r="L42" i="36"/>
  <c r="B42" i="36"/>
  <c r="X41" i="36"/>
  <c r="Z41" i="36" s="1"/>
  <c r="N41" i="36"/>
  <c r="L41" i="36"/>
  <c r="B41" i="36"/>
  <c r="Z40" i="36"/>
  <c r="X40" i="36"/>
  <c r="N40" i="36"/>
  <c r="L40" i="36"/>
  <c r="B40" i="36"/>
  <c r="X39" i="36"/>
  <c r="Z39" i="36" s="1"/>
  <c r="L39" i="36"/>
  <c r="N39" i="36" s="1"/>
  <c r="B39" i="36"/>
  <c r="X38" i="36"/>
  <c r="Z38" i="36" s="1"/>
  <c r="N38" i="36"/>
  <c r="L38" i="36"/>
  <c r="B38" i="36"/>
  <c r="X37" i="36"/>
  <c r="Z37" i="36" s="1"/>
  <c r="N37" i="36"/>
  <c r="L37" i="36"/>
  <c r="B37" i="36"/>
  <c r="Z36" i="36"/>
  <c r="X36" i="36"/>
  <c r="N36" i="36"/>
  <c r="L36" i="36"/>
  <c r="B36" i="36"/>
  <c r="X35" i="36"/>
  <c r="Z35" i="36" s="1"/>
  <c r="L35" i="36"/>
  <c r="N35" i="36" s="1"/>
  <c r="B35" i="36"/>
  <c r="X34" i="36"/>
  <c r="Z34" i="36" s="1"/>
  <c r="N34" i="36"/>
  <c r="L34" i="36"/>
  <c r="B34" i="36"/>
  <c r="X33" i="36"/>
  <c r="T33" i="36"/>
  <c r="Z33" i="36" s="1"/>
  <c r="P33" i="36"/>
  <c r="H33" i="36"/>
  <c r="D33" i="36"/>
  <c r="L33" i="36" s="1"/>
  <c r="B33" i="36"/>
  <c r="T32" i="36"/>
  <c r="P32" i="36"/>
  <c r="H32" i="36"/>
  <c r="N32" i="36" s="1"/>
  <c r="D32" i="36"/>
  <c r="L32" i="36" s="1"/>
  <c r="Z28" i="36"/>
  <c r="X28" i="36"/>
  <c r="L28" i="36"/>
  <c r="N28" i="36" s="1"/>
  <c r="B28" i="36"/>
  <c r="Z27" i="36"/>
  <c r="X27" i="36"/>
  <c r="L27" i="36"/>
  <c r="N27" i="36" s="1"/>
  <c r="B27" i="36"/>
  <c r="T26" i="36"/>
  <c r="P26" i="36"/>
  <c r="H26" i="36"/>
  <c r="D26" i="36"/>
  <c r="T24" i="36"/>
  <c r="P24" i="36"/>
  <c r="X24" i="36" s="1"/>
  <c r="N24" i="36"/>
  <c r="H24" i="36"/>
  <c r="L24" i="36" s="1"/>
  <c r="D24" i="36"/>
  <c r="B24" i="36"/>
  <c r="T23" i="36"/>
  <c r="P23" i="36"/>
  <c r="X23" i="36" s="1"/>
  <c r="Z23" i="36" s="1"/>
  <c r="H23" i="36"/>
  <c r="D23" i="36"/>
  <c r="B23" i="36"/>
  <c r="T22" i="36"/>
  <c r="P22" i="36"/>
  <c r="X22" i="36" s="1"/>
  <c r="Z22" i="36" s="1"/>
  <c r="L22" i="36"/>
  <c r="H22" i="36"/>
  <c r="N22" i="36" s="1"/>
  <c r="D22" i="36"/>
  <c r="B22" i="36"/>
  <c r="Z21" i="36"/>
  <c r="X21" i="36"/>
  <c r="T21" i="36"/>
  <c r="P21" i="36"/>
  <c r="H21" i="36"/>
  <c r="D21" i="36"/>
  <c r="B21" i="36"/>
  <c r="T20" i="36"/>
  <c r="P20" i="36"/>
  <c r="H20" i="36"/>
  <c r="L20" i="36" s="1"/>
  <c r="N20" i="36" s="1"/>
  <c r="D20" i="36"/>
  <c r="B20" i="36"/>
  <c r="Z19" i="36"/>
  <c r="T19" i="36"/>
  <c r="P19" i="36"/>
  <c r="X19" i="36" s="1"/>
  <c r="L19" i="36"/>
  <c r="H19" i="36"/>
  <c r="D19" i="36"/>
  <c r="B19" i="36"/>
  <c r="T18" i="36"/>
  <c r="P18" i="36"/>
  <c r="X18" i="36" s="1"/>
  <c r="Z18" i="36" s="1"/>
  <c r="L18" i="36"/>
  <c r="H18" i="36"/>
  <c r="N18" i="36" s="1"/>
  <c r="D18" i="36"/>
  <c r="B18" i="36"/>
  <c r="Z17" i="36"/>
  <c r="X17" i="36"/>
  <c r="T17" i="36"/>
  <c r="P17" i="36"/>
  <c r="H17" i="36"/>
  <c r="D17" i="36"/>
  <c r="B17" i="36"/>
  <c r="T16" i="36"/>
  <c r="T12" i="36" s="1"/>
  <c r="P16" i="36"/>
  <c r="X16" i="36" s="1"/>
  <c r="N16" i="36"/>
  <c r="H16" i="36"/>
  <c r="L16" i="36" s="1"/>
  <c r="D16" i="36"/>
  <c r="B16" i="36"/>
  <c r="Z15" i="36"/>
  <c r="T15" i="36"/>
  <c r="P15" i="36"/>
  <c r="X15" i="36" s="1"/>
  <c r="H15" i="36"/>
  <c r="D15" i="36"/>
  <c r="D12" i="36" s="1"/>
  <c r="F47" i="36" s="1"/>
  <c r="B15" i="36"/>
  <c r="T14" i="36"/>
  <c r="Z14" i="36" s="1"/>
  <c r="P14" i="36"/>
  <c r="X14" i="36" s="1"/>
  <c r="L14" i="36"/>
  <c r="H14" i="36"/>
  <c r="N14" i="36" s="1"/>
  <c r="D14" i="36"/>
  <c r="B14" i="36"/>
  <c r="Z13" i="36"/>
  <c r="X13" i="36"/>
  <c r="T13" i="36"/>
  <c r="P13" i="36"/>
  <c r="H13" i="36"/>
  <c r="D13" i="36"/>
  <c r="B13" i="36"/>
  <c r="D4" i="36"/>
  <c r="Z93" i="33"/>
  <c r="X93" i="33"/>
  <c r="N93" i="33"/>
  <c r="L93" i="33"/>
  <c r="X89" i="33"/>
  <c r="T89" i="33"/>
  <c r="Z89" i="33" s="1"/>
  <c r="P89" i="33"/>
  <c r="L89" i="33"/>
  <c r="H89" i="33"/>
  <c r="N89" i="33" s="1"/>
  <c r="D89" i="33"/>
  <c r="B89" i="33"/>
  <c r="X88" i="33"/>
  <c r="T88" i="33"/>
  <c r="P88" i="33"/>
  <c r="N88" i="33"/>
  <c r="L88" i="33"/>
  <c r="H88" i="33"/>
  <c r="D88" i="33"/>
  <c r="B88" i="33"/>
  <c r="T87" i="33"/>
  <c r="P87" i="33"/>
  <c r="X87" i="33" s="1"/>
  <c r="Z87" i="33" s="1"/>
  <c r="N87" i="33"/>
  <c r="L87" i="33"/>
  <c r="H87" i="33"/>
  <c r="D87" i="33"/>
  <c r="B87" i="33"/>
  <c r="T86" i="33"/>
  <c r="P86" i="33"/>
  <c r="X86" i="33" s="1"/>
  <c r="Z86" i="33" s="1"/>
  <c r="N86" i="33"/>
  <c r="H86" i="33"/>
  <c r="D86" i="33"/>
  <c r="L86" i="33" s="1"/>
  <c r="B86" i="33"/>
  <c r="T85" i="33"/>
  <c r="P85" i="33"/>
  <c r="H85" i="33"/>
  <c r="L85" i="33" s="1"/>
  <c r="D85" i="33"/>
  <c r="B85" i="33"/>
  <c r="T84" i="33"/>
  <c r="P84" i="33"/>
  <c r="H84" i="33"/>
  <c r="D84" i="33"/>
  <c r="B84" i="33"/>
  <c r="Z81" i="33"/>
  <c r="X81" i="33"/>
  <c r="N81" i="33"/>
  <c r="L81" i="33"/>
  <c r="B81" i="33"/>
  <c r="Z80" i="33"/>
  <c r="T80" i="33"/>
  <c r="P80" i="33"/>
  <c r="X80" i="33" s="1"/>
  <c r="N80" i="33"/>
  <c r="H80" i="33"/>
  <c r="D80" i="33"/>
  <c r="L80" i="33" s="1"/>
  <c r="B80" i="33"/>
  <c r="Z79" i="33"/>
  <c r="X79" i="33"/>
  <c r="N79" i="33"/>
  <c r="L79" i="33"/>
  <c r="B79" i="33"/>
  <c r="X78" i="33"/>
  <c r="T78" i="33"/>
  <c r="P78" i="33"/>
  <c r="N78" i="33"/>
  <c r="L78" i="33"/>
  <c r="H78" i="33"/>
  <c r="D78" i="33"/>
  <c r="B78" i="33"/>
  <c r="Z77" i="33"/>
  <c r="X77" i="33"/>
  <c r="L77" i="33"/>
  <c r="N77" i="33" s="1"/>
  <c r="B77" i="33"/>
  <c r="Z76" i="33"/>
  <c r="X76" i="33"/>
  <c r="L76" i="33"/>
  <c r="N76" i="33" s="1"/>
  <c r="B76" i="33"/>
  <c r="Z75" i="33"/>
  <c r="X75" i="33"/>
  <c r="L75" i="33"/>
  <c r="N75" i="33" s="1"/>
  <c r="B75" i="33"/>
  <c r="Z74" i="33"/>
  <c r="X74" i="33"/>
  <c r="N74" i="33"/>
  <c r="L74" i="33"/>
  <c r="B74" i="33"/>
  <c r="Z73" i="33"/>
  <c r="X73" i="33"/>
  <c r="N73" i="33"/>
  <c r="L73" i="33"/>
  <c r="B73" i="33"/>
  <c r="T72" i="33"/>
  <c r="P72" i="33"/>
  <c r="H72" i="33"/>
  <c r="D72" i="33"/>
  <c r="B72" i="33"/>
  <c r="X71" i="33"/>
  <c r="Z71" i="33" s="1"/>
  <c r="N71" i="33"/>
  <c r="L71" i="33"/>
  <c r="B71" i="33"/>
  <c r="Z70" i="33"/>
  <c r="T70" i="33"/>
  <c r="P70" i="33"/>
  <c r="X70" i="33" s="1"/>
  <c r="H70" i="33"/>
  <c r="D70" i="33"/>
  <c r="L70" i="33" s="1"/>
  <c r="N70" i="33" s="1"/>
  <c r="B70" i="33"/>
  <c r="Z69" i="33"/>
  <c r="X69" i="33"/>
  <c r="N69" i="33"/>
  <c r="L69" i="33"/>
  <c r="B69" i="33"/>
  <c r="X68" i="33"/>
  <c r="Z68" i="33" s="1"/>
  <c r="N68" i="33"/>
  <c r="L68" i="33"/>
  <c r="B68" i="33"/>
  <c r="T67" i="33"/>
  <c r="P67" i="33"/>
  <c r="H67" i="33"/>
  <c r="D67" i="33"/>
  <c r="B67" i="33"/>
  <c r="X66" i="33"/>
  <c r="Z66" i="33" s="1"/>
  <c r="N66" i="33"/>
  <c r="L66" i="33"/>
  <c r="B66" i="33"/>
  <c r="T65" i="33"/>
  <c r="P65" i="33"/>
  <c r="X65" i="33" s="1"/>
  <c r="Z65" i="33" s="1"/>
  <c r="N65" i="33"/>
  <c r="L65" i="33"/>
  <c r="H65" i="33"/>
  <c r="D65" i="33"/>
  <c r="B65" i="33"/>
  <c r="X64" i="33"/>
  <c r="Z64" i="33" s="1"/>
  <c r="N64" i="33"/>
  <c r="L64" i="33"/>
  <c r="B64" i="33"/>
  <c r="X63" i="33"/>
  <c r="T63" i="33"/>
  <c r="Z63" i="33" s="1"/>
  <c r="P63" i="33"/>
  <c r="H63" i="33"/>
  <c r="D63" i="33"/>
  <c r="L63" i="33" s="1"/>
  <c r="B63" i="33"/>
  <c r="Z62" i="33"/>
  <c r="X62" i="33"/>
  <c r="N62" i="33"/>
  <c r="L62" i="33"/>
  <c r="B62" i="33"/>
  <c r="X61" i="33"/>
  <c r="Z61" i="33" s="1"/>
  <c r="N61" i="33"/>
  <c r="L61" i="33"/>
  <c r="B61" i="33"/>
  <c r="X60" i="33"/>
  <c r="T60" i="33"/>
  <c r="Z60" i="33" s="1"/>
  <c r="P60" i="33"/>
  <c r="L60" i="33"/>
  <c r="H60" i="33"/>
  <c r="N60" i="33" s="1"/>
  <c r="D60" i="33"/>
  <c r="B60" i="33"/>
  <c r="X59" i="33"/>
  <c r="Z59" i="33" s="1"/>
  <c r="L59" i="33"/>
  <c r="N59" i="33" s="1"/>
  <c r="B59" i="33"/>
  <c r="T58" i="33"/>
  <c r="P58" i="33"/>
  <c r="H58" i="33"/>
  <c r="D58" i="33"/>
  <c r="B58" i="33"/>
  <c r="X57" i="33"/>
  <c r="Z57" i="33" s="1"/>
  <c r="L57" i="33"/>
  <c r="N57" i="33" s="1"/>
  <c r="B57" i="33"/>
  <c r="X56" i="33"/>
  <c r="Z56" i="33" s="1"/>
  <c r="T56" i="33"/>
  <c r="P56" i="33"/>
  <c r="L56" i="33"/>
  <c r="N56" i="33" s="1"/>
  <c r="H56" i="33"/>
  <c r="D56" i="33"/>
  <c r="B56" i="33"/>
  <c r="Z55" i="33"/>
  <c r="X55" i="33"/>
  <c r="N55" i="33"/>
  <c r="L55" i="33"/>
  <c r="B55" i="33"/>
  <c r="T54" i="33"/>
  <c r="P54" i="33"/>
  <c r="X54" i="33" s="1"/>
  <c r="H54" i="33"/>
  <c r="N54" i="33" s="1"/>
  <c r="D54" i="33"/>
  <c r="L54" i="33" s="1"/>
  <c r="B54" i="33"/>
  <c r="X53" i="33"/>
  <c r="Z53" i="33" s="1"/>
  <c r="L53" i="33"/>
  <c r="N53" i="33" s="1"/>
  <c r="B53" i="33"/>
  <c r="Z52" i="33"/>
  <c r="X52" i="33"/>
  <c r="L52" i="33"/>
  <c r="N52" i="33" s="1"/>
  <c r="B52" i="33"/>
  <c r="Z51" i="33"/>
  <c r="X51" i="33"/>
  <c r="L51" i="33"/>
  <c r="N51" i="33" s="1"/>
  <c r="B51" i="33"/>
  <c r="Z50" i="33"/>
  <c r="X50" i="33"/>
  <c r="L50" i="33"/>
  <c r="N50" i="33" s="1"/>
  <c r="B50" i="33"/>
  <c r="T49" i="33"/>
  <c r="Z49" i="33" s="1"/>
  <c r="P49" i="33"/>
  <c r="X49" i="33" s="1"/>
  <c r="H49" i="33"/>
  <c r="N49" i="33" s="1"/>
  <c r="D49" i="33"/>
  <c r="L49" i="33" s="1"/>
  <c r="B49" i="33"/>
  <c r="X48" i="33"/>
  <c r="Z48" i="33" s="1"/>
  <c r="N48" i="33"/>
  <c r="L48" i="33"/>
  <c r="B48" i="33"/>
  <c r="X47" i="33"/>
  <c r="Z47" i="33" s="1"/>
  <c r="N47" i="33"/>
  <c r="L47" i="33"/>
  <c r="B47" i="33"/>
  <c r="X46" i="33"/>
  <c r="Z46" i="33" s="1"/>
  <c r="N46" i="33"/>
  <c r="L46" i="33"/>
  <c r="B46" i="33"/>
  <c r="X45" i="33"/>
  <c r="Z45" i="33" s="1"/>
  <c r="N45" i="33"/>
  <c r="L45" i="33"/>
  <c r="B45" i="33"/>
  <c r="X44" i="33"/>
  <c r="Z44" i="33" s="1"/>
  <c r="N44" i="33"/>
  <c r="L44" i="33"/>
  <c r="B44" i="33"/>
  <c r="X43" i="33"/>
  <c r="Z43" i="33" s="1"/>
  <c r="L43" i="33"/>
  <c r="N43" i="33" s="1"/>
  <c r="B43" i="33"/>
  <c r="X42" i="33"/>
  <c r="Z42" i="33" s="1"/>
  <c r="N42" i="33"/>
  <c r="L42" i="33"/>
  <c r="B42" i="33"/>
  <c r="X41" i="33"/>
  <c r="Z41" i="33" s="1"/>
  <c r="N41" i="33"/>
  <c r="L41" i="33"/>
  <c r="B41" i="33"/>
  <c r="X40" i="33"/>
  <c r="V40" i="33"/>
  <c r="T40" i="33"/>
  <c r="Z40" i="33" s="1"/>
  <c r="P40" i="33"/>
  <c r="L40" i="33"/>
  <c r="H40" i="33"/>
  <c r="N40" i="33" s="1"/>
  <c r="D40" i="33"/>
  <c r="B40" i="33"/>
  <c r="X39" i="33"/>
  <c r="Z39" i="33" s="1"/>
  <c r="T39" i="33"/>
  <c r="P39" i="33"/>
  <c r="H39" i="33"/>
  <c r="D39" i="33"/>
  <c r="L39" i="33" s="1"/>
  <c r="N39" i="33" s="1"/>
  <c r="X35" i="33"/>
  <c r="Z35" i="33" s="1"/>
  <c r="N35" i="33"/>
  <c r="L35" i="33"/>
  <c r="B35" i="33"/>
  <c r="Z34" i="33"/>
  <c r="X34" i="33"/>
  <c r="N34" i="33"/>
  <c r="L34" i="33"/>
  <c r="B34" i="33"/>
  <c r="Z33" i="33"/>
  <c r="X33" i="33"/>
  <c r="N33" i="33"/>
  <c r="L33" i="33"/>
  <c r="B33" i="33"/>
  <c r="Z32" i="33"/>
  <c r="X32" i="33"/>
  <c r="N32" i="33"/>
  <c r="L32" i="33"/>
  <c r="B32" i="33"/>
  <c r="X31" i="33"/>
  <c r="Z31" i="33" s="1"/>
  <c r="N31" i="33"/>
  <c r="L31" i="33"/>
  <c r="B31" i="33"/>
  <c r="T30" i="33"/>
  <c r="Z30" i="33" s="1"/>
  <c r="P30" i="33"/>
  <c r="X30" i="33" s="1"/>
  <c r="H30" i="33"/>
  <c r="N30" i="33" s="1"/>
  <c r="D30" i="33"/>
  <c r="L30" i="33" s="1"/>
  <c r="Z28" i="33"/>
  <c r="T28" i="33"/>
  <c r="P28" i="33"/>
  <c r="X28" i="33" s="1"/>
  <c r="N28" i="33"/>
  <c r="H28" i="33"/>
  <c r="L28" i="33" s="1"/>
  <c r="D28" i="33"/>
  <c r="B28" i="33"/>
  <c r="T27" i="33"/>
  <c r="P27" i="33"/>
  <c r="X27" i="33" s="1"/>
  <c r="Z27" i="33" s="1"/>
  <c r="H27" i="33"/>
  <c r="N27" i="33" s="1"/>
  <c r="D27" i="33"/>
  <c r="L27" i="33" s="1"/>
  <c r="B27" i="33"/>
  <c r="T26" i="33"/>
  <c r="P26" i="33"/>
  <c r="X26" i="33" s="1"/>
  <c r="Z26" i="33" s="1"/>
  <c r="H26" i="33"/>
  <c r="D26" i="33"/>
  <c r="B26" i="33"/>
  <c r="X25" i="33"/>
  <c r="Z25" i="33" s="1"/>
  <c r="T25" i="33"/>
  <c r="P25" i="33"/>
  <c r="H25" i="33"/>
  <c r="N25" i="33" s="1"/>
  <c r="D25" i="33"/>
  <c r="L25" i="33" s="1"/>
  <c r="B25" i="33"/>
  <c r="Z24" i="33"/>
  <c r="T24" i="33"/>
  <c r="P24" i="33"/>
  <c r="X24" i="33" s="1"/>
  <c r="N24" i="33"/>
  <c r="H24" i="33"/>
  <c r="L24" i="33" s="1"/>
  <c r="D24" i="33"/>
  <c r="B24" i="33"/>
  <c r="T23" i="33"/>
  <c r="P23" i="33"/>
  <c r="X23" i="33" s="1"/>
  <c r="Z23" i="33" s="1"/>
  <c r="H23" i="33"/>
  <c r="N23" i="33" s="1"/>
  <c r="D23" i="33"/>
  <c r="L23" i="33" s="1"/>
  <c r="B23" i="33"/>
  <c r="T22" i="33"/>
  <c r="P22" i="33"/>
  <c r="X22" i="33" s="1"/>
  <c r="Z22" i="33" s="1"/>
  <c r="H22" i="33"/>
  <c r="D22" i="33"/>
  <c r="B22" i="33"/>
  <c r="X21" i="33"/>
  <c r="Z21" i="33" s="1"/>
  <c r="T21" i="33"/>
  <c r="P21" i="33"/>
  <c r="H21" i="33"/>
  <c r="D21" i="33"/>
  <c r="L21" i="33" s="1"/>
  <c r="B21" i="33"/>
  <c r="T20" i="33"/>
  <c r="P20" i="33"/>
  <c r="X20" i="33" s="1"/>
  <c r="Z20" i="33" s="1"/>
  <c r="H20" i="33"/>
  <c r="L20" i="33" s="1"/>
  <c r="N20" i="33" s="1"/>
  <c r="D20" i="33"/>
  <c r="B20" i="33"/>
  <c r="T19" i="33"/>
  <c r="P19" i="33"/>
  <c r="X19" i="33" s="1"/>
  <c r="Z19" i="33" s="1"/>
  <c r="H19" i="33"/>
  <c r="N19" i="33" s="1"/>
  <c r="D19" i="33"/>
  <c r="L19" i="33" s="1"/>
  <c r="B19" i="33"/>
  <c r="T18" i="33"/>
  <c r="P18" i="33"/>
  <c r="X18" i="33" s="1"/>
  <c r="Z18" i="33" s="1"/>
  <c r="H18" i="33"/>
  <c r="D18" i="33"/>
  <c r="B18" i="33"/>
  <c r="X17" i="33"/>
  <c r="Z17" i="33" s="1"/>
  <c r="T17" i="33"/>
  <c r="P17" i="33"/>
  <c r="H17" i="33"/>
  <c r="N17" i="33" s="1"/>
  <c r="D17" i="33"/>
  <c r="L17" i="33" s="1"/>
  <c r="B17" i="33"/>
  <c r="T16" i="33"/>
  <c r="P16" i="33"/>
  <c r="X16" i="33" s="1"/>
  <c r="Z16" i="33" s="1"/>
  <c r="H16" i="33"/>
  <c r="L16" i="33" s="1"/>
  <c r="N16" i="33" s="1"/>
  <c r="D16" i="33"/>
  <c r="B16" i="33"/>
  <c r="T15" i="33"/>
  <c r="P15" i="33"/>
  <c r="X15" i="33" s="1"/>
  <c r="Z15" i="33" s="1"/>
  <c r="H15" i="33"/>
  <c r="N15" i="33" s="1"/>
  <c r="D15" i="33"/>
  <c r="L15" i="33" s="1"/>
  <c r="B15" i="33"/>
  <c r="T14" i="33"/>
  <c r="P14" i="33"/>
  <c r="X14" i="33" s="1"/>
  <c r="Z14" i="33" s="1"/>
  <c r="H14" i="33"/>
  <c r="D14" i="33"/>
  <c r="B14" i="33"/>
  <c r="X13" i="33"/>
  <c r="Z13" i="33" s="1"/>
  <c r="T13" i="33"/>
  <c r="P13" i="33"/>
  <c r="H13" i="33"/>
  <c r="H12" i="33" s="1"/>
  <c r="D13" i="33"/>
  <c r="D12" i="33" s="1"/>
  <c r="B13" i="33"/>
  <c r="T12" i="33"/>
  <c r="V63" i="33" s="1"/>
  <c r="P12" i="33"/>
  <c r="R86" i="33" s="1"/>
  <c r="D4" i="33"/>
  <c r="X150" i="30"/>
  <c r="Z150" i="30" s="1"/>
  <c r="L150" i="30"/>
  <c r="N150" i="30" s="1"/>
  <c r="T146" i="30"/>
  <c r="P146" i="30"/>
  <c r="P145" i="30" s="1"/>
  <c r="X145" i="30" s="1"/>
  <c r="H146" i="30"/>
  <c r="N146" i="30" s="1"/>
  <c r="D146" i="30"/>
  <c r="L146" i="30" s="1"/>
  <c r="B146" i="30"/>
  <c r="T145" i="30"/>
  <c r="X143" i="30"/>
  <c r="Z143" i="30" s="1"/>
  <c r="N143" i="30"/>
  <c r="L143" i="30"/>
  <c r="B143" i="30"/>
  <c r="X142" i="30"/>
  <c r="Z142" i="30" s="1"/>
  <c r="T142" i="30"/>
  <c r="P142" i="30"/>
  <c r="H142" i="30"/>
  <c r="N142" i="30" s="1"/>
  <c r="D142" i="30"/>
  <c r="L142" i="30" s="1"/>
  <c r="B142" i="30"/>
  <c r="Z141" i="30"/>
  <c r="X141" i="30"/>
  <c r="L141" i="30"/>
  <c r="N141" i="30" s="1"/>
  <c r="B141" i="30"/>
  <c r="Z140" i="30"/>
  <c r="X140" i="30"/>
  <c r="N140" i="30"/>
  <c r="L140" i="30"/>
  <c r="B140" i="30"/>
  <c r="T139" i="30"/>
  <c r="Z139" i="30" s="1"/>
  <c r="P139" i="30"/>
  <c r="X139" i="30" s="1"/>
  <c r="H139" i="30"/>
  <c r="D139" i="30"/>
  <c r="L139" i="30" s="1"/>
  <c r="B139" i="30"/>
  <c r="X138" i="30"/>
  <c r="Z138" i="30" s="1"/>
  <c r="N138" i="30"/>
  <c r="L138" i="30"/>
  <c r="B138" i="30"/>
  <c r="T137" i="30"/>
  <c r="P137" i="30"/>
  <c r="X137" i="30" s="1"/>
  <c r="Z137" i="30" s="1"/>
  <c r="N137" i="30"/>
  <c r="H137" i="30"/>
  <c r="D137" i="30"/>
  <c r="L137" i="30" s="1"/>
  <c r="B137" i="30"/>
  <c r="X136" i="30"/>
  <c r="Z136" i="30" s="1"/>
  <c r="L136" i="30"/>
  <c r="N136" i="30" s="1"/>
  <c r="B136" i="30"/>
  <c r="X135" i="30"/>
  <c r="T135" i="30"/>
  <c r="Z135" i="30" s="1"/>
  <c r="P135" i="30"/>
  <c r="L135" i="30"/>
  <c r="N135" i="30" s="1"/>
  <c r="H135" i="30"/>
  <c r="D135" i="30"/>
  <c r="B135" i="30"/>
  <c r="Z134" i="30"/>
  <c r="X134" i="30"/>
  <c r="L134" i="30"/>
  <c r="N134" i="30" s="1"/>
  <c r="B134" i="30"/>
  <c r="Z133" i="30"/>
  <c r="X133" i="30"/>
  <c r="N133" i="30"/>
  <c r="L133" i="30"/>
  <c r="B133" i="30"/>
  <c r="X132" i="30"/>
  <c r="Z132" i="30" s="1"/>
  <c r="N132" i="30"/>
  <c r="L132" i="30"/>
  <c r="B132" i="30"/>
  <c r="Z131" i="30"/>
  <c r="X131" i="30"/>
  <c r="N131" i="30"/>
  <c r="L131" i="30"/>
  <c r="B131" i="30"/>
  <c r="Z130" i="30"/>
  <c r="X130" i="30"/>
  <c r="N130" i="30"/>
  <c r="L130" i="30"/>
  <c r="B130" i="30"/>
  <c r="Z129" i="30"/>
  <c r="X129" i="30"/>
  <c r="N129" i="30"/>
  <c r="L129" i="30"/>
  <c r="B129" i="30"/>
  <c r="X128" i="30"/>
  <c r="Z128" i="30" s="1"/>
  <c r="T128" i="30"/>
  <c r="P128" i="30"/>
  <c r="H128" i="30"/>
  <c r="D128" i="30"/>
  <c r="L128" i="30" s="1"/>
  <c r="N128" i="30" s="1"/>
  <c r="B128" i="30"/>
  <c r="Z127" i="30"/>
  <c r="X127" i="30"/>
  <c r="L127" i="30"/>
  <c r="N127" i="30" s="1"/>
  <c r="B127" i="30"/>
  <c r="X126" i="30"/>
  <c r="Z126" i="30" s="1"/>
  <c r="N126" i="30"/>
  <c r="L126" i="30"/>
  <c r="B126" i="30"/>
  <c r="T125" i="30"/>
  <c r="P125" i="30"/>
  <c r="X125" i="30" s="1"/>
  <c r="Z125" i="30" s="1"/>
  <c r="H125" i="30"/>
  <c r="D125" i="30"/>
  <c r="L125" i="30" s="1"/>
  <c r="N125" i="30" s="1"/>
  <c r="B125" i="30"/>
  <c r="X124" i="30"/>
  <c r="Z124" i="30" s="1"/>
  <c r="L124" i="30"/>
  <c r="N124" i="30" s="1"/>
  <c r="B124" i="30"/>
  <c r="X123" i="30"/>
  <c r="Z123" i="30" s="1"/>
  <c r="N123" i="30"/>
  <c r="L123" i="30"/>
  <c r="B123" i="30"/>
  <c r="Z122" i="30"/>
  <c r="X122" i="30"/>
  <c r="N122" i="30"/>
  <c r="L122" i="30"/>
  <c r="B122" i="30"/>
  <c r="X121" i="30"/>
  <c r="T121" i="30"/>
  <c r="Z121" i="30" s="1"/>
  <c r="P121" i="30"/>
  <c r="L121" i="30"/>
  <c r="H121" i="30"/>
  <c r="N121" i="30" s="1"/>
  <c r="D121" i="30"/>
  <c r="B121" i="30"/>
  <c r="X120" i="30"/>
  <c r="Z120" i="30" s="1"/>
  <c r="N120" i="30"/>
  <c r="L120" i="30"/>
  <c r="B120" i="30"/>
  <c r="Z119" i="30"/>
  <c r="X119" i="30"/>
  <c r="N119" i="30"/>
  <c r="L119" i="30"/>
  <c r="B119" i="30"/>
  <c r="T118" i="30"/>
  <c r="P118" i="30"/>
  <c r="X118" i="30" s="1"/>
  <c r="Z118" i="30" s="1"/>
  <c r="L118" i="30"/>
  <c r="N118" i="30" s="1"/>
  <c r="H118" i="30"/>
  <c r="D118" i="30"/>
  <c r="B118" i="30"/>
  <c r="Z117" i="30"/>
  <c r="X117" i="30"/>
  <c r="N117" i="30"/>
  <c r="L117" i="30"/>
  <c r="B117" i="30"/>
  <c r="X116" i="30"/>
  <c r="Z116" i="30" s="1"/>
  <c r="N116" i="30"/>
  <c r="L116" i="30"/>
  <c r="B116" i="30"/>
  <c r="Z115" i="30"/>
  <c r="X115" i="30"/>
  <c r="N115" i="30"/>
  <c r="L115" i="30"/>
  <c r="B115" i="30"/>
  <c r="T114" i="30"/>
  <c r="P114" i="30"/>
  <c r="H114" i="30"/>
  <c r="N114" i="30" s="1"/>
  <c r="D114" i="30"/>
  <c r="L114" i="30" s="1"/>
  <c r="B114" i="30"/>
  <c r="X113" i="30"/>
  <c r="Z113" i="30" s="1"/>
  <c r="N113" i="30"/>
  <c r="L113" i="30"/>
  <c r="B113" i="30"/>
  <c r="T112" i="30"/>
  <c r="P112" i="30"/>
  <c r="X112" i="30" s="1"/>
  <c r="H112" i="30"/>
  <c r="D112" i="30"/>
  <c r="L112" i="30" s="1"/>
  <c r="N112" i="30" s="1"/>
  <c r="B112" i="30"/>
  <c r="Z111" i="30"/>
  <c r="X111" i="30"/>
  <c r="N111" i="30"/>
  <c r="L111" i="30"/>
  <c r="B111" i="30"/>
  <c r="T110" i="30"/>
  <c r="P110" i="30"/>
  <c r="X110" i="30" s="1"/>
  <c r="Z110" i="30" s="1"/>
  <c r="N110" i="30"/>
  <c r="L110" i="30"/>
  <c r="H110" i="30"/>
  <c r="D110" i="30"/>
  <c r="B110" i="30"/>
  <c r="Z109" i="30"/>
  <c r="X109" i="30"/>
  <c r="L109" i="30"/>
  <c r="N109" i="30" s="1"/>
  <c r="B109" i="30"/>
  <c r="T108" i="30"/>
  <c r="Z108" i="30" s="1"/>
  <c r="P108" i="30"/>
  <c r="X108" i="30" s="1"/>
  <c r="H108" i="30"/>
  <c r="D108" i="30"/>
  <c r="B108" i="30"/>
  <c r="X107" i="30"/>
  <c r="Z107" i="30" s="1"/>
  <c r="N107" i="30"/>
  <c r="L107" i="30"/>
  <c r="B107" i="30"/>
  <c r="T106" i="30"/>
  <c r="P106" i="30"/>
  <c r="X106" i="30" s="1"/>
  <c r="Z106" i="30" s="1"/>
  <c r="H106" i="30"/>
  <c r="D106" i="30"/>
  <c r="L106" i="30" s="1"/>
  <c r="B106" i="30"/>
  <c r="Z105" i="30"/>
  <c r="X105" i="30"/>
  <c r="N105" i="30"/>
  <c r="L105" i="30"/>
  <c r="B105" i="30"/>
  <c r="X104" i="30"/>
  <c r="Z104" i="30" s="1"/>
  <c r="T104" i="30"/>
  <c r="P104" i="30"/>
  <c r="H104" i="30"/>
  <c r="D104" i="30"/>
  <c r="L104" i="30" s="1"/>
  <c r="N104" i="30" s="1"/>
  <c r="B104" i="30"/>
  <c r="Z103" i="30"/>
  <c r="X103" i="30"/>
  <c r="N103" i="30"/>
  <c r="L103" i="30"/>
  <c r="B103" i="30"/>
  <c r="X102" i="30"/>
  <c r="Z102" i="30" s="1"/>
  <c r="N102" i="30"/>
  <c r="L102" i="30"/>
  <c r="B102" i="30"/>
  <c r="T101" i="30"/>
  <c r="P101" i="30"/>
  <c r="X101" i="30" s="1"/>
  <c r="Z101" i="30" s="1"/>
  <c r="H101" i="30"/>
  <c r="D101" i="30"/>
  <c r="L101" i="30" s="1"/>
  <c r="N101" i="30" s="1"/>
  <c r="B101" i="30"/>
  <c r="X100" i="30"/>
  <c r="Z100" i="30" s="1"/>
  <c r="N100" i="30"/>
  <c r="L100" i="30"/>
  <c r="B100" i="30"/>
  <c r="X99" i="30"/>
  <c r="T99" i="30"/>
  <c r="Z99" i="30" s="1"/>
  <c r="P99" i="30"/>
  <c r="L99" i="30"/>
  <c r="H99" i="30"/>
  <c r="N99" i="30" s="1"/>
  <c r="D99" i="30"/>
  <c r="B99" i="30"/>
  <c r="Z98" i="30"/>
  <c r="X98" i="30"/>
  <c r="N98" i="30"/>
  <c r="L98" i="30"/>
  <c r="B98" i="30"/>
  <c r="T97" i="30"/>
  <c r="P97" i="30"/>
  <c r="H97" i="30"/>
  <c r="N97" i="30" s="1"/>
  <c r="D97" i="30"/>
  <c r="L97" i="30" s="1"/>
  <c r="B97" i="30"/>
  <c r="Z96" i="30"/>
  <c r="X96" i="30"/>
  <c r="L96" i="30"/>
  <c r="N96" i="30" s="1"/>
  <c r="B96" i="30"/>
  <c r="Z95" i="30"/>
  <c r="X95" i="30"/>
  <c r="L95" i="30"/>
  <c r="N95" i="30" s="1"/>
  <c r="B95" i="30"/>
  <c r="T94" i="30"/>
  <c r="P94" i="30"/>
  <c r="H94" i="30"/>
  <c r="N94" i="30" s="1"/>
  <c r="D94" i="30"/>
  <c r="L94" i="30" s="1"/>
  <c r="B94" i="30"/>
  <c r="X93" i="30"/>
  <c r="Z93" i="30" s="1"/>
  <c r="N93" i="30"/>
  <c r="L93" i="30"/>
  <c r="B93" i="30"/>
  <c r="T92" i="30"/>
  <c r="P92" i="30"/>
  <c r="X92" i="30" s="1"/>
  <c r="H92" i="30"/>
  <c r="D92" i="30"/>
  <c r="L92" i="30" s="1"/>
  <c r="N92" i="30" s="1"/>
  <c r="B92" i="30"/>
  <c r="Z91" i="30"/>
  <c r="X91" i="30"/>
  <c r="N91" i="30"/>
  <c r="L91" i="30"/>
  <c r="B91" i="30"/>
  <c r="T90" i="30"/>
  <c r="P90" i="30"/>
  <c r="X90" i="30" s="1"/>
  <c r="Z90" i="30" s="1"/>
  <c r="L90" i="30"/>
  <c r="N90" i="30" s="1"/>
  <c r="H90" i="30"/>
  <c r="D90" i="30"/>
  <c r="B90" i="30"/>
  <c r="Z89" i="30"/>
  <c r="X89" i="30"/>
  <c r="L89" i="30"/>
  <c r="N89" i="30" s="1"/>
  <c r="B89" i="30"/>
  <c r="T88" i="30"/>
  <c r="Z88" i="30" s="1"/>
  <c r="P88" i="30"/>
  <c r="X88" i="30" s="1"/>
  <c r="H88" i="30"/>
  <c r="D88" i="30"/>
  <c r="B88" i="30"/>
  <c r="X87" i="30"/>
  <c r="Z87" i="30" s="1"/>
  <c r="N87" i="30"/>
  <c r="L87" i="30"/>
  <c r="B87" i="30"/>
  <c r="Z86" i="30"/>
  <c r="X86" i="30"/>
  <c r="N86" i="30"/>
  <c r="L86" i="30"/>
  <c r="B86" i="30"/>
  <c r="X85" i="30"/>
  <c r="Z85" i="30" s="1"/>
  <c r="L85" i="30"/>
  <c r="N85" i="30" s="1"/>
  <c r="B85" i="30"/>
  <c r="X84" i="30"/>
  <c r="Z84" i="30" s="1"/>
  <c r="L84" i="30"/>
  <c r="N84" i="30" s="1"/>
  <c r="B84" i="30"/>
  <c r="Z83" i="30"/>
  <c r="X83" i="30"/>
  <c r="N83" i="30"/>
  <c r="L83" i="30"/>
  <c r="B83" i="30"/>
  <c r="Z82" i="30"/>
  <c r="X82" i="30"/>
  <c r="N82" i="30"/>
  <c r="L82" i="30"/>
  <c r="B82" i="30"/>
  <c r="T81" i="30"/>
  <c r="Z81" i="30" s="1"/>
  <c r="P81" i="30"/>
  <c r="X81" i="30" s="1"/>
  <c r="L81" i="30"/>
  <c r="N81" i="30" s="1"/>
  <c r="H81" i="30"/>
  <c r="D81" i="30"/>
  <c r="B81" i="30"/>
  <c r="X80" i="30"/>
  <c r="Z80" i="30" s="1"/>
  <c r="N80" i="30"/>
  <c r="L80" i="30"/>
  <c r="B80" i="30"/>
  <c r="Z79" i="30"/>
  <c r="X79" i="30"/>
  <c r="N79" i="30"/>
  <c r="L79" i="30"/>
  <c r="B79" i="30"/>
  <c r="Z78" i="30"/>
  <c r="X78" i="30"/>
  <c r="L78" i="30"/>
  <c r="N78" i="30" s="1"/>
  <c r="B78" i="30"/>
  <c r="X77" i="30"/>
  <c r="Z77" i="30" s="1"/>
  <c r="N77" i="30"/>
  <c r="L77" i="30"/>
  <c r="B77" i="30"/>
  <c r="X76" i="30"/>
  <c r="Z76" i="30" s="1"/>
  <c r="N76" i="30"/>
  <c r="L76" i="30"/>
  <c r="B76" i="30"/>
  <c r="Z75" i="30"/>
  <c r="X75" i="30"/>
  <c r="N75" i="30"/>
  <c r="L75" i="30"/>
  <c r="B75" i="30"/>
  <c r="Z74" i="30"/>
  <c r="X74" i="30"/>
  <c r="L74" i="30"/>
  <c r="N74" i="30" s="1"/>
  <c r="B74" i="30"/>
  <c r="X73" i="30"/>
  <c r="Z73" i="30" s="1"/>
  <c r="N73" i="30"/>
  <c r="L73" i="30"/>
  <c r="B73" i="30"/>
  <c r="X72" i="30"/>
  <c r="Z72" i="30" s="1"/>
  <c r="T72" i="30"/>
  <c r="P72" i="30"/>
  <c r="H72" i="30"/>
  <c r="D72" i="30"/>
  <c r="L72" i="30" s="1"/>
  <c r="N72" i="30" s="1"/>
  <c r="B72" i="30"/>
  <c r="T71" i="30"/>
  <c r="P71" i="30"/>
  <c r="X71" i="30" s="1"/>
  <c r="H71" i="30"/>
  <c r="N71" i="30" s="1"/>
  <c r="D71" i="30"/>
  <c r="L71" i="30" s="1"/>
  <c r="Z67" i="30"/>
  <c r="X67" i="30"/>
  <c r="L67" i="30"/>
  <c r="N67" i="30" s="1"/>
  <c r="B67" i="30"/>
  <c r="Z66" i="30"/>
  <c r="X66" i="30"/>
  <c r="N66" i="30"/>
  <c r="L66" i="30"/>
  <c r="B66" i="30"/>
  <c r="Z65" i="30"/>
  <c r="X65" i="30"/>
  <c r="L65" i="30"/>
  <c r="N65" i="30" s="1"/>
  <c r="B65" i="30"/>
  <c r="Z64" i="30"/>
  <c r="X64" i="30"/>
  <c r="L64" i="30"/>
  <c r="N64" i="30" s="1"/>
  <c r="B64" i="30"/>
  <c r="Z63" i="30"/>
  <c r="X63" i="30"/>
  <c r="L63" i="30"/>
  <c r="N63" i="30" s="1"/>
  <c r="B63" i="30"/>
  <c r="Z62" i="30"/>
  <c r="X62" i="30"/>
  <c r="N62" i="30"/>
  <c r="L62" i="30"/>
  <c r="B62" i="30"/>
  <c r="Z61" i="30"/>
  <c r="X61" i="30"/>
  <c r="N61" i="30"/>
  <c r="L61" i="30"/>
  <c r="B61" i="30"/>
  <c r="Z60" i="30"/>
  <c r="X60" i="30"/>
  <c r="L60" i="30"/>
  <c r="N60" i="30" s="1"/>
  <c r="B60" i="30"/>
  <c r="Z59" i="30"/>
  <c r="X59" i="30"/>
  <c r="L59" i="30"/>
  <c r="N59" i="30" s="1"/>
  <c r="B59" i="30"/>
  <c r="Z58" i="30"/>
  <c r="X58" i="30"/>
  <c r="N58" i="30"/>
  <c r="L58" i="30"/>
  <c r="B58" i="30"/>
  <c r="Z57" i="30"/>
  <c r="X57" i="30"/>
  <c r="N57" i="30"/>
  <c r="L57" i="30"/>
  <c r="B57" i="30"/>
  <c r="Z56" i="30"/>
  <c r="X56" i="30"/>
  <c r="N56" i="30"/>
  <c r="L56" i="30"/>
  <c r="B56" i="30"/>
  <c r="Z55" i="30"/>
  <c r="X55" i="30"/>
  <c r="L55" i="30"/>
  <c r="N55" i="30" s="1"/>
  <c r="B55" i="30"/>
  <c r="Z54" i="30"/>
  <c r="X54" i="30"/>
  <c r="N54" i="30"/>
  <c r="L54" i="30"/>
  <c r="B54" i="30"/>
  <c r="Z53" i="30"/>
  <c r="X53" i="30"/>
  <c r="L53" i="30"/>
  <c r="N53" i="30" s="1"/>
  <c r="B53" i="30"/>
  <c r="Z52" i="30"/>
  <c r="X52" i="30"/>
  <c r="L52" i="30"/>
  <c r="N52" i="30" s="1"/>
  <c r="B52" i="30"/>
  <c r="Z51" i="30"/>
  <c r="X51" i="30"/>
  <c r="L51" i="30"/>
  <c r="N51" i="30" s="1"/>
  <c r="B51" i="30"/>
  <c r="Z50" i="30"/>
  <c r="X50" i="30"/>
  <c r="N50" i="30"/>
  <c r="L50" i="30"/>
  <c r="B50" i="30"/>
  <c r="Z49" i="30"/>
  <c r="X49" i="30"/>
  <c r="N49" i="30"/>
  <c r="L49" i="30"/>
  <c r="B49" i="30"/>
  <c r="Z48" i="30"/>
  <c r="X48" i="30"/>
  <c r="L48" i="30"/>
  <c r="N48" i="30" s="1"/>
  <c r="B48" i="30"/>
  <c r="Z47" i="30"/>
  <c r="X47" i="30"/>
  <c r="N47" i="30"/>
  <c r="L47" i="30"/>
  <c r="B47" i="30"/>
  <c r="Z46" i="30"/>
  <c r="X46" i="30"/>
  <c r="N46" i="30"/>
  <c r="L46" i="30"/>
  <c r="B46" i="30"/>
  <c r="Z45" i="30"/>
  <c r="X45" i="30"/>
  <c r="N45" i="30"/>
  <c r="L45" i="30"/>
  <c r="B45" i="30"/>
  <c r="T44" i="30"/>
  <c r="P44" i="30"/>
  <c r="X44" i="30" s="1"/>
  <c r="Z44" i="30" s="1"/>
  <c r="H44" i="30"/>
  <c r="D44" i="30"/>
  <c r="L44" i="30" s="1"/>
  <c r="N44" i="30" s="1"/>
  <c r="T42" i="30"/>
  <c r="Z42" i="30" s="1"/>
  <c r="P42" i="30"/>
  <c r="X42" i="30" s="1"/>
  <c r="H42" i="30"/>
  <c r="N42" i="30" s="1"/>
  <c r="D42" i="30"/>
  <c r="B42" i="30"/>
  <c r="T41" i="30"/>
  <c r="P41" i="30"/>
  <c r="X41" i="30" s="1"/>
  <c r="L41" i="30"/>
  <c r="H41" i="30"/>
  <c r="N41" i="30" s="1"/>
  <c r="D41" i="30"/>
  <c r="B41" i="30"/>
  <c r="T40" i="30"/>
  <c r="P40" i="30"/>
  <c r="X40" i="30" s="1"/>
  <c r="H40" i="30"/>
  <c r="D40" i="30"/>
  <c r="B40" i="30"/>
  <c r="T39" i="30"/>
  <c r="Z39" i="30" s="1"/>
  <c r="P39" i="30"/>
  <c r="X39" i="30" s="1"/>
  <c r="L39" i="30"/>
  <c r="H39" i="30"/>
  <c r="N39" i="30" s="1"/>
  <c r="D39" i="30"/>
  <c r="B39" i="30"/>
  <c r="T38" i="30"/>
  <c r="P38" i="30"/>
  <c r="X38" i="30" s="1"/>
  <c r="H38" i="30"/>
  <c r="D38" i="30"/>
  <c r="B38" i="30"/>
  <c r="T37" i="30"/>
  <c r="P37" i="30"/>
  <c r="X37" i="30" s="1"/>
  <c r="L37" i="30"/>
  <c r="H37" i="30"/>
  <c r="N37" i="30" s="1"/>
  <c r="D37" i="30"/>
  <c r="B37" i="30"/>
  <c r="T36" i="30"/>
  <c r="P36" i="30"/>
  <c r="X36" i="30" s="1"/>
  <c r="H36" i="30"/>
  <c r="D36" i="30"/>
  <c r="B36" i="30"/>
  <c r="T35" i="30"/>
  <c r="Z35" i="30" s="1"/>
  <c r="P35" i="30"/>
  <c r="X35" i="30" s="1"/>
  <c r="L35" i="30"/>
  <c r="H35" i="30"/>
  <c r="D35" i="30"/>
  <c r="B35" i="30"/>
  <c r="T34" i="30"/>
  <c r="P34" i="30"/>
  <c r="H34" i="30"/>
  <c r="D34" i="30"/>
  <c r="B34" i="30"/>
  <c r="T33" i="30"/>
  <c r="Z33" i="30" s="1"/>
  <c r="P33" i="30"/>
  <c r="X33" i="30" s="1"/>
  <c r="L33" i="30"/>
  <c r="H33" i="30"/>
  <c r="N33" i="30" s="1"/>
  <c r="D33" i="30"/>
  <c r="B33" i="30"/>
  <c r="T32" i="30"/>
  <c r="P32" i="30"/>
  <c r="H32" i="30"/>
  <c r="N32" i="30" s="1"/>
  <c r="D32" i="30"/>
  <c r="B32" i="30"/>
  <c r="T31" i="30"/>
  <c r="Z31" i="30" s="1"/>
  <c r="P31" i="30"/>
  <c r="X31" i="30" s="1"/>
  <c r="L31" i="30"/>
  <c r="H31" i="30"/>
  <c r="N31" i="30" s="1"/>
  <c r="D31" i="30"/>
  <c r="B31" i="30"/>
  <c r="T30" i="30"/>
  <c r="P30" i="30"/>
  <c r="H30" i="30"/>
  <c r="D30" i="30"/>
  <c r="B30" i="30"/>
  <c r="T29" i="30"/>
  <c r="P29" i="30"/>
  <c r="X29" i="30" s="1"/>
  <c r="L29" i="30"/>
  <c r="H29" i="30"/>
  <c r="N29" i="30" s="1"/>
  <c r="D29" i="30"/>
  <c r="B29" i="30"/>
  <c r="T28" i="30"/>
  <c r="P28" i="30"/>
  <c r="X28" i="30" s="1"/>
  <c r="H28" i="30"/>
  <c r="D28" i="30"/>
  <c r="B28" i="30"/>
  <c r="T27" i="30"/>
  <c r="P27" i="30"/>
  <c r="X27" i="30" s="1"/>
  <c r="L27" i="30"/>
  <c r="H27" i="30"/>
  <c r="N27" i="30" s="1"/>
  <c r="D27" i="30"/>
  <c r="B27" i="30"/>
  <c r="T26" i="30"/>
  <c r="P26" i="30"/>
  <c r="H26" i="30"/>
  <c r="D26" i="30"/>
  <c r="B26" i="30"/>
  <c r="T25" i="30"/>
  <c r="P25" i="30"/>
  <c r="X25" i="30" s="1"/>
  <c r="L25" i="30"/>
  <c r="H25" i="30"/>
  <c r="N25" i="30" s="1"/>
  <c r="D25" i="30"/>
  <c r="B25" i="30"/>
  <c r="T24" i="30"/>
  <c r="P24" i="30"/>
  <c r="X24" i="30" s="1"/>
  <c r="H24" i="30"/>
  <c r="N24" i="30" s="1"/>
  <c r="D24" i="30"/>
  <c r="B24" i="30"/>
  <c r="T23" i="30"/>
  <c r="Z23" i="30" s="1"/>
  <c r="P23" i="30"/>
  <c r="X23" i="30" s="1"/>
  <c r="L23" i="30"/>
  <c r="H23" i="30"/>
  <c r="N23" i="30" s="1"/>
  <c r="D23" i="30"/>
  <c r="B23" i="30"/>
  <c r="T22" i="30"/>
  <c r="P22" i="30"/>
  <c r="L22" i="30"/>
  <c r="H22" i="30"/>
  <c r="N22" i="30" s="1"/>
  <c r="D22" i="30"/>
  <c r="B22" i="30"/>
  <c r="T21" i="30"/>
  <c r="Z21" i="30" s="1"/>
  <c r="P21" i="30"/>
  <c r="X21" i="30" s="1"/>
  <c r="L21" i="30"/>
  <c r="H21" i="30"/>
  <c r="N21" i="30" s="1"/>
  <c r="D21" i="30"/>
  <c r="B21" i="30"/>
  <c r="T20" i="30"/>
  <c r="P20" i="30"/>
  <c r="H20" i="30"/>
  <c r="D20" i="30"/>
  <c r="B20" i="30"/>
  <c r="T19" i="30"/>
  <c r="Z19" i="30" s="1"/>
  <c r="P19" i="30"/>
  <c r="X19" i="30" s="1"/>
  <c r="L19" i="30"/>
  <c r="H19" i="30"/>
  <c r="N19" i="30" s="1"/>
  <c r="D19" i="30"/>
  <c r="B19" i="30"/>
  <c r="T18" i="30"/>
  <c r="P18" i="30"/>
  <c r="L18" i="30"/>
  <c r="H18" i="30"/>
  <c r="N18" i="30" s="1"/>
  <c r="D18" i="30"/>
  <c r="B18" i="30"/>
  <c r="T17" i="30"/>
  <c r="Z17" i="30" s="1"/>
  <c r="P17" i="30"/>
  <c r="X17" i="30" s="1"/>
  <c r="L17" i="30"/>
  <c r="H17" i="30"/>
  <c r="N17" i="30" s="1"/>
  <c r="D17" i="30"/>
  <c r="B17" i="30"/>
  <c r="T16" i="30"/>
  <c r="P16" i="30"/>
  <c r="L16" i="30"/>
  <c r="H16" i="30"/>
  <c r="N16" i="30" s="1"/>
  <c r="D16" i="30"/>
  <c r="B16" i="30"/>
  <c r="T15" i="30"/>
  <c r="Z15" i="30" s="1"/>
  <c r="P15" i="30"/>
  <c r="X15" i="30" s="1"/>
  <c r="L15" i="30"/>
  <c r="H15" i="30"/>
  <c r="N15" i="30" s="1"/>
  <c r="D15" i="30"/>
  <c r="B15" i="30"/>
  <c r="T14" i="30"/>
  <c r="P14" i="30"/>
  <c r="L14" i="30"/>
  <c r="H14" i="30"/>
  <c r="N14" i="30" s="1"/>
  <c r="D14" i="30"/>
  <c r="D12" i="30" s="1"/>
  <c r="B14" i="30"/>
  <c r="T13" i="30"/>
  <c r="P13" i="30"/>
  <c r="P12" i="30" s="1"/>
  <c r="L13" i="30"/>
  <c r="H13" i="30"/>
  <c r="N13" i="30" s="1"/>
  <c r="D13" i="30"/>
  <c r="B13" i="30"/>
  <c r="D4" i="30"/>
  <c r="X120" i="27"/>
  <c r="Z120" i="27" s="1"/>
  <c r="L120" i="27"/>
  <c r="N120" i="27" s="1"/>
  <c r="T116" i="27"/>
  <c r="P116" i="27"/>
  <c r="P113" i="27" s="1"/>
  <c r="H116" i="27"/>
  <c r="D116" i="27"/>
  <c r="L116" i="27" s="1"/>
  <c r="B116" i="27"/>
  <c r="Z115" i="27"/>
  <c r="T115" i="27"/>
  <c r="X115" i="27" s="1"/>
  <c r="P115" i="27"/>
  <c r="N115" i="27"/>
  <c r="L115" i="27"/>
  <c r="H115" i="27"/>
  <c r="D115" i="27"/>
  <c r="B115" i="27"/>
  <c r="T114" i="27"/>
  <c r="P114" i="27"/>
  <c r="H114" i="27"/>
  <c r="D114" i="27"/>
  <c r="D113" i="27" s="1"/>
  <c r="B114" i="27"/>
  <c r="X111" i="27"/>
  <c r="Z111" i="27" s="1"/>
  <c r="N111" i="27"/>
  <c r="L111" i="27"/>
  <c r="J111" i="27"/>
  <c r="B111" i="27"/>
  <c r="T110" i="27"/>
  <c r="P110" i="27"/>
  <c r="X110" i="27" s="1"/>
  <c r="Z110" i="27" s="1"/>
  <c r="H110" i="27"/>
  <c r="N110" i="27" s="1"/>
  <c r="D110" i="27"/>
  <c r="B110" i="27"/>
  <c r="Z109" i="27"/>
  <c r="X109" i="27"/>
  <c r="N109" i="27"/>
  <c r="L109" i="27"/>
  <c r="B109" i="27"/>
  <c r="Z108" i="27"/>
  <c r="X108" i="27"/>
  <c r="T108" i="27"/>
  <c r="P108" i="27"/>
  <c r="L108" i="27"/>
  <c r="H108" i="27"/>
  <c r="N108" i="27" s="1"/>
  <c r="D108" i="27"/>
  <c r="B108" i="27"/>
  <c r="Z107" i="27"/>
  <c r="X107" i="27"/>
  <c r="L107" i="27"/>
  <c r="N107" i="27" s="1"/>
  <c r="B107" i="27"/>
  <c r="X106" i="27"/>
  <c r="Z106" i="27" s="1"/>
  <c r="L106" i="27"/>
  <c r="N106" i="27" s="1"/>
  <c r="B106" i="27"/>
  <c r="T105" i="27"/>
  <c r="P105" i="27"/>
  <c r="X105" i="27" s="1"/>
  <c r="L105" i="27"/>
  <c r="H105" i="27"/>
  <c r="N105" i="27" s="1"/>
  <c r="D105" i="27"/>
  <c r="B105" i="27"/>
  <c r="X104" i="27"/>
  <c r="Z104" i="27" s="1"/>
  <c r="N104" i="27"/>
  <c r="L104" i="27"/>
  <c r="J104" i="27"/>
  <c r="B104" i="27"/>
  <c r="X103" i="27"/>
  <c r="Z103" i="27" s="1"/>
  <c r="N103" i="27"/>
  <c r="L103" i="27"/>
  <c r="B103" i="27"/>
  <c r="Z102" i="27"/>
  <c r="X102" i="27"/>
  <c r="N102" i="27"/>
  <c r="L102" i="27"/>
  <c r="B102" i="27"/>
  <c r="Z101" i="27"/>
  <c r="X101" i="27"/>
  <c r="N101" i="27"/>
  <c r="L101" i="27"/>
  <c r="J101" i="27"/>
  <c r="B101" i="27"/>
  <c r="T100" i="27"/>
  <c r="P100" i="27"/>
  <c r="X100" i="27" s="1"/>
  <c r="L100" i="27"/>
  <c r="N100" i="27" s="1"/>
  <c r="H100" i="27"/>
  <c r="D100" i="27"/>
  <c r="B100" i="27"/>
  <c r="X99" i="27"/>
  <c r="Z99" i="27" s="1"/>
  <c r="N99" i="27"/>
  <c r="L99" i="27"/>
  <c r="B99" i="27"/>
  <c r="Z98" i="27"/>
  <c r="T98" i="27"/>
  <c r="X98" i="27" s="1"/>
  <c r="P98" i="27"/>
  <c r="H98" i="27"/>
  <c r="D98" i="27"/>
  <c r="B98" i="27"/>
  <c r="X97" i="27"/>
  <c r="Z97" i="27" s="1"/>
  <c r="L97" i="27"/>
  <c r="N97" i="27" s="1"/>
  <c r="B97" i="27"/>
  <c r="Z96" i="27"/>
  <c r="X96" i="27"/>
  <c r="N96" i="27"/>
  <c r="L96" i="27"/>
  <c r="B96" i="27"/>
  <c r="T95" i="27"/>
  <c r="Z95" i="27" s="1"/>
  <c r="P95" i="27"/>
  <c r="X95" i="27" s="1"/>
  <c r="H95" i="27"/>
  <c r="N95" i="27" s="1"/>
  <c r="D95" i="27"/>
  <c r="L95" i="27" s="1"/>
  <c r="B95" i="27"/>
  <c r="X94" i="27"/>
  <c r="Z94" i="27" s="1"/>
  <c r="N94" i="27"/>
  <c r="L94" i="27"/>
  <c r="B94" i="27"/>
  <c r="X93" i="27"/>
  <c r="T93" i="27"/>
  <c r="Z93" i="27" s="1"/>
  <c r="P93" i="27"/>
  <c r="L93" i="27"/>
  <c r="H93" i="27"/>
  <c r="D93" i="27"/>
  <c r="B93" i="27"/>
  <c r="Z92" i="27"/>
  <c r="X92" i="27"/>
  <c r="N92" i="27"/>
  <c r="L92" i="27"/>
  <c r="J92" i="27"/>
  <c r="B92" i="27"/>
  <c r="T91" i="27"/>
  <c r="P91" i="27"/>
  <c r="H91" i="27"/>
  <c r="D91" i="27"/>
  <c r="B91" i="27"/>
  <c r="Z90" i="27"/>
  <c r="X90" i="27"/>
  <c r="N90" i="27"/>
  <c r="L90" i="27"/>
  <c r="B90" i="27"/>
  <c r="X89" i="27"/>
  <c r="Z89" i="27" s="1"/>
  <c r="L89" i="27"/>
  <c r="N89" i="27" s="1"/>
  <c r="B89" i="27"/>
  <c r="V88" i="27"/>
  <c r="T88" i="27"/>
  <c r="P88" i="27"/>
  <c r="X88" i="27" s="1"/>
  <c r="Z88" i="27" s="1"/>
  <c r="H88" i="27"/>
  <c r="D88" i="27"/>
  <c r="L88" i="27" s="1"/>
  <c r="N88" i="27" s="1"/>
  <c r="B88" i="27"/>
  <c r="X87" i="27"/>
  <c r="Z87" i="27" s="1"/>
  <c r="L87" i="27"/>
  <c r="N87" i="27" s="1"/>
  <c r="B87" i="27"/>
  <c r="X86" i="27"/>
  <c r="Z86" i="27" s="1"/>
  <c r="T86" i="27"/>
  <c r="P86" i="27"/>
  <c r="H86" i="27"/>
  <c r="D86" i="27"/>
  <c r="L86" i="27" s="1"/>
  <c r="N86" i="27" s="1"/>
  <c r="B86" i="27"/>
  <c r="Z85" i="27"/>
  <c r="X85" i="27"/>
  <c r="R85" i="27"/>
  <c r="L85" i="27"/>
  <c r="N85" i="27" s="1"/>
  <c r="B85" i="27"/>
  <c r="T84" i="27"/>
  <c r="P84" i="27"/>
  <c r="H84" i="27"/>
  <c r="L84" i="27" s="1"/>
  <c r="N84" i="27" s="1"/>
  <c r="D84" i="27"/>
  <c r="B84" i="27"/>
  <c r="Z83" i="27"/>
  <c r="X83" i="27"/>
  <c r="N83" i="27"/>
  <c r="L83" i="27"/>
  <c r="B83" i="27"/>
  <c r="Z82" i="27"/>
  <c r="X82" i="27"/>
  <c r="L82" i="27"/>
  <c r="N82" i="27" s="1"/>
  <c r="B82" i="27"/>
  <c r="T81" i="27"/>
  <c r="Z81" i="27" s="1"/>
  <c r="P81" i="27"/>
  <c r="X81" i="27" s="1"/>
  <c r="H81" i="27"/>
  <c r="D81" i="27"/>
  <c r="L81" i="27" s="1"/>
  <c r="N81" i="27" s="1"/>
  <c r="B81" i="27"/>
  <c r="Z80" i="27"/>
  <c r="X80" i="27"/>
  <c r="L80" i="27"/>
  <c r="N80" i="27" s="1"/>
  <c r="B80" i="27"/>
  <c r="X79" i="27"/>
  <c r="T79" i="27"/>
  <c r="P79" i="27"/>
  <c r="H79" i="27"/>
  <c r="N79" i="27" s="1"/>
  <c r="D79" i="27"/>
  <c r="L79" i="27" s="1"/>
  <c r="B79" i="27"/>
  <c r="Z78" i="27"/>
  <c r="X78" i="27"/>
  <c r="N78" i="27"/>
  <c r="L78" i="27"/>
  <c r="B78" i="27"/>
  <c r="Z77" i="27"/>
  <c r="X77" i="27"/>
  <c r="L77" i="27"/>
  <c r="N77" i="27" s="1"/>
  <c r="B77" i="27"/>
  <c r="X76" i="27"/>
  <c r="Z76" i="27" s="1"/>
  <c r="N76" i="27"/>
  <c r="L76" i="27"/>
  <c r="J76" i="27"/>
  <c r="B76" i="27"/>
  <c r="X75" i="27"/>
  <c r="Z75" i="27" s="1"/>
  <c r="L75" i="27"/>
  <c r="N75" i="27" s="1"/>
  <c r="B75" i="27"/>
  <c r="Z74" i="27"/>
  <c r="X74" i="27"/>
  <c r="N74" i="27"/>
  <c r="L74" i="27"/>
  <c r="B74" i="27"/>
  <c r="T73" i="27"/>
  <c r="P73" i="27"/>
  <c r="X73" i="27" s="1"/>
  <c r="H73" i="27"/>
  <c r="N73" i="27" s="1"/>
  <c r="D73" i="27"/>
  <c r="L73" i="27" s="1"/>
  <c r="B73" i="27"/>
  <c r="Z72" i="27"/>
  <c r="X72" i="27"/>
  <c r="N72" i="27"/>
  <c r="L72" i="27"/>
  <c r="B72" i="27"/>
  <c r="X71" i="27"/>
  <c r="Z71" i="27" s="1"/>
  <c r="L71" i="27"/>
  <c r="N71" i="27" s="1"/>
  <c r="B71" i="27"/>
  <c r="Z70" i="27"/>
  <c r="X70" i="27"/>
  <c r="L70" i="27"/>
  <c r="N70" i="27" s="1"/>
  <c r="B70" i="27"/>
  <c r="X69" i="27"/>
  <c r="Z69" i="27" s="1"/>
  <c r="L69" i="27"/>
  <c r="N69" i="27" s="1"/>
  <c r="B69" i="27"/>
  <c r="Z68" i="27"/>
  <c r="X68" i="27"/>
  <c r="N68" i="27"/>
  <c r="L68" i="27"/>
  <c r="B68" i="27"/>
  <c r="X67" i="27"/>
  <c r="Z67" i="27" s="1"/>
  <c r="L67" i="27"/>
  <c r="N67" i="27" s="1"/>
  <c r="B67" i="27"/>
  <c r="Z66" i="27"/>
  <c r="X66" i="27"/>
  <c r="L66" i="27"/>
  <c r="N66" i="27" s="1"/>
  <c r="B66" i="27"/>
  <c r="X65" i="27"/>
  <c r="Z65" i="27" s="1"/>
  <c r="L65" i="27"/>
  <c r="N65" i="27" s="1"/>
  <c r="B65" i="27"/>
  <c r="Z64" i="27"/>
  <c r="X64" i="27"/>
  <c r="N64" i="27"/>
  <c r="L64" i="27"/>
  <c r="B64" i="27"/>
  <c r="T63" i="27"/>
  <c r="Z63" i="27" s="1"/>
  <c r="P63" i="27"/>
  <c r="X63" i="27" s="1"/>
  <c r="L63" i="27"/>
  <c r="H63" i="27"/>
  <c r="N63" i="27" s="1"/>
  <c r="D63" i="27"/>
  <c r="B63" i="27"/>
  <c r="X62" i="27"/>
  <c r="Z62" i="27" s="1"/>
  <c r="T62" i="27"/>
  <c r="P62" i="27"/>
  <c r="H62" i="27"/>
  <c r="D62" i="27"/>
  <c r="L62" i="27" s="1"/>
  <c r="N62" i="27" s="1"/>
  <c r="Z58" i="27"/>
  <c r="X58" i="27"/>
  <c r="N58" i="27"/>
  <c r="L58" i="27"/>
  <c r="B58" i="27"/>
  <c r="X57" i="27"/>
  <c r="Z57" i="27" s="1"/>
  <c r="N57" i="27"/>
  <c r="L57" i="27"/>
  <c r="B57" i="27"/>
  <c r="Z56" i="27"/>
  <c r="X56" i="27"/>
  <c r="N56" i="27"/>
  <c r="L56" i="27"/>
  <c r="B56" i="27"/>
  <c r="X55" i="27"/>
  <c r="Z55" i="27" s="1"/>
  <c r="L55" i="27"/>
  <c r="N55" i="27" s="1"/>
  <c r="B55" i="27"/>
  <c r="X54" i="27"/>
  <c r="Z54" i="27" s="1"/>
  <c r="N54" i="27"/>
  <c r="L54" i="27"/>
  <c r="B54" i="27"/>
  <c r="Z53" i="27"/>
  <c r="X53" i="27"/>
  <c r="N53" i="27"/>
  <c r="L53" i="27"/>
  <c r="B53" i="27"/>
  <c r="Z52" i="27"/>
  <c r="X52" i="27"/>
  <c r="L52" i="27"/>
  <c r="N52" i="27" s="1"/>
  <c r="B52" i="27"/>
  <c r="X51" i="27"/>
  <c r="Z51" i="27" s="1"/>
  <c r="L51" i="27"/>
  <c r="N51" i="27" s="1"/>
  <c r="B51" i="27"/>
  <c r="X50" i="27"/>
  <c r="Z50" i="27" s="1"/>
  <c r="N50" i="27"/>
  <c r="L50" i="27"/>
  <c r="B50" i="27"/>
  <c r="X49" i="27"/>
  <c r="Z49" i="27" s="1"/>
  <c r="N49" i="27"/>
  <c r="L49" i="27"/>
  <c r="B49" i="27"/>
  <c r="Z48" i="27"/>
  <c r="X48" i="27"/>
  <c r="L48" i="27"/>
  <c r="N48" i="27" s="1"/>
  <c r="B48" i="27"/>
  <c r="X47" i="27"/>
  <c r="Z47" i="27" s="1"/>
  <c r="L47" i="27"/>
  <c r="N47" i="27" s="1"/>
  <c r="B47" i="27"/>
  <c r="X46" i="27"/>
  <c r="Z46" i="27" s="1"/>
  <c r="N46" i="27"/>
  <c r="L46" i="27"/>
  <c r="B46" i="27"/>
  <c r="X45" i="27"/>
  <c r="Z45" i="27" s="1"/>
  <c r="N45" i="27"/>
  <c r="L45" i="27"/>
  <c r="B45" i="27"/>
  <c r="Z44" i="27"/>
  <c r="X44" i="27"/>
  <c r="L44" i="27"/>
  <c r="N44" i="27" s="1"/>
  <c r="B44" i="27"/>
  <c r="X43" i="27"/>
  <c r="Z43" i="27" s="1"/>
  <c r="L43" i="27"/>
  <c r="N43" i="27" s="1"/>
  <c r="B43" i="27"/>
  <c r="T42" i="27"/>
  <c r="R42" i="27"/>
  <c r="P42" i="27"/>
  <c r="X42" i="27" s="1"/>
  <c r="Z42" i="27" s="1"/>
  <c r="H42" i="27"/>
  <c r="D42" i="27"/>
  <c r="L42" i="27" s="1"/>
  <c r="N42" i="27" s="1"/>
  <c r="X40" i="27"/>
  <c r="T40" i="27"/>
  <c r="Z40" i="27" s="1"/>
  <c r="P40" i="27"/>
  <c r="N40" i="27"/>
  <c r="L40" i="27"/>
  <c r="H40" i="27"/>
  <c r="D40" i="27"/>
  <c r="B40" i="27"/>
  <c r="T39" i="27"/>
  <c r="Z39" i="27" s="1"/>
  <c r="P39" i="27"/>
  <c r="X39" i="27" s="1"/>
  <c r="N39" i="27"/>
  <c r="H39" i="27"/>
  <c r="D39" i="27"/>
  <c r="L39" i="27" s="1"/>
  <c r="B39" i="27"/>
  <c r="T38" i="27"/>
  <c r="X38" i="27" s="1"/>
  <c r="Z38" i="27" s="1"/>
  <c r="P38" i="27"/>
  <c r="L38" i="27"/>
  <c r="H38" i="27"/>
  <c r="N38" i="27" s="1"/>
  <c r="D38" i="27"/>
  <c r="B38" i="27"/>
  <c r="X37" i="27"/>
  <c r="T37" i="27"/>
  <c r="P37" i="27"/>
  <c r="L37" i="27"/>
  <c r="N37" i="27" s="1"/>
  <c r="H37" i="27"/>
  <c r="D37" i="27"/>
  <c r="B37" i="27"/>
  <c r="X36" i="27"/>
  <c r="T36" i="27"/>
  <c r="Z36" i="27" s="1"/>
  <c r="P36" i="27"/>
  <c r="N36" i="27"/>
  <c r="L36" i="27"/>
  <c r="H36" i="27"/>
  <c r="D36" i="27"/>
  <c r="B36" i="27"/>
  <c r="T35" i="27"/>
  <c r="Z35" i="27" s="1"/>
  <c r="P35" i="27"/>
  <c r="X35" i="27" s="1"/>
  <c r="N35" i="27"/>
  <c r="H35" i="27"/>
  <c r="D35" i="27"/>
  <c r="L35" i="27" s="1"/>
  <c r="B35" i="27"/>
  <c r="T34" i="27"/>
  <c r="P34" i="27"/>
  <c r="L34" i="27"/>
  <c r="H34" i="27"/>
  <c r="N34" i="27" s="1"/>
  <c r="D34" i="27"/>
  <c r="B34" i="27"/>
  <c r="X33" i="27"/>
  <c r="T33" i="27"/>
  <c r="P33" i="27"/>
  <c r="L33" i="27"/>
  <c r="N33" i="27" s="1"/>
  <c r="H33" i="27"/>
  <c r="D33" i="27"/>
  <c r="B33" i="27"/>
  <c r="X32" i="27"/>
  <c r="T32" i="27"/>
  <c r="Z32" i="27" s="1"/>
  <c r="P32" i="27"/>
  <c r="N32" i="27"/>
  <c r="L32" i="27"/>
  <c r="H32" i="27"/>
  <c r="D32" i="27"/>
  <c r="B32" i="27"/>
  <c r="T31" i="27"/>
  <c r="Z31" i="27" s="1"/>
  <c r="P31" i="27"/>
  <c r="X31" i="27" s="1"/>
  <c r="H31" i="27"/>
  <c r="D31" i="27"/>
  <c r="L31" i="27" s="1"/>
  <c r="N31" i="27" s="1"/>
  <c r="B31" i="27"/>
  <c r="T30" i="27"/>
  <c r="P30" i="27"/>
  <c r="L30" i="27"/>
  <c r="H30" i="27"/>
  <c r="N30" i="27" s="1"/>
  <c r="D30" i="27"/>
  <c r="B30" i="27"/>
  <c r="X29" i="27"/>
  <c r="T29" i="27"/>
  <c r="Z29" i="27" s="1"/>
  <c r="P29" i="27"/>
  <c r="L29" i="27"/>
  <c r="N29" i="27" s="1"/>
  <c r="H29" i="27"/>
  <c r="D29" i="27"/>
  <c r="B29" i="27"/>
  <c r="X28" i="27"/>
  <c r="T28" i="27"/>
  <c r="Z28" i="27" s="1"/>
  <c r="P28" i="27"/>
  <c r="N28" i="27"/>
  <c r="L28" i="27"/>
  <c r="H28" i="27"/>
  <c r="D28" i="27"/>
  <c r="B28" i="27"/>
  <c r="T27" i="27"/>
  <c r="P27" i="27"/>
  <c r="X27" i="27" s="1"/>
  <c r="N27" i="27"/>
  <c r="H27" i="27"/>
  <c r="D27" i="27"/>
  <c r="L27" i="27" s="1"/>
  <c r="B27" i="27"/>
  <c r="T26" i="27"/>
  <c r="P26" i="27"/>
  <c r="L26" i="27"/>
  <c r="H26" i="27"/>
  <c r="N26" i="27" s="1"/>
  <c r="D26" i="27"/>
  <c r="B26" i="27"/>
  <c r="X25" i="27"/>
  <c r="T25" i="27"/>
  <c r="Z25" i="27" s="1"/>
  <c r="P25" i="27"/>
  <c r="L25" i="27"/>
  <c r="N25" i="27" s="1"/>
  <c r="H25" i="27"/>
  <c r="D25" i="27"/>
  <c r="B25" i="27"/>
  <c r="X24" i="27"/>
  <c r="T24" i="27"/>
  <c r="Z24" i="27" s="1"/>
  <c r="P24" i="27"/>
  <c r="N24" i="27"/>
  <c r="L24" i="27"/>
  <c r="H24" i="27"/>
  <c r="D24" i="27"/>
  <c r="B24" i="27"/>
  <c r="T23" i="27"/>
  <c r="P23" i="27"/>
  <c r="X23" i="27" s="1"/>
  <c r="H23" i="27"/>
  <c r="D23" i="27"/>
  <c r="L23" i="27" s="1"/>
  <c r="N23" i="27" s="1"/>
  <c r="B23" i="27"/>
  <c r="T22" i="27"/>
  <c r="P22" i="27"/>
  <c r="L22" i="27"/>
  <c r="H22" i="27"/>
  <c r="N22" i="27" s="1"/>
  <c r="D22" i="27"/>
  <c r="B22" i="27"/>
  <c r="X21" i="27"/>
  <c r="T21" i="27"/>
  <c r="P21" i="27"/>
  <c r="L21" i="27"/>
  <c r="N21" i="27" s="1"/>
  <c r="H21" i="27"/>
  <c r="D21" i="27"/>
  <c r="B21" i="27"/>
  <c r="X20" i="27"/>
  <c r="T20" i="27"/>
  <c r="Z20" i="27" s="1"/>
  <c r="P20" i="27"/>
  <c r="N20" i="27"/>
  <c r="L20" i="27"/>
  <c r="H20" i="27"/>
  <c r="D20" i="27"/>
  <c r="B20" i="27"/>
  <c r="T19" i="27"/>
  <c r="Z19" i="27" s="1"/>
  <c r="P19" i="27"/>
  <c r="X19" i="27" s="1"/>
  <c r="H19" i="27"/>
  <c r="D19" i="27"/>
  <c r="L19" i="27" s="1"/>
  <c r="N19" i="27" s="1"/>
  <c r="B19" i="27"/>
  <c r="T18" i="27"/>
  <c r="P18" i="27"/>
  <c r="L18" i="27"/>
  <c r="H18" i="27"/>
  <c r="N18" i="27" s="1"/>
  <c r="D18" i="27"/>
  <c r="B18" i="27"/>
  <c r="X17" i="27"/>
  <c r="T17" i="27"/>
  <c r="P17" i="27"/>
  <c r="L17" i="27"/>
  <c r="N17" i="27" s="1"/>
  <c r="H17" i="27"/>
  <c r="D17" i="27"/>
  <c r="B17" i="27"/>
  <c r="X16" i="27"/>
  <c r="T16" i="27"/>
  <c r="Z16" i="27" s="1"/>
  <c r="P16" i="27"/>
  <c r="N16" i="27"/>
  <c r="L16" i="27"/>
  <c r="H16" i="27"/>
  <c r="D16" i="27"/>
  <c r="B16" i="27"/>
  <c r="T15" i="27"/>
  <c r="Z15" i="27" s="1"/>
  <c r="P15" i="27"/>
  <c r="X15" i="27" s="1"/>
  <c r="N15" i="27"/>
  <c r="H15" i="27"/>
  <c r="D15" i="27"/>
  <c r="L15" i="27" s="1"/>
  <c r="B15" i="27"/>
  <c r="T14" i="27"/>
  <c r="P14" i="27"/>
  <c r="L14" i="27"/>
  <c r="H14" i="27"/>
  <c r="N14" i="27" s="1"/>
  <c r="D14" i="27"/>
  <c r="B14" i="27"/>
  <c r="X13" i="27"/>
  <c r="T13" i="27"/>
  <c r="T12" i="27" s="1"/>
  <c r="P13" i="27"/>
  <c r="P12" i="27" s="1"/>
  <c r="L13" i="27"/>
  <c r="N13" i="27" s="1"/>
  <c r="H13" i="27"/>
  <c r="D13" i="27"/>
  <c r="B13" i="27"/>
  <c r="H12" i="27"/>
  <c r="J105" i="27" s="1"/>
  <c r="D4" i="27"/>
  <c r="Z135" i="24"/>
  <c r="X135" i="24"/>
  <c r="L135" i="24"/>
  <c r="N135" i="24" s="1"/>
  <c r="X131" i="24"/>
  <c r="T131" i="24"/>
  <c r="Z131" i="24" s="1"/>
  <c r="P131" i="24"/>
  <c r="H131" i="24"/>
  <c r="D131" i="24"/>
  <c r="Z129" i="24"/>
  <c r="X129" i="24"/>
  <c r="N129" i="24"/>
  <c r="L129" i="24"/>
  <c r="B129" i="24"/>
  <c r="Z128" i="24"/>
  <c r="X128" i="24"/>
  <c r="T128" i="24"/>
  <c r="P128" i="24"/>
  <c r="L128" i="24"/>
  <c r="H128" i="24"/>
  <c r="N128" i="24" s="1"/>
  <c r="D128" i="24"/>
  <c r="B128" i="24"/>
  <c r="Z127" i="24"/>
  <c r="X127" i="24"/>
  <c r="L127" i="24"/>
  <c r="N127" i="24" s="1"/>
  <c r="B127" i="24"/>
  <c r="T126" i="24"/>
  <c r="P126" i="24"/>
  <c r="X126" i="24" s="1"/>
  <c r="H126" i="24"/>
  <c r="N126" i="24" s="1"/>
  <c r="D126" i="24"/>
  <c r="L126" i="24" s="1"/>
  <c r="B126" i="24"/>
  <c r="X125" i="24"/>
  <c r="Z125" i="24" s="1"/>
  <c r="L125" i="24"/>
  <c r="N125" i="24" s="1"/>
  <c r="B125" i="24"/>
  <c r="X124" i="24"/>
  <c r="Z124" i="24" s="1"/>
  <c r="N124" i="24"/>
  <c r="L124" i="24"/>
  <c r="B124" i="24"/>
  <c r="X123" i="24"/>
  <c r="Z123" i="24" s="1"/>
  <c r="N123" i="24"/>
  <c r="L123" i="24"/>
  <c r="B123" i="24"/>
  <c r="T122" i="24"/>
  <c r="P122" i="24"/>
  <c r="X122" i="24" s="1"/>
  <c r="Z122" i="24" s="1"/>
  <c r="H122" i="24"/>
  <c r="D122" i="24"/>
  <c r="L122" i="24" s="1"/>
  <c r="N122" i="24" s="1"/>
  <c r="B122" i="24"/>
  <c r="X121" i="24"/>
  <c r="Z121" i="24" s="1"/>
  <c r="N121" i="24"/>
  <c r="L121" i="24"/>
  <c r="B121" i="24"/>
  <c r="Z120" i="24"/>
  <c r="X120" i="24"/>
  <c r="T120" i="24"/>
  <c r="P120" i="24"/>
  <c r="L120" i="24"/>
  <c r="H120" i="24"/>
  <c r="N120" i="24" s="1"/>
  <c r="D120" i="24"/>
  <c r="B120" i="24"/>
  <c r="Z119" i="24"/>
  <c r="X119" i="24"/>
  <c r="L119" i="24"/>
  <c r="N119" i="24" s="1"/>
  <c r="B119" i="24"/>
  <c r="Z118" i="24"/>
  <c r="X118" i="24"/>
  <c r="N118" i="24"/>
  <c r="L118" i="24"/>
  <c r="B118" i="24"/>
  <c r="T117" i="24"/>
  <c r="P117" i="24"/>
  <c r="X117" i="24" s="1"/>
  <c r="Z117" i="24" s="1"/>
  <c r="H117" i="24"/>
  <c r="L117" i="24" s="1"/>
  <c r="N117" i="24" s="1"/>
  <c r="D117" i="24"/>
  <c r="B117" i="24"/>
  <c r="Z116" i="24"/>
  <c r="X116" i="24"/>
  <c r="N116" i="24"/>
  <c r="L116" i="24"/>
  <c r="B116" i="24"/>
  <c r="X115" i="24"/>
  <c r="Z115" i="24" s="1"/>
  <c r="N115" i="24"/>
  <c r="L115" i="24"/>
  <c r="B115" i="24"/>
  <c r="T114" i="24"/>
  <c r="P114" i="24"/>
  <c r="X114" i="24" s="1"/>
  <c r="Z114" i="24" s="1"/>
  <c r="N114" i="24"/>
  <c r="H114" i="24"/>
  <c r="D114" i="24"/>
  <c r="L114" i="24" s="1"/>
  <c r="B114" i="24"/>
  <c r="X113" i="24"/>
  <c r="Z113" i="24" s="1"/>
  <c r="N113" i="24"/>
  <c r="L113" i="24"/>
  <c r="B113" i="24"/>
  <c r="Z112" i="24"/>
  <c r="X112" i="24"/>
  <c r="T112" i="24"/>
  <c r="P112" i="24"/>
  <c r="L112" i="24"/>
  <c r="H112" i="24"/>
  <c r="N112" i="24" s="1"/>
  <c r="D112" i="24"/>
  <c r="B112" i="24"/>
  <c r="Z111" i="24"/>
  <c r="X111" i="24"/>
  <c r="N111" i="24"/>
  <c r="L111" i="24"/>
  <c r="J111" i="24"/>
  <c r="B111" i="24"/>
  <c r="T110" i="24"/>
  <c r="Z110" i="24" s="1"/>
  <c r="P110" i="24"/>
  <c r="X110" i="24" s="1"/>
  <c r="H110" i="24"/>
  <c r="N110" i="24" s="1"/>
  <c r="D110" i="24"/>
  <c r="L110" i="24" s="1"/>
  <c r="B110" i="24"/>
  <c r="X109" i="24"/>
  <c r="Z109" i="24" s="1"/>
  <c r="L109" i="24"/>
  <c r="N109" i="24" s="1"/>
  <c r="B109" i="24"/>
  <c r="T108" i="24"/>
  <c r="P108" i="24"/>
  <c r="X108" i="24" s="1"/>
  <c r="Z108" i="24" s="1"/>
  <c r="H108" i="24"/>
  <c r="D108" i="24"/>
  <c r="L108" i="24" s="1"/>
  <c r="N108" i="24" s="1"/>
  <c r="B108" i="24"/>
  <c r="Z107" i="24"/>
  <c r="X107" i="24"/>
  <c r="N107" i="24"/>
  <c r="L107" i="24"/>
  <c r="B107" i="24"/>
  <c r="X106" i="24"/>
  <c r="T106" i="24"/>
  <c r="Z106" i="24" s="1"/>
  <c r="P106" i="24"/>
  <c r="N106" i="24"/>
  <c r="L106" i="24"/>
  <c r="H106" i="24"/>
  <c r="D106" i="24"/>
  <c r="B106" i="24"/>
  <c r="Z105" i="24"/>
  <c r="X105" i="24"/>
  <c r="N105" i="24"/>
  <c r="L105" i="24"/>
  <c r="B105" i="24"/>
  <c r="T104" i="24"/>
  <c r="Z104" i="24" s="1"/>
  <c r="P104" i="24"/>
  <c r="X104" i="24" s="1"/>
  <c r="J104" i="24"/>
  <c r="H104" i="24"/>
  <c r="N104" i="24" s="1"/>
  <c r="D104" i="24"/>
  <c r="L104" i="24" s="1"/>
  <c r="B104" i="24"/>
  <c r="X103" i="24"/>
  <c r="Z103" i="24" s="1"/>
  <c r="N103" i="24"/>
  <c r="L103" i="24"/>
  <c r="B103" i="24"/>
  <c r="T102" i="24"/>
  <c r="P102" i="24"/>
  <c r="X102" i="24" s="1"/>
  <c r="Z102" i="24" s="1"/>
  <c r="H102" i="24"/>
  <c r="D102" i="24"/>
  <c r="L102" i="24" s="1"/>
  <c r="N102" i="24" s="1"/>
  <c r="B102" i="24"/>
  <c r="X101" i="24"/>
  <c r="Z101" i="24" s="1"/>
  <c r="N101" i="24"/>
  <c r="L101" i="24"/>
  <c r="B101" i="24"/>
  <c r="Z100" i="24"/>
  <c r="X100" i="24"/>
  <c r="N100" i="24"/>
  <c r="L100" i="24"/>
  <c r="B100" i="24"/>
  <c r="T99" i="24"/>
  <c r="P99" i="24"/>
  <c r="L99" i="24"/>
  <c r="H99" i="24"/>
  <c r="N99" i="24" s="1"/>
  <c r="D99" i="24"/>
  <c r="B99" i="24"/>
  <c r="Z98" i="24"/>
  <c r="X98" i="24"/>
  <c r="N98" i="24"/>
  <c r="L98" i="24"/>
  <c r="B98" i="24"/>
  <c r="T97" i="24"/>
  <c r="P97" i="24"/>
  <c r="X97" i="24" s="1"/>
  <c r="Z97" i="24" s="1"/>
  <c r="H97" i="24"/>
  <c r="D97" i="24"/>
  <c r="L97" i="24" s="1"/>
  <c r="N97" i="24" s="1"/>
  <c r="B97" i="24"/>
  <c r="X96" i="24"/>
  <c r="Z96" i="24" s="1"/>
  <c r="N96" i="24"/>
  <c r="L96" i="24"/>
  <c r="B96" i="24"/>
  <c r="T95" i="24"/>
  <c r="Z95" i="24" s="1"/>
  <c r="P95" i="24"/>
  <c r="X95" i="24" s="1"/>
  <c r="L95" i="24"/>
  <c r="J95" i="24"/>
  <c r="H95" i="24"/>
  <c r="N95" i="24" s="1"/>
  <c r="D95" i="24"/>
  <c r="B95" i="24"/>
  <c r="X94" i="24"/>
  <c r="Z94" i="24" s="1"/>
  <c r="N94" i="24"/>
  <c r="L94" i="24"/>
  <c r="J94" i="24"/>
  <c r="B94" i="24"/>
  <c r="X93" i="24"/>
  <c r="Z93" i="24" s="1"/>
  <c r="N93" i="24"/>
  <c r="L93" i="24"/>
  <c r="B93" i="24"/>
  <c r="Z92" i="24"/>
  <c r="X92" i="24"/>
  <c r="N92" i="24"/>
  <c r="L92" i="24"/>
  <c r="B92" i="24"/>
  <c r="Z91" i="24"/>
  <c r="X91" i="24"/>
  <c r="N91" i="24"/>
  <c r="L91" i="24"/>
  <c r="B91" i="24"/>
  <c r="X90" i="24"/>
  <c r="Z90" i="24" s="1"/>
  <c r="N90" i="24"/>
  <c r="L90" i="24"/>
  <c r="J90" i="24"/>
  <c r="B90" i="24"/>
  <c r="X89" i="24"/>
  <c r="T89" i="24"/>
  <c r="Z89" i="24" s="1"/>
  <c r="P89" i="24"/>
  <c r="H89" i="24"/>
  <c r="D89" i="24"/>
  <c r="B89" i="24"/>
  <c r="Z88" i="24"/>
  <c r="X88" i="24"/>
  <c r="L88" i="24"/>
  <c r="N88" i="24" s="1"/>
  <c r="B88" i="24"/>
  <c r="Z87" i="24"/>
  <c r="X87" i="24"/>
  <c r="L87" i="24"/>
  <c r="N87" i="24" s="1"/>
  <c r="J87" i="24"/>
  <c r="B87" i="24"/>
  <c r="Z86" i="24"/>
  <c r="X86" i="24"/>
  <c r="N86" i="24"/>
  <c r="L86" i="24"/>
  <c r="B86" i="24"/>
  <c r="Z85" i="24"/>
  <c r="X85" i="24"/>
  <c r="L85" i="24"/>
  <c r="N85" i="24" s="1"/>
  <c r="J85" i="24"/>
  <c r="B85" i="24"/>
  <c r="Z84" i="24"/>
  <c r="X84" i="24"/>
  <c r="L84" i="24"/>
  <c r="N84" i="24" s="1"/>
  <c r="B84" i="24"/>
  <c r="Z83" i="24"/>
  <c r="X83" i="24"/>
  <c r="L83" i="24"/>
  <c r="N83" i="24" s="1"/>
  <c r="J83" i="24"/>
  <c r="B83" i="24"/>
  <c r="Z82" i="24"/>
  <c r="X82" i="24"/>
  <c r="N82" i="24"/>
  <c r="L82" i="24"/>
  <c r="B82" i="24"/>
  <c r="Z81" i="24"/>
  <c r="X81" i="24"/>
  <c r="L81" i="24"/>
  <c r="N81" i="24" s="1"/>
  <c r="J81" i="24"/>
  <c r="B81" i="24"/>
  <c r="T80" i="24"/>
  <c r="Z80" i="24" s="1"/>
  <c r="P80" i="24"/>
  <c r="X80" i="24" s="1"/>
  <c r="J80" i="24"/>
  <c r="H80" i="24"/>
  <c r="N80" i="24" s="1"/>
  <c r="D80" i="24"/>
  <c r="L80" i="24" s="1"/>
  <c r="B80" i="24"/>
  <c r="T79" i="24"/>
  <c r="Z79" i="24" s="1"/>
  <c r="P79" i="24"/>
  <c r="X79" i="24" s="1"/>
  <c r="L79" i="24"/>
  <c r="J79" i="24"/>
  <c r="H79" i="24"/>
  <c r="N79" i="24" s="1"/>
  <c r="D79" i="24"/>
  <c r="X75" i="24"/>
  <c r="Z75" i="24" s="1"/>
  <c r="N75" i="24"/>
  <c r="L75" i="24"/>
  <c r="B75" i="24"/>
  <c r="Z74" i="24"/>
  <c r="X74" i="24"/>
  <c r="L74" i="24"/>
  <c r="N74" i="24" s="1"/>
  <c r="B74" i="24"/>
  <c r="X73" i="24"/>
  <c r="Z73" i="24" s="1"/>
  <c r="L73" i="24"/>
  <c r="N73" i="24" s="1"/>
  <c r="B73" i="24"/>
  <c r="X72" i="24"/>
  <c r="Z72" i="24" s="1"/>
  <c r="N72" i="24"/>
  <c r="L72" i="24"/>
  <c r="B72" i="24"/>
  <c r="Z71" i="24"/>
  <c r="X71" i="24"/>
  <c r="N71" i="24"/>
  <c r="L71" i="24"/>
  <c r="B71" i="24"/>
  <c r="Z70" i="24"/>
  <c r="X70" i="24"/>
  <c r="L70" i="24"/>
  <c r="N70" i="24" s="1"/>
  <c r="B70" i="24"/>
  <c r="X69" i="24"/>
  <c r="Z69" i="24" s="1"/>
  <c r="L69" i="24"/>
  <c r="N69" i="24" s="1"/>
  <c r="B69" i="24"/>
  <c r="X68" i="24"/>
  <c r="Z68" i="24" s="1"/>
  <c r="N68" i="24"/>
  <c r="L68" i="24"/>
  <c r="B68" i="24"/>
  <c r="X67" i="24"/>
  <c r="Z67" i="24" s="1"/>
  <c r="N67" i="24"/>
  <c r="L67" i="24"/>
  <c r="B67" i="24"/>
  <c r="Z66" i="24"/>
  <c r="X66" i="24"/>
  <c r="L66" i="24"/>
  <c r="N66" i="24" s="1"/>
  <c r="B66" i="24"/>
  <c r="X65" i="24"/>
  <c r="Z65" i="24" s="1"/>
  <c r="L65" i="24"/>
  <c r="N65" i="24" s="1"/>
  <c r="B65" i="24"/>
  <c r="X64" i="24"/>
  <c r="Z64" i="24" s="1"/>
  <c r="N64" i="24"/>
  <c r="L64" i="24"/>
  <c r="B64" i="24"/>
  <c r="X63" i="24"/>
  <c r="Z63" i="24" s="1"/>
  <c r="N63" i="24"/>
  <c r="L63" i="24"/>
  <c r="B63" i="24"/>
  <c r="Z62" i="24"/>
  <c r="X62" i="24"/>
  <c r="L62" i="24"/>
  <c r="N62" i="24" s="1"/>
  <c r="B62" i="24"/>
  <c r="X61" i="24"/>
  <c r="Z61" i="24" s="1"/>
  <c r="L61" i="24"/>
  <c r="N61" i="24" s="1"/>
  <c r="B61" i="24"/>
  <c r="X60" i="24"/>
  <c r="Z60" i="24" s="1"/>
  <c r="N60" i="24"/>
  <c r="L60" i="24"/>
  <c r="B60" i="24"/>
  <c r="X59" i="24"/>
  <c r="Z59" i="24" s="1"/>
  <c r="N59" i="24"/>
  <c r="L59" i="24"/>
  <c r="B59" i="24"/>
  <c r="Z58" i="24"/>
  <c r="X58" i="24"/>
  <c r="L58" i="24"/>
  <c r="N58" i="24" s="1"/>
  <c r="B58" i="24"/>
  <c r="X57" i="24"/>
  <c r="Z57" i="24" s="1"/>
  <c r="L57" i="24"/>
  <c r="N57" i="24" s="1"/>
  <c r="B57" i="24"/>
  <c r="X56" i="24"/>
  <c r="Z56" i="24" s="1"/>
  <c r="N56" i="24"/>
  <c r="L56" i="24"/>
  <c r="B56" i="24"/>
  <c r="X55" i="24"/>
  <c r="Z55" i="24" s="1"/>
  <c r="N55" i="24"/>
  <c r="L55" i="24"/>
  <c r="B55" i="24"/>
  <c r="Z54" i="24"/>
  <c r="X54" i="24"/>
  <c r="N54" i="24"/>
  <c r="L54" i="24"/>
  <c r="B54" i="24"/>
  <c r="Z53" i="24"/>
  <c r="X53" i="24"/>
  <c r="N53" i="24"/>
  <c r="L53" i="24"/>
  <c r="B53" i="24"/>
  <c r="T52" i="24"/>
  <c r="P52" i="24"/>
  <c r="X52" i="24" s="1"/>
  <c r="Z52" i="24" s="1"/>
  <c r="J52" i="24"/>
  <c r="H52" i="24"/>
  <c r="D52" i="24"/>
  <c r="L52" i="24" s="1"/>
  <c r="N52" i="24" s="1"/>
  <c r="X50" i="24"/>
  <c r="T50" i="24"/>
  <c r="Z50" i="24" s="1"/>
  <c r="P50" i="24"/>
  <c r="N50" i="24"/>
  <c r="L50" i="24"/>
  <c r="H50" i="24"/>
  <c r="D50" i="24"/>
  <c r="B50" i="24"/>
  <c r="T49" i="24"/>
  <c r="Z49" i="24" s="1"/>
  <c r="P49" i="24"/>
  <c r="X49" i="24" s="1"/>
  <c r="N49" i="24"/>
  <c r="H49" i="24"/>
  <c r="D49" i="24"/>
  <c r="L49" i="24" s="1"/>
  <c r="B49" i="24"/>
  <c r="T48" i="24"/>
  <c r="P48" i="24"/>
  <c r="L48" i="24"/>
  <c r="H48" i="24"/>
  <c r="N48" i="24" s="1"/>
  <c r="D48" i="24"/>
  <c r="B48" i="24"/>
  <c r="X47" i="24"/>
  <c r="T47" i="24"/>
  <c r="P47" i="24"/>
  <c r="N47" i="24"/>
  <c r="L47" i="24"/>
  <c r="H47" i="24"/>
  <c r="D47" i="24"/>
  <c r="B47" i="24"/>
  <c r="X46" i="24"/>
  <c r="T46" i="24"/>
  <c r="Z46" i="24" s="1"/>
  <c r="P46" i="24"/>
  <c r="N46" i="24"/>
  <c r="L46" i="24"/>
  <c r="H46" i="24"/>
  <c r="D46" i="24"/>
  <c r="B46" i="24"/>
  <c r="T45" i="24"/>
  <c r="Z45" i="24" s="1"/>
  <c r="P45" i="24"/>
  <c r="X45" i="24" s="1"/>
  <c r="H45" i="24"/>
  <c r="D45" i="24"/>
  <c r="L45" i="24" s="1"/>
  <c r="N45" i="24" s="1"/>
  <c r="B45" i="24"/>
  <c r="T44" i="24"/>
  <c r="P44" i="24"/>
  <c r="L44" i="24"/>
  <c r="H44" i="24"/>
  <c r="N44" i="24" s="1"/>
  <c r="D44" i="24"/>
  <c r="B44" i="24"/>
  <c r="X43" i="24"/>
  <c r="T43" i="24"/>
  <c r="P43" i="24"/>
  <c r="L43" i="24"/>
  <c r="N43" i="24" s="1"/>
  <c r="H43" i="24"/>
  <c r="D43" i="24"/>
  <c r="B43" i="24"/>
  <c r="X42" i="24"/>
  <c r="T42" i="24"/>
  <c r="Z42" i="24" s="1"/>
  <c r="P42" i="24"/>
  <c r="N42" i="24"/>
  <c r="L42" i="24"/>
  <c r="H42" i="24"/>
  <c r="D42" i="24"/>
  <c r="B42" i="24"/>
  <c r="T41" i="24"/>
  <c r="P41" i="24"/>
  <c r="X41" i="24" s="1"/>
  <c r="H41" i="24"/>
  <c r="D41" i="24"/>
  <c r="L41" i="24" s="1"/>
  <c r="N41" i="24" s="1"/>
  <c r="B41" i="24"/>
  <c r="T40" i="24"/>
  <c r="P40" i="24"/>
  <c r="L40" i="24"/>
  <c r="H40" i="24"/>
  <c r="N40" i="24" s="1"/>
  <c r="D40" i="24"/>
  <c r="B40" i="24"/>
  <c r="X39" i="24"/>
  <c r="T39" i="24"/>
  <c r="Z39" i="24" s="1"/>
  <c r="P39" i="24"/>
  <c r="L39" i="24"/>
  <c r="N39" i="24" s="1"/>
  <c r="H39" i="24"/>
  <c r="D39" i="24"/>
  <c r="B39" i="24"/>
  <c r="X38" i="24"/>
  <c r="T38" i="24"/>
  <c r="Z38" i="24" s="1"/>
  <c r="P38" i="24"/>
  <c r="N38" i="24"/>
  <c r="L38" i="24"/>
  <c r="H38" i="24"/>
  <c r="D38" i="24"/>
  <c r="B38" i="24"/>
  <c r="T37" i="24"/>
  <c r="P37" i="24"/>
  <c r="X37" i="24" s="1"/>
  <c r="H37" i="24"/>
  <c r="D37" i="24"/>
  <c r="L37" i="24" s="1"/>
  <c r="N37" i="24" s="1"/>
  <c r="B37" i="24"/>
  <c r="T36" i="24"/>
  <c r="P36" i="24"/>
  <c r="L36" i="24"/>
  <c r="H36" i="24"/>
  <c r="N36" i="24" s="1"/>
  <c r="D36" i="24"/>
  <c r="B36" i="24"/>
  <c r="X35" i="24"/>
  <c r="T35" i="24"/>
  <c r="P35" i="24"/>
  <c r="L35" i="24"/>
  <c r="N35" i="24" s="1"/>
  <c r="H35" i="24"/>
  <c r="D35" i="24"/>
  <c r="B35" i="24"/>
  <c r="X34" i="24"/>
  <c r="T34" i="24"/>
  <c r="Z34" i="24" s="1"/>
  <c r="P34" i="24"/>
  <c r="N34" i="24"/>
  <c r="L34" i="24"/>
  <c r="H34" i="24"/>
  <c r="D34" i="24"/>
  <c r="B34" i="24"/>
  <c r="T33" i="24"/>
  <c r="P33" i="24"/>
  <c r="X33" i="24" s="1"/>
  <c r="H33" i="24"/>
  <c r="D33" i="24"/>
  <c r="L33" i="24" s="1"/>
  <c r="N33" i="24" s="1"/>
  <c r="B33" i="24"/>
  <c r="T32" i="24"/>
  <c r="P32" i="24"/>
  <c r="L32" i="24"/>
  <c r="H32" i="24"/>
  <c r="N32" i="24" s="1"/>
  <c r="D32" i="24"/>
  <c r="B32" i="24"/>
  <c r="X31" i="24"/>
  <c r="T31" i="24"/>
  <c r="P31" i="24"/>
  <c r="N31" i="24"/>
  <c r="L31" i="24"/>
  <c r="H31" i="24"/>
  <c r="D31" i="24"/>
  <c r="B31" i="24"/>
  <c r="T30" i="24"/>
  <c r="P30" i="24"/>
  <c r="N30" i="24"/>
  <c r="L30" i="24"/>
  <c r="H30" i="24"/>
  <c r="D30" i="24"/>
  <c r="B30" i="24"/>
  <c r="T29" i="24"/>
  <c r="P29" i="24"/>
  <c r="H29" i="24"/>
  <c r="D29" i="24"/>
  <c r="L29" i="24" s="1"/>
  <c r="N29" i="24" s="1"/>
  <c r="B29" i="24"/>
  <c r="T28" i="24"/>
  <c r="P28" i="24"/>
  <c r="L28" i="24"/>
  <c r="H28" i="24"/>
  <c r="D28" i="24"/>
  <c r="B28" i="24"/>
  <c r="X27" i="24"/>
  <c r="T27" i="24"/>
  <c r="Z27" i="24" s="1"/>
  <c r="P27" i="24"/>
  <c r="L27" i="24"/>
  <c r="N27" i="24" s="1"/>
  <c r="H27" i="24"/>
  <c r="D27" i="24"/>
  <c r="B27" i="24"/>
  <c r="T26" i="24"/>
  <c r="P26" i="24"/>
  <c r="N26" i="24"/>
  <c r="L26" i="24"/>
  <c r="H26" i="24"/>
  <c r="D26" i="24"/>
  <c r="B26" i="24"/>
  <c r="T25" i="24"/>
  <c r="P25" i="24"/>
  <c r="H25" i="24"/>
  <c r="D25" i="24"/>
  <c r="L25" i="24" s="1"/>
  <c r="N25" i="24" s="1"/>
  <c r="B25" i="24"/>
  <c r="T24" i="24"/>
  <c r="P24" i="24"/>
  <c r="L24" i="24"/>
  <c r="H24" i="24"/>
  <c r="N24" i="24" s="1"/>
  <c r="D24" i="24"/>
  <c r="B24" i="24"/>
  <c r="X23" i="24"/>
  <c r="T23" i="24"/>
  <c r="P23" i="24"/>
  <c r="L23" i="24"/>
  <c r="N23" i="24" s="1"/>
  <c r="H23" i="24"/>
  <c r="D23" i="24"/>
  <c r="B23" i="24"/>
  <c r="T22" i="24"/>
  <c r="P22" i="24"/>
  <c r="N22" i="24"/>
  <c r="L22" i="24"/>
  <c r="H22" i="24"/>
  <c r="D22" i="24"/>
  <c r="B22" i="24"/>
  <c r="T21" i="24"/>
  <c r="P21" i="24"/>
  <c r="X21" i="24" s="1"/>
  <c r="H21" i="24"/>
  <c r="D21" i="24"/>
  <c r="L21" i="24" s="1"/>
  <c r="N21" i="24" s="1"/>
  <c r="B21" i="24"/>
  <c r="T20" i="24"/>
  <c r="P20" i="24"/>
  <c r="L20" i="24"/>
  <c r="H20" i="24"/>
  <c r="D20" i="24"/>
  <c r="B20" i="24"/>
  <c r="X19" i="24"/>
  <c r="T19" i="24"/>
  <c r="P19" i="24"/>
  <c r="L19" i="24"/>
  <c r="N19" i="24" s="1"/>
  <c r="H19" i="24"/>
  <c r="D19" i="24"/>
  <c r="B19" i="24"/>
  <c r="T18" i="24"/>
  <c r="P18" i="24"/>
  <c r="L18" i="24"/>
  <c r="N18" i="24" s="1"/>
  <c r="H18" i="24"/>
  <c r="D18" i="24"/>
  <c r="B18" i="24"/>
  <c r="T17" i="24"/>
  <c r="P17" i="24"/>
  <c r="H17" i="24"/>
  <c r="D17" i="24"/>
  <c r="L17" i="24" s="1"/>
  <c r="N17" i="24" s="1"/>
  <c r="B17" i="24"/>
  <c r="T16" i="24"/>
  <c r="P16" i="24"/>
  <c r="L16" i="24"/>
  <c r="H16" i="24"/>
  <c r="N16" i="24" s="1"/>
  <c r="D16" i="24"/>
  <c r="B16" i="24"/>
  <c r="T15" i="24"/>
  <c r="P15" i="24"/>
  <c r="N15" i="24"/>
  <c r="L15" i="24"/>
  <c r="H15" i="24"/>
  <c r="D15" i="24"/>
  <c r="B15" i="24"/>
  <c r="T14" i="24"/>
  <c r="P14" i="24"/>
  <c r="N14" i="24"/>
  <c r="L14" i="24"/>
  <c r="H14" i="24"/>
  <c r="D14" i="24"/>
  <c r="B14" i="24"/>
  <c r="T13" i="24"/>
  <c r="P13" i="24"/>
  <c r="P12" i="24" s="1"/>
  <c r="H13" i="24"/>
  <c r="D13" i="24"/>
  <c r="B13" i="24"/>
  <c r="H12" i="24"/>
  <c r="J135" i="24" s="1"/>
  <c r="D4" i="24"/>
  <c r="Z105" i="21"/>
  <c r="X105" i="21"/>
  <c r="L105" i="21"/>
  <c r="N105" i="21" s="1"/>
  <c r="X101" i="21"/>
  <c r="T101" i="21"/>
  <c r="Z101" i="21" s="1"/>
  <c r="P101" i="21"/>
  <c r="L101" i="21"/>
  <c r="H101" i="21"/>
  <c r="N101" i="21" s="1"/>
  <c r="D101" i="21"/>
  <c r="X99" i="21"/>
  <c r="Z99" i="21" s="1"/>
  <c r="N99" i="21"/>
  <c r="L99" i="21"/>
  <c r="F99" i="21"/>
  <c r="B99" i="21"/>
  <c r="X98" i="21"/>
  <c r="T98" i="21"/>
  <c r="Z98" i="21" s="1"/>
  <c r="P98" i="21"/>
  <c r="N98" i="21"/>
  <c r="L98" i="21"/>
  <c r="H98" i="21"/>
  <c r="D98" i="21"/>
  <c r="B98" i="21"/>
  <c r="Z97" i="21"/>
  <c r="X97" i="21"/>
  <c r="L97" i="21"/>
  <c r="N97" i="21" s="1"/>
  <c r="B97" i="21"/>
  <c r="Z96" i="21"/>
  <c r="T96" i="21"/>
  <c r="P96" i="21"/>
  <c r="X96" i="21" s="1"/>
  <c r="H96" i="21"/>
  <c r="D96" i="21"/>
  <c r="L96" i="21" s="1"/>
  <c r="N96" i="21" s="1"/>
  <c r="B96" i="21"/>
  <c r="Z95" i="21"/>
  <c r="X95" i="21"/>
  <c r="L95" i="21"/>
  <c r="N95" i="21" s="1"/>
  <c r="B95" i="21"/>
  <c r="T94" i="21"/>
  <c r="P94" i="21"/>
  <c r="X94" i="21" s="1"/>
  <c r="Z94" i="21" s="1"/>
  <c r="H94" i="21"/>
  <c r="D94" i="21"/>
  <c r="L94" i="21" s="1"/>
  <c r="N94" i="21" s="1"/>
  <c r="B94" i="21"/>
  <c r="X93" i="21"/>
  <c r="Z93" i="21" s="1"/>
  <c r="N93" i="21"/>
  <c r="L93" i="21"/>
  <c r="B93" i="21"/>
  <c r="X92" i="21"/>
  <c r="Z92" i="21" s="1"/>
  <c r="N92" i="21"/>
  <c r="L92" i="21"/>
  <c r="B92" i="21"/>
  <c r="X91" i="21"/>
  <c r="Z91" i="21" s="1"/>
  <c r="N91" i="21"/>
  <c r="L91" i="21"/>
  <c r="B91" i="21"/>
  <c r="X90" i="21"/>
  <c r="Z90" i="21" s="1"/>
  <c r="N90" i="21"/>
  <c r="L90" i="21"/>
  <c r="B90" i="21"/>
  <c r="X89" i="21"/>
  <c r="Z89" i="21" s="1"/>
  <c r="N89" i="21"/>
  <c r="L89" i="21"/>
  <c r="B89" i="21"/>
  <c r="X88" i="21"/>
  <c r="Z88" i="21" s="1"/>
  <c r="N88" i="21"/>
  <c r="L88" i="21"/>
  <c r="F88" i="21"/>
  <c r="B88" i="21"/>
  <c r="X87" i="21"/>
  <c r="Z87" i="21" s="1"/>
  <c r="N87" i="21"/>
  <c r="L87" i="21"/>
  <c r="B87" i="21"/>
  <c r="T86" i="21"/>
  <c r="P86" i="21"/>
  <c r="N86" i="21"/>
  <c r="L86" i="21"/>
  <c r="H86" i="21"/>
  <c r="D86" i="21"/>
  <c r="B86" i="21"/>
  <c r="Z85" i="21"/>
  <c r="X85" i="21"/>
  <c r="L85" i="21"/>
  <c r="N85" i="21" s="1"/>
  <c r="B85" i="21"/>
  <c r="Z84" i="21"/>
  <c r="X84" i="21"/>
  <c r="L84" i="21"/>
  <c r="N84" i="21" s="1"/>
  <c r="B84" i="21"/>
  <c r="T83" i="21"/>
  <c r="X83" i="21" s="1"/>
  <c r="P83" i="21"/>
  <c r="H83" i="21"/>
  <c r="N83" i="21" s="1"/>
  <c r="D83" i="21"/>
  <c r="L83" i="21" s="1"/>
  <c r="B83" i="21"/>
  <c r="Z82" i="21"/>
  <c r="X82" i="21"/>
  <c r="L82" i="21"/>
  <c r="N82" i="21" s="1"/>
  <c r="B82" i="21"/>
  <c r="X81" i="21"/>
  <c r="Z81" i="21" s="1"/>
  <c r="L81" i="21"/>
  <c r="N81" i="21" s="1"/>
  <c r="B81" i="21"/>
  <c r="X80" i="21"/>
  <c r="Z80" i="21" s="1"/>
  <c r="N80" i="21"/>
  <c r="L80" i="21"/>
  <c r="B80" i="21"/>
  <c r="Z79" i="21"/>
  <c r="X79" i="21"/>
  <c r="N79" i="21"/>
  <c r="L79" i="21"/>
  <c r="F79" i="21"/>
  <c r="B79" i="21"/>
  <c r="T78" i="21"/>
  <c r="P78" i="21"/>
  <c r="X78" i="21" s="1"/>
  <c r="Z78" i="21" s="1"/>
  <c r="H78" i="21"/>
  <c r="D78" i="21"/>
  <c r="L78" i="21" s="1"/>
  <c r="N78" i="21" s="1"/>
  <c r="B78" i="21"/>
  <c r="X77" i="21"/>
  <c r="Z77" i="21" s="1"/>
  <c r="N77" i="21"/>
  <c r="L77" i="21"/>
  <c r="B77" i="21"/>
  <c r="X76" i="21"/>
  <c r="Z76" i="21" s="1"/>
  <c r="T76" i="21"/>
  <c r="P76" i="21"/>
  <c r="L76" i="21"/>
  <c r="H76" i="21"/>
  <c r="N76" i="21" s="1"/>
  <c r="F76" i="21"/>
  <c r="D76" i="21"/>
  <c r="B76" i="21"/>
  <c r="Z75" i="21"/>
  <c r="X75" i="21"/>
  <c r="N75" i="21"/>
  <c r="L75" i="21"/>
  <c r="B75" i="21"/>
  <c r="Z74" i="21"/>
  <c r="X74" i="21"/>
  <c r="N74" i="21"/>
  <c r="L74" i="21"/>
  <c r="B74" i="21"/>
  <c r="Z73" i="21"/>
  <c r="X73" i="21"/>
  <c r="N73" i="21"/>
  <c r="L73" i="21"/>
  <c r="B73" i="21"/>
  <c r="T72" i="21"/>
  <c r="P72" i="21"/>
  <c r="H72" i="21"/>
  <c r="L72" i="21" s="1"/>
  <c r="D72" i="21"/>
  <c r="B72" i="21"/>
  <c r="Z71" i="21"/>
  <c r="X71" i="21"/>
  <c r="V71" i="21"/>
  <c r="L71" i="21"/>
  <c r="N71" i="21" s="1"/>
  <c r="B71" i="21"/>
  <c r="T70" i="21"/>
  <c r="P70" i="21"/>
  <c r="X70" i="21" s="1"/>
  <c r="Z70" i="21" s="1"/>
  <c r="H70" i="21"/>
  <c r="D70" i="21"/>
  <c r="L70" i="21" s="1"/>
  <c r="N70" i="21" s="1"/>
  <c r="B70" i="21"/>
  <c r="X69" i="21"/>
  <c r="Z69" i="21" s="1"/>
  <c r="N69" i="21"/>
  <c r="L69" i="21"/>
  <c r="F69" i="21"/>
  <c r="B69" i="21"/>
  <c r="X68" i="21"/>
  <c r="Z68" i="21" s="1"/>
  <c r="T68" i="21"/>
  <c r="P68" i="21"/>
  <c r="H68" i="21"/>
  <c r="D68" i="21"/>
  <c r="B68" i="21"/>
  <c r="Z67" i="21"/>
  <c r="X67" i="21"/>
  <c r="N67" i="21"/>
  <c r="L67" i="21"/>
  <c r="B67" i="21"/>
  <c r="T66" i="21"/>
  <c r="X66" i="21" s="1"/>
  <c r="P66" i="21"/>
  <c r="H66" i="21"/>
  <c r="D66" i="21"/>
  <c r="B66" i="21"/>
  <c r="X65" i="21"/>
  <c r="Z65" i="21" s="1"/>
  <c r="L65" i="21"/>
  <c r="N65" i="21" s="1"/>
  <c r="B65" i="21"/>
  <c r="X64" i="21"/>
  <c r="Z64" i="21" s="1"/>
  <c r="T64" i="21"/>
  <c r="P64" i="21"/>
  <c r="H64" i="21"/>
  <c r="D64" i="21"/>
  <c r="L64" i="21" s="1"/>
  <c r="N64" i="21" s="1"/>
  <c r="B64" i="21"/>
  <c r="Z63" i="21"/>
  <c r="X63" i="21"/>
  <c r="N63" i="21"/>
  <c r="L63" i="21"/>
  <c r="B63" i="21"/>
  <c r="T62" i="21"/>
  <c r="P62" i="21"/>
  <c r="N62" i="21"/>
  <c r="L62" i="21"/>
  <c r="H62" i="21"/>
  <c r="D62" i="21"/>
  <c r="B62" i="21"/>
  <c r="Z61" i="21"/>
  <c r="X61" i="21"/>
  <c r="L61" i="21"/>
  <c r="N61" i="21" s="1"/>
  <c r="B61" i="21"/>
  <c r="T60" i="21"/>
  <c r="P60" i="21"/>
  <c r="N60" i="21"/>
  <c r="H60" i="21"/>
  <c r="L60" i="21" s="1"/>
  <c r="D60" i="21"/>
  <c r="B60" i="21"/>
  <c r="Z59" i="21"/>
  <c r="X59" i="21"/>
  <c r="N59" i="21"/>
  <c r="L59" i="21"/>
  <c r="B59" i="21"/>
  <c r="T58" i="21"/>
  <c r="P58" i="21"/>
  <c r="X58" i="21" s="1"/>
  <c r="Z58" i="21" s="1"/>
  <c r="H58" i="21"/>
  <c r="D58" i="21"/>
  <c r="L58" i="21" s="1"/>
  <c r="N58" i="21" s="1"/>
  <c r="B58" i="21"/>
  <c r="X57" i="21"/>
  <c r="Z57" i="21" s="1"/>
  <c r="N57" i="21"/>
  <c r="L57" i="21"/>
  <c r="F57" i="21"/>
  <c r="B57" i="21"/>
  <c r="X56" i="21"/>
  <c r="Z56" i="21" s="1"/>
  <c r="T56" i="21"/>
  <c r="P56" i="21"/>
  <c r="H56" i="21"/>
  <c r="D56" i="21"/>
  <c r="B56" i="21"/>
  <c r="Z55" i="21"/>
  <c r="X55" i="21"/>
  <c r="N55" i="21"/>
  <c r="L55" i="21"/>
  <c r="B55" i="21"/>
  <c r="Z54" i="21"/>
  <c r="X54" i="21"/>
  <c r="N54" i="21"/>
  <c r="L54" i="21"/>
  <c r="B54" i="21"/>
  <c r="X53" i="21"/>
  <c r="T53" i="21"/>
  <c r="Z53" i="21" s="1"/>
  <c r="P53" i="21"/>
  <c r="N53" i="21"/>
  <c r="H53" i="21"/>
  <c r="L53" i="21" s="1"/>
  <c r="D53" i="21"/>
  <c r="B53" i="21"/>
  <c r="X52" i="21"/>
  <c r="Z52" i="21" s="1"/>
  <c r="L52" i="21"/>
  <c r="N52" i="21" s="1"/>
  <c r="B52" i="21"/>
  <c r="T51" i="21"/>
  <c r="P51" i="21"/>
  <c r="L51" i="21"/>
  <c r="H51" i="21"/>
  <c r="D51" i="21"/>
  <c r="B51" i="21"/>
  <c r="X50" i="21"/>
  <c r="Z50" i="21" s="1"/>
  <c r="N50" i="21"/>
  <c r="L50" i="21"/>
  <c r="B50" i="21"/>
  <c r="Z49" i="21"/>
  <c r="X49" i="21"/>
  <c r="T49" i="21"/>
  <c r="P49" i="21"/>
  <c r="H49" i="21"/>
  <c r="D49" i="21"/>
  <c r="L49" i="21" s="1"/>
  <c r="N49" i="21" s="1"/>
  <c r="B49" i="21"/>
  <c r="Z48" i="21"/>
  <c r="X48" i="21"/>
  <c r="N48" i="21"/>
  <c r="L48" i="21"/>
  <c r="B48" i="21"/>
  <c r="X47" i="21"/>
  <c r="T47" i="21"/>
  <c r="Z47" i="21" s="1"/>
  <c r="P47" i="21"/>
  <c r="H47" i="21"/>
  <c r="D47" i="21"/>
  <c r="L47" i="21" s="1"/>
  <c r="N47" i="21" s="1"/>
  <c r="B47" i="21"/>
  <c r="Z46" i="21"/>
  <c r="X46" i="21"/>
  <c r="L46" i="21"/>
  <c r="N46" i="21" s="1"/>
  <c r="B46" i="21"/>
  <c r="X45" i="21"/>
  <c r="Z45" i="21" s="1"/>
  <c r="N45" i="21"/>
  <c r="L45" i="21"/>
  <c r="B45" i="21"/>
  <c r="X44" i="21"/>
  <c r="Z44" i="21" s="1"/>
  <c r="N44" i="21"/>
  <c r="L44" i="21"/>
  <c r="B44" i="21"/>
  <c r="Z43" i="21"/>
  <c r="X43" i="21"/>
  <c r="L43" i="21"/>
  <c r="N43" i="21" s="1"/>
  <c r="B43" i="21"/>
  <c r="Z42" i="21"/>
  <c r="X42" i="21"/>
  <c r="N42" i="21"/>
  <c r="L42" i="21"/>
  <c r="B42" i="21"/>
  <c r="X41" i="21"/>
  <c r="Z41" i="21" s="1"/>
  <c r="N41" i="21"/>
  <c r="L41" i="21"/>
  <c r="B41" i="21"/>
  <c r="T40" i="21"/>
  <c r="P40" i="21"/>
  <c r="X40" i="21" s="1"/>
  <c r="Z40" i="21" s="1"/>
  <c r="H40" i="21"/>
  <c r="D40" i="21"/>
  <c r="L40" i="21" s="1"/>
  <c r="B40" i="21"/>
  <c r="X39" i="21"/>
  <c r="Z39" i="21" s="1"/>
  <c r="N39" i="21"/>
  <c r="L39" i="21"/>
  <c r="B39" i="21"/>
  <c r="X38" i="21"/>
  <c r="Z38" i="21" s="1"/>
  <c r="N38" i="21"/>
  <c r="L38" i="21"/>
  <c r="F38" i="21"/>
  <c r="B38" i="21"/>
  <c r="X37" i="21"/>
  <c r="Z37" i="21" s="1"/>
  <c r="N37" i="21"/>
  <c r="L37" i="21"/>
  <c r="F37" i="21"/>
  <c r="B37" i="21"/>
  <c r="X36" i="21"/>
  <c r="Z36" i="21" s="1"/>
  <c r="L36" i="21"/>
  <c r="N36" i="21" s="1"/>
  <c r="F36" i="21"/>
  <c r="B36" i="21"/>
  <c r="X35" i="21"/>
  <c r="Z35" i="21" s="1"/>
  <c r="N35" i="21"/>
  <c r="L35" i="21"/>
  <c r="B35" i="21"/>
  <c r="X34" i="21"/>
  <c r="Z34" i="21" s="1"/>
  <c r="N34" i="21"/>
  <c r="L34" i="21"/>
  <c r="F34" i="21"/>
  <c r="B34" i="21"/>
  <c r="X33" i="21"/>
  <c r="Z33" i="21" s="1"/>
  <c r="N33" i="21"/>
  <c r="L33" i="21"/>
  <c r="F33" i="21"/>
  <c r="B33" i="21"/>
  <c r="X32" i="21"/>
  <c r="Z32" i="21" s="1"/>
  <c r="L32" i="21"/>
  <c r="N32" i="21" s="1"/>
  <c r="F32" i="21"/>
  <c r="B32" i="21"/>
  <c r="X31" i="21"/>
  <c r="Z31" i="21" s="1"/>
  <c r="T31" i="21"/>
  <c r="P31" i="21"/>
  <c r="L31" i="21"/>
  <c r="N31" i="21" s="1"/>
  <c r="H31" i="21"/>
  <c r="F31" i="21"/>
  <c r="D31" i="21"/>
  <c r="B31" i="21"/>
  <c r="T30" i="21"/>
  <c r="P30" i="21"/>
  <c r="X30" i="21" s="1"/>
  <c r="H30" i="21"/>
  <c r="N30" i="21" s="1"/>
  <c r="D30" i="21"/>
  <c r="L30" i="21" s="1"/>
  <c r="Z26" i="21"/>
  <c r="X26" i="21"/>
  <c r="R26" i="21"/>
  <c r="L26" i="21"/>
  <c r="N26" i="21" s="1"/>
  <c r="B26" i="21"/>
  <c r="Z25" i="21"/>
  <c r="X25" i="21"/>
  <c r="N25" i="21"/>
  <c r="L25" i="21"/>
  <c r="B25" i="21"/>
  <c r="T24" i="21"/>
  <c r="P24" i="21"/>
  <c r="X24" i="21" s="1"/>
  <c r="H24" i="21"/>
  <c r="D24" i="21"/>
  <c r="L24" i="21" s="1"/>
  <c r="T22" i="21"/>
  <c r="P22" i="21"/>
  <c r="X22" i="21" s="1"/>
  <c r="Z22" i="21" s="1"/>
  <c r="H22" i="21"/>
  <c r="N22" i="21" s="1"/>
  <c r="D22" i="21"/>
  <c r="B22" i="21"/>
  <c r="Z21" i="21"/>
  <c r="T21" i="21"/>
  <c r="P21" i="21"/>
  <c r="X21" i="21" s="1"/>
  <c r="H21" i="21"/>
  <c r="D21" i="21"/>
  <c r="L21" i="21" s="1"/>
  <c r="B21" i="21"/>
  <c r="T20" i="21"/>
  <c r="P20" i="21"/>
  <c r="X20" i="21" s="1"/>
  <c r="Z20" i="21" s="1"/>
  <c r="L20" i="21"/>
  <c r="H20" i="21"/>
  <c r="N20" i="21" s="1"/>
  <c r="D20" i="21"/>
  <c r="B20" i="21"/>
  <c r="T19" i="21"/>
  <c r="P19" i="21"/>
  <c r="X19" i="21" s="1"/>
  <c r="Z19" i="21" s="1"/>
  <c r="H19" i="21"/>
  <c r="D19" i="21"/>
  <c r="B19" i="21"/>
  <c r="T18" i="21"/>
  <c r="P18" i="21"/>
  <c r="X18" i="21" s="1"/>
  <c r="Z18" i="21" s="1"/>
  <c r="H18" i="21"/>
  <c r="N18" i="21" s="1"/>
  <c r="D18" i="21"/>
  <c r="B18" i="21"/>
  <c r="T17" i="21"/>
  <c r="P17" i="21"/>
  <c r="X17" i="21" s="1"/>
  <c r="Z17" i="21" s="1"/>
  <c r="H17" i="21"/>
  <c r="N17" i="21" s="1"/>
  <c r="D17" i="21"/>
  <c r="L17" i="21" s="1"/>
  <c r="B17" i="21"/>
  <c r="T16" i="21"/>
  <c r="P16" i="21"/>
  <c r="X16" i="21" s="1"/>
  <c r="Z16" i="21" s="1"/>
  <c r="L16" i="21"/>
  <c r="H16" i="21"/>
  <c r="N16" i="21" s="1"/>
  <c r="D16" i="21"/>
  <c r="B16" i="21"/>
  <c r="T15" i="21"/>
  <c r="P15" i="21"/>
  <c r="X15" i="21" s="1"/>
  <c r="Z15" i="21" s="1"/>
  <c r="H15" i="21"/>
  <c r="D15" i="21"/>
  <c r="B15" i="21"/>
  <c r="T14" i="21"/>
  <c r="P14" i="21"/>
  <c r="X14" i="21" s="1"/>
  <c r="Z14" i="21" s="1"/>
  <c r="H14" i="21"/>
  <c r="N14" i="21" s="1"/>
  <c r="D14" i="21"/>
  <c r="B14" i="21"/>
  <c r="T13" i="21"/>
  <c r="T12" i="21" s="1"/>
  <c r="P13" i="21"/>
  <c r="X13" i="21" s="1"/>
  <c r="Z13" i="21" s="1"/>
  <c r="H13" i="21"/>
  <c r="D13" i="21"/>
  <c r="L13" i="21" s="1"/>
  <c r="B13" i="21"/>
  <c r="P12" i="21"/>
  <c r="R31" i="21" s="1"/>
  <c r="D12" i="21"/>
  <c r="F50" i="21" s="1"/>
  <c r="D4" i="21"/>
  <c r="X287" i="18"/>
  <c r="Z287" i="18" s="1"/>
  <c r="N287" i="18"/>
  <c r="L287" i="18"/>
  <c r="Z283" i="18"/>
  <c r="T283" i="18"/>
  <c r="P283" i="18"/>
  <c r="X283" i="18" s="1"/>
  <c r="N283" i="18"/>
  <c r="J283" i="18"/>
  <c r="H283" i="18"/>
  <c r="D283" i="18"/>
  <c r="L283" i="18" s="1"/>
  <c r="B283" i="18"/>
  <c r="X282" i="18"/>
  <c r="T282" i="18"/>
  <c r="Z282" i="18" s="1"/>
  <c r="P282" i="18"/>
  <c r="L282" i="18"/>
  <c r="H282" i="18"/>
  <c r="N282" i="18" s="1"/>
  <c r="D282" i="18"/>
  <c r="B282" i="18"/>
  <c r="Z281" i="18"/>
  <c r="T281" i="18"/>
  <c r="X281" i="18" s="1"/>
  <c r="P281" i="18"/>
  <c r="N281" i="18"/>
  <c r="H281" i="18"/>
  <c r="L281" i="18" s="1"/>
  <c r="D281" i="18"/>
  <c r="B281" i="18"/>
  <c r="T280" i="18"/>
  <c r="P280" i="18"/>
  <c r="X280" i="18" s="1"/>
  <c r="H280" i="18"/>
  <c r="D280" i="18"/>
  <c r="L280" i="18" s="1"/>
  <c r="B280" i="18"/>
  <c r="X279" i="18"/>
  <c r="Z279" i="18" s="1"/>
  <c r="T279" i="18"/>
  <c r="R279" i="18"/>
  <c r="P279" i="18"/>
  <c r="N279" i="18"/>
  <c r="L279" i="18"/>
  <c r="H279" i="18"/>
  <c r="D279" i="18"/>
  <c r="B279" i="18"/>
  <c r="T278" i="18"/>
  <c r="P278" i="18"/>
  <c r="X278" i="18" s="1"/>
  <c r="H278" i="18"/>
  <c r="D278" i="18"/>
  <c r="L278" i="18" s="1"/>
  <c r="B278" i="18"/>
  <c r="Z277" i="18"/>
  <c r="T277" i="18"/>
  <c r="P277" i="18"/>
  <c r="X277" i="18" s="1"/>
  <c r="N277" i="18"/>
  <c r="H277" i="18"/>
  <c r="D277" i="18"/>
  <c r="L277" i="18" s="1"/>
  <c r="B277" i="18"/>
  <c r="X276" i="18"/>
  <c r="T276" i="18"/>
  <c r="P276" i="18"/>
  <c r="L276" i="18"/>
  <c r="H276" i="18"/>
  <c r="N276" i="18" s="1"/>
  <c r="D276" i="18"/>
  <c r="B276" i="18"/>
  <c r="T275" i="18"/>
  <c r="X275" i="18" s="1"/>
  <c r="Z275" i="18" s="1"/>
  <c r="P275" i="18"/>
  <c r="N275" i="18"/>
  <c r="H275" i="18"/>
  <c r="L275" i="18" s="1"/>
  <c r="D275" i="18"/>
  <c r="B275" i="18"/>
  <c r="T274" i="18"/>
  <c r="Z274" i="18" s="1"/>
  <c r="P274" i="18"/>
  <c r="X274" i="18" s="1"/>
  <c r="H274" i="18"/>
  <c r="D274" i="18"/>
  <c r="B274" i="18"/>
  <c r="Z273" i="18"/>
  <c r="X273" i="18"/>
  <c r="T273" i="18"/>
  <c r="P273" i="18"/>
  <c r="L273" i="18"/>
  <c r="N273" i="18" s="1"/>
  <c r="H273" i="18"/>
  <c r="D273" i="18"/>
  <c r="B273" i="18"/>
  <c r="H272" i="18"/>
  <c r="X270" i="18"/>
  <c r="Z270" i="18" s="1"/>
  <c r="L270" i="18"/>
  <c r="N270" i="18" s="1"/>
  <c r="B270" i="18"/>
  <c r="Z269" i="18"/>
  <c r="T269" i="18"/>
  <c r="X269" i="18" s="1"/>
  <c r="P269" i="18"/>
  <c r="H269" i="18"/>
  <c r="L269" i="18" s="1"/>
  <c r="N269" i="18" s="1"/>
  <c r="D269" i="18"/>
  <c r="B269" i="18"/>
  <c r="X268" i="18"/>
  <c r="Z268" i="18" s="1"/>
  <c r="L268" i="18"/>
  <c r="N268" i="18" s="1"/>
  <c r="B268" i="18"/>
  <c r="Z267" i="18"/>
  <c r="X267" i="18"/>
  <c r="N267" i="18"/>
  <c r="L267" i="18"/>
  <c r="B267" i="18"/>
  <c r="X266" i="18"/>
  <c r="Z266" i="18" s="1"/>
  <c r="L266" i="18"/>
  <c r="N266" i="18" s="1"/>
  <c r="B266" i="18"/>
  <c r="T265" i="18"/>
  <c r="P265" i="18"/>
  <c r="X265" i="18" s="1"/>
  <c r="Z265" i="18" s="1"/>
  <c r="J265" i="18"/>
  <c r="H265" i="18"/>
  <c r="D265" i="18"/>
  <c r="L265" i="18" s="1"/>
  <c r="N265" i="18" s="1"/>
  <c r="B265" i="18"/>
  <c r="X264" i="18"/>
  <c r="Z264" i="18" s="1"/>
  <c r="N264" i="18"/>
  <c r="L264" i="18"/>
  <c r="B264" i="18"/>
  <c r="Z263" i="18"/>
  <c r="X263" i="18"/>
  <c r="T263" i="18"/>
  <c r="P263" i="18"/>
  <c r="L263" i="18"/>
  <c r="N263" i="18" s="1"/>
  <c r="H263" i="18"/>
  <c r="D263" i="18"/>
  <c r="B263" i="18"/>
  <c r="Z262" i="18"/>
  <c r="X262" i="18"/>
  <c r="L262" i="18"/>
  <c r="N262" i="18" s="1"/>
  <c r="B262" i="18"/>
  <c r="Z261" i="18"/>
  <c r="X261" i="18"/>
  <c r="N261" i="18"/>
  <c r="L261" i="18"/>
  <c r="B261" i="18"/>
  <c r="T260" i="18"/>
  <c r="P260" i="18"/>
  <c r="X260" i="18" s="1"/>
  <c r="H260" i="18"/>
  <c r="D260" i="18"/>
  <c r="L260" i="18" s="1"/>
  <c r="B260" i="18"/>
  <c r="Z259" i="18"/>
  <c r="X259" i="18"/>
  <c r="N259" i="18"/>
  <c r="L259" i="18"/>
  <c r="B259" i="18"/>
  <c r="X258" i="18"/>
  <c r="Z258" i="18" s="1"/>
  <c r="L258" i="18"/>
  <c r="N258" i="18" s="1"/>
  <c r="B258" i="18"/>
  <c r="Z257" i="18"/>
  <c r="X257" i="18"/>
  <c r="L257" i="18"/>
  <c r="N257" i="18" s="1"/>
  <c r="B257" i="18"/>
  <c r="X256" i="18"/>
  <c r="Z256" i="18" s="1"/>
  <c r="L256" i="18"/>
  <c r="N256" i="18" s="1"/>
  <c r="B256" i="18"/>
  <c r="Z255" i="18"/>
  <c r="X255" i="18"/>
  <c r="N255" i="18"/>
  <c r="L255" i="18"/>
  <c r="B255" i="18"/>
  <c r="X254" i="18"/>
  <c r="Z254" i="18" s="1"/>
  <c r="L254" i="18"/>
  <c r="N254" i="18" s="1"/>
  <c r="B254" i="18"/>
  <c r="Z253" i="18"/>
  <c r="X253" i="18"/>
  <c r="L253" i="18"/>
  <c r="N253" i="18" s="1"/>
  <c r="B253" i="18"/>
  <c r="T252" i="18"/>
  <c r="Z252" i="18" s="1"/>
  <c r="P252" i="18"/>
  <c r="X252" i="18" s="1"/>
  <c r="H252" i="18"/>
  <c r="D252" i="18"/>
  <c r="L252" i="18" s="1"/>
  <c r="B252" i="18"/>
  <c r="Z251" i="18"/>
  <c r="X251" i="18"/>
  <c r="N251" i="18"/>
  <c r="L251" i="18"/>
  <c r="B251" i="18"/>
  <c r="X250" i="18"/>
  <c r="Z250" i="18" s="1"/>
  <c r="N250" i="18"/>
  <c r="L250" i="18"/>
  <c r="B250" i="18"/>
  <c r="X249" i="18"/>
  <c r="Z249" i="18" s="1"/>
  <c r="T249" i="18"/>
  <c r="P249" i="18"/>
  <c r="N249" i="18"/>
  <c r="L249" i="18"/>
  <c r="H249" i="18"/>
  <c r="D249" i="18"/>
  <c r="B249" i="18"/>
  <c r="Z248" i="18"/>
  <c r="X248" i="18"/>
  <c r="L248" i="18"/>
  <c r="N248" i="18" s="1"/>
  <c r="B248" i="18"/>
  <c r="Z247" i="18"/>
  <c r="X247" i="18"/>
  <c r="N247" i="18"/>
  <c r="L247" i="18"/>
  <c r="J247" i="18"/>
  <c r="B247" i="18"/>
  <c r="Z246" i="18"/>
  <c r="X246" i="18"/>
  <c r="L246" i="18"/>
  <c r="N246" i="18" s="1"/>
  <c r="B246" i="18"/>
  <c r="Z245" i="18"/>
  <c r="X245" i="18"/>
  <c r="N245" i="18"/>
  <c r="L245" i="18"/>
  <c r="B245" i="18"/>
  <c r="T244" i="18"/>
  <c r="P244" i="18"/>
  <c r="X244" i="18" s="1"/>
  <c r="H244" i="18"/>
  <c r="N244" i="18" s="1"/>
  <c r="D244" i="18"/>
  <c r="L244" i="18" s="1"/>
  <c r="B244" i="18"/>
  <c r="Z243" i="18"/>
  <c r="X243" i="18"/>
  <c r="N243" i="18"/>
  <c r="L243" i="18"/>
  <c r="B243" i="18"/>
  <c r="X242" i="18"/>
  <c r="Z242" i="18" s="1"/>
  <c r="L242" i="18"/>
  <c r="N242" i="18" s="1"/>
  <c r="B242" i="18"/>
  <c r="Z241" i="18"/>
  <c r="X241" i="18"/>
  <c r="N241" i="18"/>
  <c r="L241" i="18"/>
  <c r="B241" i="18"/>
  <c r="T240" i="18"/>
  <c r="P240" i="18"/>
  <c r="X240" i="18" s="1"/>
  <c r="H240" i="18"/>
  <c r="D240" i="18"/>
  <c r="L240" i="18" s="1"/>
  <c r="B240" i="18"/>
  <c r="Z239" i="18"/>
  <c r="X239" i="18"/>
  <c r="N239" i="18"/>
  <c r="L239" i="18"/>
  <c r="B239" i="18"/>
  <c r="X238" i="18"/>
  <c r="Z238" i="18" s="1"/>
  <c r="N238" i="18"/>
  <c r="L238" i="18"/>
  <c r="B238" i="18"/>
  <c r="X237" i="18"/>
  <c r="Z237" i="18" s="1"/>
  <c r="N237" i="18"/>
  <c r="L237" i="18"/>
  <c r="B237" i="18"/>
  <c r="X236" i="18"/>
  <c r="T236" i="18"/>
  <c r="Z236" i="18" s="1"/>
  <c r="P236" i="18"/>
  <c r="L236" i="18"/>
  <c r="H236" i="18"/>
  <c r="D236" i="18"/>
  <c r="B236" i="18"/>
  <c r="Z235" i="18"/>
  <c r="X235" i="18"/>
  <c r="N235" i="18"/>
  <c r="L235" i="18"/>
  <c r="J235" i="18"/>
  <c r="B235" i="18"/>
  <c r="T234" i="18"/>
  <c r="Z234" i="18" s="1"/>
  <c r="P234" i="18"/>
  <c r="X234" i="18" s="1"/>
  <c r="H234" i="18"/>
  <c r="D234" i="18"/>
  <c r="B234" i="18"/>
  <c r="Z233" i="18"/>
  <c r="X233" i="18"/>
  <c r="N233" i="18"/>
  <c r="L233" i="18"/>
  <c r="B233" i="18"/>
  <c r="T232" i="18"/>
  <c r="Z232" i="18" s="1"/>
  <c r="P232" i="18"/>
  <c r="X232" i="18" s="1"/>
  <c r="H232" i="18"/>
  <c r="N232" i="18" s="1"/>
  <c r="D232" i="18"/>
  <c r="L232" i="18" s="1"/>
  <c r="B232" i="18"/>
  <c r="Z231" i="18"/>
  <c r="X231" i="18"/>
  <c r="N231" i="18"/>
  <c r="L231" i="18"/>
  <c r="B231" i="18"/>
  <c r="X230" i="18"/>
  <c r="T230" i="18"/>
  <c r="P230" i="18"/>
  <c r="L230" i="18"/>
  <c r="H230" i="18"/>
  <c r="N230" i="18" s="1"/>
  <c r="D230" i="18"/>
  <c r="B230" i="18"/>
  <c r="Z229" i="18"/>
  <c r="X229" i="18"/>
  <c r="N229" i="18"/>
  <c r="L229" i="18"/>
  <c r="B229" i="18"/>
  <c r="T228" i="18"/>
  <c r="P228" i="18"/>
  <c r="H228" i="18"/>
  <c r="N228" i="18" s="1"/>
  <c r="D228" i="18"/>
  <c r="L228" i="18" s="1"/>
  <c r="B228" i="18"/>
  <c r="Z227" i="18"/>
  <c r="X227" i="18"/>
  <c r="N227" i="18"/>
  <c r="L227" i="18"/>
  <c r="B227" i="18"/>
  <c r="T226" i="18"/>
  <c r="P226" i="18"/>
  <c r="X226" i="18" s="1"/>
  <c r="H226" i="18"/>
  <c r="D226" i="18"/>
  <c r="L226" i="18" s="1"/>
  <c r="B226" i="18"/>
  <c r="X225" i="18"/>
  <c r="Z225" i="18" s="1"/>
  <c r="N225" i="18"/>
  <c r="L225" i="18"/>
  <c r="B225" i="18"/>
  <c r="X224" i="18"/>
  <c r="Z224" i="18" s="1"/>
  <c r="N224" i="18"/>
  <c r="L224" i="18"/>
  <c r="B224" i="18"/>
  <c r="Z223" i="18"/>
  <c r="X223" i="18"/>
  <c r="T223" i="18"/>
  <c r="P223" i="18"/>
  <c r="L223" i="18"/>
  <c r="N223" i="18" s="1"/>
  <c r="H223" i="18"/>
  <c r="F223" i="18"/>
  <c r="D223" i="18"/>
  <c r="B223" i="18"/>
  <c r="X222" i="18"/>
  <c r="Z222" i="18" s="1"/>
  <c r="L222" i="18"/>
  <c r="N222" i="18" s="1"/>
  <c r="B222" i="18"/>
  <c r="T221" i="18"/>
  <c r="X221" i="18" s="1"/>
  <c r="Z221" i="18" s="1"/>
  <c r="P221" i="18"/>
  <c r="H221" i="18"/>
  <c r="L221" i="18" s="1"/>
  <c r="N221" i="18" s="1"/>
  <c r="D221" i="18"/>
  <c r="B221" i="18"/>
  <c r="X220" i="18"/>
  <c r="Z220" i="18" s="1"/>
  <c r="L220" i="18"/>
  <c r="N220" i="18" s="1"/>
  <c r="B220" i="18"/>
  <c r="T219" i="18"/>
  <c r="P219" i="18"/>
  <c r="X219" i="18" s="1"/>
  <c r="Z219" i="18" s="1"/>
  <c r="H219" i="18"/>
  <c r="D219" i="18"/>
  <c r="L219" i="18" s="1"/>
  <c r="N219" i="18" s="1"/>
  <c r="B219" i="18"/>
  <c r="X218" i="18"/>
  <c r="Z218" i="18" s="1"/>
  <c r="L218" i="18"/>
  <c r="N218" i="18" s="1"/>
  <c r="B218" i="18"/>
  <c r="X217" i="18"/>
  <c r="Z217" i="18" s="1"/>
  <c r="T217" i="18"/>
  <c r="P217" i="18"/>
  <c r="N217" i="18"/>
  <c r="L217" i="18"/>
  <c r="H217" i="18"/>
  <c r="D217" i="18"/>
  <c r="B217" i="18"/>
  <c r="Z216" i="18"/>
  <c r="X216" i="18"/>
  <c r="R216" i="18"/>
  <c r="L216" i="18"/>
  <c r="N216" i="18" s="1"/>
  <c r="B216" i="18"/>
  <c r="Z215" i="18"/>
  <c r="X215" i="18"/>
  <c r="N215" i="18"/>
  <c r="L215" i="18"/>
  <c r="J215" i="18"/>
  <c r="B215" i="18"/>
  <c r="T214" i="18"/>
  <c r="P214" i="18"/>
  <c r="X214" i="18" s="1"/>
  <c r="H214" i="18"/>
  <c r="D214" i="18"/>
  <c r="L214" i="18" s="1"/>
  <c r="B214" i="18"/>
  <c r="Z213" i="18"/>
  <c r="X213" i="18"/>
  <c r="L213" i="18"/>
  <c r="N213" i="18" s="1"/>
  <c r="B213" i="18"/>
  <c r="X212" i="18"/>
  <c r="Z212" i="18" s="1"/>
  <c r="L212" i="18"/>
  <c r="N212" i="18" s="1"/>
  <c r="B212" i="18"/>
  <c r="T211" i="18"/>
  <c r="P211" i="18"/>
  <c r="X211" i="18" s="1"/>
  <c r="Z211" i="18" s="1"/>
  <c r="H211" i="18"/>
  <c r="D211" i="18"/>
  <c r="L211" i="18" s="1"/>
  <c r="N211" i="18" s="1"/>
  <c r="B211" i="18"/>
  <c r="X210" i="18"/>
  <c r="Z210" i="18" s="1"/>
  <c r="N210" i="18"/>
  <c r="L210" i="18"/>
  <c r="B210" i="18"/>
  <c r="X209" i="18"/>
  <c r="Z209" i="18" s="1"/>
  <c r="T209" i="18"/>
  <c r="P209" i="18"/>
  <c r="N209" i="18"/>
  <c r="L209" i="18"/>
  <c r="H209" i="18"/>
  <c r="D209" i="18"/>
  <c r="B209" i="18"/>
  <c r="Z208" i="18"/>
  <c r="X208" i="18"/>
  <c r="N208" i="18"/>
  <c r="L208" i="18"/>
  <c r="B208" i="18"/>
  <c r="Z207" i="18"/>
  <c r="X207" i="18"/>
  <c r="N207" i="18"/>
  <c r="L207" i="18"/>
  <c r="J207" i="18"/>
  <c r="B207" i="18"/>
  <c r="T206" i="18"/>
  <c r="Z206" i="18" s="1"/>
  <c r="P206" i="18"/>
  <c r="X206" i="18" s="1"/>
  <c r="H206" i="18"/>
  <c r="D206" i="18"/>
  <c r="B206" i="18"/>
  <c r="Z205" i="18"/>
  <c r="X205" i="18"/>
  <c r="L205" i="18"/>
  <c r="N205" i="18" s="1"/>
  <c r="B205" i="18"/>
  <c r="T204" i="18"/>
  <c r="Z204" i="18" s="1"/>
  <c r="P204" i="18"/>
  <c r="X204" i="18" s="1"/>
  <c r="H204" i="18"/>
  <c r="D204" i="18"/>
  <c r="L204" i="18" s="1"/>
  <c r="B204" i="18"/>
  <c r="Z203" i="18"/>
  <c r="X203" i="18"/>
  <c r="N203" i="18"/>
  <c r="L203" i="18"/>
  <c r="B203" i="18"/>
  <c r="X202" i="18"/>
  <c r="Z202" i="18" s="1"/>
  <c r="N202" i="18"/>
  <c r="L202" i="18"/>
  <c r="B202" i="18"/>
  <c r="X201" i="18"/>
  <c r="Z201" i="18" s="1"/>
  <c r="N201" i="18"/>
  <c r="L201" i="18"/>
  <c r="B201" i="18"/>
  <c r="X200" i="18"/>
  <c r="Z200" i="18" s="1"/>
  <c r="N200" i="18"/>
  <c r="L200" i="18"/>
  <c r="F200" i="18"/>
  <c r="B200" i="18"/>
  <c r="Z199" i="18"/>
  <c r="X199" i="18"/>
  <c r="N199" i="18"/>
  <c r="L199" i="18"/>
  <c r="B199" i="18"/>
  <c r="X198" i="18"/>
  <c r="Z198" i="18" s="1"/>
  <c r="N198" i="18"/>
  <c r="L198" i="18"/>
  <c r="B198" i="18"/>
  <c r="X197" i="18"/>
  <c r="Z197" i="18" s="1"/>
  <c r="N197" i="18"/>
  <c r="L197" i="18"/>
  <c r="B197" i="18"/>
  <c r="X196" i="18"/>
  <c r="T196" i="18"/>
  <c r="Z196" i="18" s="1"/>
  <c r="P196" i="18"/>
  <c r="L196" i="18"/>
  <c r="H196" i="18"/>
  <c r="D196" i="18"/>
  <c r="B196" i="18"/>
  <c r="Z195" i="18"/>
  <c r="X195" i="18"/>
  <c r="N195" i="18"/>
  <c r="L195" i="18"/>
  <c r="J195" i="18"/>
  <c r="B195" i="18"/>
  <c r="X194" i="18"/>
  <c r="Z194" i="18" s="1"/>
  <c r="L194" i="18"/>
  <c r="N194" i="18" s="1"/>
  <c r="B194" i="18"/>
  <c r="Z193" i="18"/>
  <c r="X193" i="18"/>
  <c r="N193" i="18"/>
  <c r="L193" i="18"/>
  <c r="J193" i="18"/>
  <c r="B193" i="18"/>
  <c r="Z192" i="18"/>
  <c r="X192" i="18"/>
  <c r="L192" i="18"/>
  <c r="N192" i="18" s="1"/>
  <c r="B192" i="18"/>
  <c r="Z191" i="18"/>
  <c r="X191" i="18"/>
  <c r="N191" i="18"/>
  <c r="L191" i="18"/>
  <c r="J191" i="18"/>
  <c r="B191" i="18"/>
  <c r="X190" i="18"/>
  <c r="Z190" i="18" s="1"/>
  <c r="L190" i="18"/>
  <c r="N190" i="18" s="1"/>
  <c r="B190" i="18"/>
  <c r="Z189" i="18"/>
  <c r="X189" i="18"/>
  <c r="N189" i="18"/>
  <c r="L189" i="18"/>
  <c r="J189" i="18"/>
  <c r="B189" i="18"/>
  <c r="Z188" i="18"/>
  <c r="X188" i="18"/>
  <c r="L188" i="18"/>
  <c r="N188" i="18" s="1"/>
  <c r="B188" i="18"/>
  <c r="Z187" i="18"/>
  <c r="X187" i="18"/>
  <c r="N187" i="18"/>
  <c r="L187" i="18"/>
  <c r="J187" i="18"/>
  <c r="B187" i="18"/>
  <c r="T186" i="18"/>
  <c r="Z186" i="18" s="1"/>
  <c r="P186" i="18"/>
  <c r="X186" i="18" s="1"/>
  <c r="H186" i="18"/>
  <c r="D186" i="18"/>
  <c r="B186" i="18"/>
  <c r="T185" i="18"/>
  <c r="P185" i="18"/>
  <c r="X185" i="18" s="1"/>
  <c r="J185" i="18"/>
  <c r="H185" i="18"/>
  <c r="N185" i="18" s="1"/>
  <c r="D185" i="18"/>
  <c r="L185" i="18" s="1"/>
  <c r="Z181" i="18"/>
  <c r="X181" i="18"/>
  <c r="N181" i="18"/>
  <c r="L181" i="18"/>
  <c r="B181" i="18"/>
  <c r="Z180" i="18"/>
  <c r="X180" i="18"/>
  <c r="L180" i="18"/>
  <c r="N180" i="18" s="1"/>
  <c r="B180" i="18"/>
  <c r="Z179" i="18"/>
  <c r="X179" i="18"/>
  <c r="N179" i="18"/>
  <c r="L179" i="18"/>
  <c r="B179" i="18"/>
  <c r="Z178" i="18"/>
  <c r="X178" i="18"/>
  <c r="N178" i="18"/>
  <c r="L178" i="18"/>
  <c r="B178" i="18"/>
  <c r="Z177" i="18"/>
  <c r="X177" i="18"/>
  <c r="N177" i="18"/>
  <c r="L177" i="18"/>
  <c r="B177" i="18"/>
  <c r="Z176" i="18"/>
  <c r="X176" i="18"/>
  <c r="L176" i="18"/>
  <c r="N176" i="18" s="1"/>
  <c r="B176" i="18"/>
  <c r="Z175" i="18"/>
  <c r="X175" i="18"/>
  <c r="L175" i="18"/>
  <c r="N175" i="18" s="1"/>
  <c r="B175" i="18"/>
  <c r="Z174" i="18"/>
  <c r="X174" i="18"/>
  <c r="L174" i="18"/>
  <c r="N174" i="18" s="1"/>
  <c r="B174" i="18"/>
  <c r="Z173" i="18"/>
  <c r="X173" i="18"/>
  <c r="L173" i="18"/>
  <c r="N173" i="18" s="1"/>
  <c r="B173" i="18"/>
  <c r="Z172" i="18"/>
  <c r="X172" i="18"/>
  <c r="L172" i="18"/>
  <c r="N172" i="18" s="1"/>
  <c r="B172" i="18"/>
  <c r="Z171" i="18"/>
  <c r="X171" i="18"/>
  <c r="L171" i="18"/>
  <c r="N171" i="18" s="1"/>
  <c r="B171" i="18"/>
  <c r="Z170" i="18"/>
  <c r="X170" i="18"/>
  <c r="L170" i="18"/>
  <c r="N170" i="18" s="1"/>
  <c r="B170" i="18"/>
  <c r="Z169" i="18"/>
  <c r="X169" i="18"/>
  <c r="L169" i="18"/>
  <c r="N169" i="18" s="1"/>
  <c r="B169" i="18"/>
  <c r="Z168" i="18"/>
  <c r="X168" i="18"/>
  <c r="L168" i="18"/>
  <c r="N168" i="18" s="1"/>
  <c r="B168" i="18"/>
  <c r="Z167" i="18"/>
  <c r="X167" i="18"/>
  <c r="N167" i="18"/>
  <c r="L167" i="18"/>
  <c r="B167" i="18"/>
  <c r="Z166" i="18"/>
  <c r="X166" i="18"/>
  <c r="N166" i="18"/>
  <c r="L166" i="18"/>
  <c r="B166" i="18"/>
  <c r="Z165" i="18"/>
  <c r="X165" i="18"/>
  <c r="N165" i="18"/>
  <c r="L165" i="18"/>
  <c r="B165" i="18"/>
  <c r="Z164" i="18"/>
  <c r="X164" i="18"/>
  <c r="N164" i="18"/>
  <c r="L164" i="18"/>
  <c r="B164" i="18"/>
  <c r="Z163" i="18"/>
  <c r="X163" i="18"/>
  <c r="L163" i="18"/>
  <c r="N163" i="18" s="1"/>
  <c r="B163" i="18"/>
  <c r="Z162" i="18"/>
  <c r="X162" i="18"/>
  <c r="L162" i="18"/>
  <c r="N162" i="18" s="1"/>
  <c r="B162" i="18"/>
  <c r="Z161" i="18"/>
  <c r="X161" i="18"/>
  <c r="L161" i="18"/>
  <c r="N161" i="18" s="1"/>
  <c r="B161" i="18"/>
  <c r="Z160" i="18"/>
  <c r="X160" i="18"/>
  <c r="L160" i="18"/>
  <c r="N160" i="18" s="1"/>
  <c r="B160" i="18"/>
  <c r="Z159" i="18"/>
  <c r="X159" i="18"/>
  <c r="L159" i="18"/>
  <c r="N159" i="18" s="1"/>
  <c r="B159" i="18"/>
  <c r="Z158" i="18"/>
  <c r="X158" i="18"/>
  <c r="N158" i="18"/>
  <c r="L158" i="18"/>
  <c r="B158" i="18"/>
  <c r="Z157" i="18"/>
  <c r="X157" i="18"/>
  <c r="N157" i="18"/>
  <c r="L157" i="18"/>
  <c r="B157" i="18"/>
  <c r="Z156" i="18"/>
  <c r="X156" i="18"/>
  <c r="N156" i="18"/>
  <c r="L156" i="18"/>
  <c r="B156" i="18"/>
  <c r="Z155" i="18"/>
  <c r="X155" i="18"/>
  <c r="L155" i="18"/>
  <c r="N155" i="18" s="1"/>
  <c r="B155" i="18"/>
  <c r="Z154" i="18"/>
  <c r="X154" i="18"/>
  <c r="N154" i="18"/>
  <c r="L154" i="18"/>
  <c r="B154" i="18"/>
  <c r="Z153" i="18"/>
  <c r="X153" i="18"/>
  <c r="L153" i="18"/>
  <c r="N153" i="18" s="1"/>
  <c r="B153" i="18"/>
  <c r="Z152" i="18"/>
  <c r="X152" i="18"/>
  <c r="L152" i="18"/>
  <c r="N152" i="18" s="1"/>
  <c r="B152" i="18"/>
  <c r="Z151" i="18"/>
  <c r="X151" i="18"/>
  <c r="L151" i="18"/>
  <c r="N151" i="18" s="1"/>
  <c r="B151" i="18"/>
  <c r="Z150" i="18"/>
  <c r="X150" i="18"/>
  <c r="L150" i="18"/>
  <c r="N150" i="18" s="1"/>
  <c r="B150" i="18"/>
  <c r="Z149" i="18"/>
  <c r="X149" i="18"/>
  <c r="L149" i="18"/>
  <c r="N149" i="18" s="1"/>
  <c r="B149" i="18"/>
  <c r="Z148" i="18"/>
  <c r="X148" i="18"/>
  <c r="L148" i="18"/>
  <c r="N148" i="18" s="1"/>
  <c r="B148" i="18"/>
  <c r="Z147" i="18"/>
  <c r="X147" i="18"/>
  <c r="L147" i="18"/>
  <c r="N147" i="18" s="1"/>
  <c r="B147" i="18"/>
  <c r="Z146" i="18"/>
  <c r="X146" i="18"/>
  <c r="L146" i="18"/>
  <c r="N146" i="18" s="1"/>
  <c r="B146" i="18"/>
  <c r="Z145" i="18"/>
  <c r="X145" i="18"/>
  <c r="L145" i="18"/>
  <c r="N145" i="18" s="1"/>
  <c r="B145" i="18"/>
  <c r="Z144" i="18"/>
  <c r="X144" i="18"/>
  <c r="L144" i="18"/>
  <c r="N144" i="18" s="1"/>
  <c r="B144" i="18"/>
  <c r="Z143" i="18"/>
  <c r="X143" i="18"/>
  <c r="L143" i="18"/>
  <c r="N143" i="18" s="1"/>
  <c r="B143" i="18"/>
  <c r="Z142" i="18"/>
  <c r="X142" i="18"/>
  <c r="L142" i="18"/>
  <c r="N142" i="18" s="1"/>
  <c r="B142" i="18"/>
  <c r="Z141" i="18"/>
  <c r="X141" i="18"/>
  <c r="L141" i="18"/>
  <c r="N141" i="18" s="1"/>
  <c r="B141" i="18"/>
  <c r="Z140" i="18"/>
  <c r="X140" i="18"/>
  <c r="L140" i="18"/>
  <c r="N140" i="18" s="1"/>
  <c r="B140" i="18"/>
  <c r="Z139" i="18"/>
  <c r="X139" i="18"/>
  <c r="L139" i="18"/>
  <c r="N139" i="18" s="1"/>
  <c r="B139" i="18"/>
  <c r="Z138" i="18"/>
  <c r="X138" i="18"/>
  <c r="L138" i="18"/>
  <c r="N138" i="18" s="1"/>
  <c r="B138" i="18"/>
  <c r="Z137" i="18"/>
  <c r="X137" i="18"/>
  <c r="L137" i="18"/>
  <c r="N137" i="18" s="1"/>
  <c r="B137" i="18"/>
  <c r="Z136" i="18"/>
  <c r="X136" i="18"/>
  <c r="L136" i="18"/>
  <c r="N136" i="18" s="1"/>
  <c r="B136" i="18"/>
  <c r="Z135" i="18"/>
  <c r="X135" i="18"/>
  <c r="L135" i="18"/>
  <c r="N135" i="18" s="1"/>
  <c r="B135" i="18"/>
  <c r="Z134" i="18"/>
  <c r="X134" i="18"/>
  <c r="L134" i="18"/>
  <c r="N134" i="18" s="1"/>
  <c r="B134" i="18"/>
  <c r="Z133" i="18"/>
  <c r="X133" i="18"/>
  <c r="N133" i="18"/>
  <c r="L133" i="18"/>
  <c r="B133" i="18"/>
  <c r="Z132" i="18"/>
  <c r="X132" i="18"/>
  <c r="N132" i="18"/>
  <c r="L132" i="18"/>
  <c r="B132" i="18"/>
  <c r="Z131" i="18"/>
  <c r="X131" i="18"/>
  <c r="L131" i="18"/>
  <c r="N131" i="18" s="1"/>
  <c r="B131" i="18"/>
  <c r="Z130" i="18"/>
  <c r="X130" i="18"/>
  <c r="L130" i="18"/>
  <c r="N130" i="18" s="1"/>
  <c r="B130" i="18"/>
  <c r="Z129" i="18"/>
  <c r="X129" i="18"/>
  <c r="L129" i="18"/>
  <c r="N129" i="18" s="1"/>
  <c r="B129" i="18"/>
  <c r="Z128" i="18"/>
  <c r="X128" i="18"/>
  <c r="L128" i="18"/>
  <c r="N128" i="18" s="1"/>
  <c r="B128" i="18"/>
  <c r="Z127" i="18"/>
  <c r="X127" i="18"/>
  <c r="L127" i="18"/>
  <c r="N127" i="18" s="1"/>
  <c r="B127" i="18"/>
  <c r="X126" i="18"/>
  <c r="Z126" i="18" s="1"/>
  <c r="L126" i="18"/>
  <c r="N126" i="18" s="1"/>
  <c r="B126" i="18"/>
  <c r="Z125" i="18"/>
  <c r="X125" i="18"/>
  <c r="L125" i="18"/>
  <c r="N125" i="18" s="1"/>
  <c r="B125" i="18"/>
  <c r="T124" i="18"/>
  <c r="P124" i="18"/>
  <c r="X124" i="18" s="1"/>
  <c r="Z124" i="18" s="1"/>
  <c r="J124" i="18"/>
  <c r="H124" i="18"/>
  <c r="D124" i="18"/>
  <c r="L124" i="18" s="1"/>
  <c r="N124" i="18" s="1"/>
  <c r="T122" i="18"/>
  <c r="Z122" i="18" s="1"/>
  <c r="P122" i="18"/>
  <c r="L122" i="18"/>
  <c r="H122" i="18"/>
  <c r="N122" i="18" s="1"/>
  <c r="D122" i="18"/>
  <c r="B122" i="18"/>
  <c r="T121" i="18"/>
  <c r="P121" i="18"/>
  <c r="N121" i="18"/>
  <c r="L121" i="18"/>
  <c r="H121" i="18"/>
  <c r="D121" i="18"/>
  <c r="B121" i="18"/>
  <c r="T120" i="18"/>
  <c r="Z120" i="18" s="1"/>
  <c r="P120" i="18"/>
  <c r="L120" i="18"/>
  <c r="H120" i="18"/>
  <c r="N120" i="18" s="1"/>
  <c r="D120" i="18"/>
  <c r="B120" i="18"/>
  <c r="T119" i="18"/>
  <c r="Z119" i="18" s="1"/>
  <c r="P119" i="18"/>
  <c r="X119" i="18" s="1"/>
  <c r="N119" i="18"/>
  <c r="L119" i="18"/>
  <c r="H119" i="18"/>
  <c r="D119" i="18"/>
  <c r="B119" i="18"/>
  <c r="T118" i="18"/>
  <c r="Z118" i="18" s="1"/>
  <c r="P118" i="18"/>
  <c r="L118" i="18"/>
  <c r="H118" i="18"/>
  <c r="N118" i="18" s="1"/>
  <c r="D118" i="18"/>
  <c r="B118" i="18"/>
  <c r="T117" i="18"/>
  <c r="P117" i="18"/>
  <c r="X117" i="18" s="1"/>
  <c r="N117" i="18"/>
  <c r="L117" i="18"/>
  <c r="H117" i="18"/>
  <c r="D117" i="18"/>
  <c r="B117" i="18"/>
  <c r="T116" i="18"/>
  <c r="P116" i="18"/>
  <c r="L116" i="18"/>
  <c r="H116" i="18"/>
  <c r="D116" i="18"/>
  <c r="B116" i="18"/>
  <c r="T115" i="18"/>
  <c r="Z115" i="18" s="1"/>
  <c r="P115" i="18"/>
  <c r="X115" i="18" s="1"/>
  <c r="N115" i="18"/>
  <c r="L115" i="18"/>
  <c r="H115" i="18"/>
  <c r="D115" i="18"/>
  <c r="B115" i="18"/>
  <c r="T114" i="18"/>
  <c r="P114" i="18"/>
  <c r="L114" i="18"/>
  <c r="H114" i="18"/>
  <c r="N114" i="18" s="1"/>
  <c r="D114" i="18"/>
  <c r="B114" i="18"/>
  <c r="T113" i="18"/>
  <c r="P113" i="18"/>
  <c r="X113" i="18" s="1"/>
  <c r="N113" i="18"/>
  <c r="L113" i="18"/>
  <c r="H113" i="18"/>
  <c r="D113" i="18"/>
  <c r="B113" i="18"/>
  <c r="T112" i="18"/>
  <c r="P112" i="18"/>
  <c r="L112" i="18"/>
  <c r="H112" i="18"/>
  <c r="N112" i="18" s="1"/>
  <c r="D112" i="18"/>
  <c r="B112" i="18"/>
  <c r="T111" i="18"/>
  <c r="Z111" i="18" s="1"/>
  <c r="P111" i="18"/>
  <c r="X111" i="18" s="1"/>
  <c r="N111" i="18"/>
  <c r="L111" i="18"/>
  <c r="H111" i="18"/>
  <c r="D111" i="18"/>
  <c r="B111" i="18"/>
  <c r="T110" i="18"/>
  <c r="P110" i="18"/>
  <c r="L110" i="18"/>
  <c r="H110" i="18"/>
  <c r="N110" i="18" s="1"/>
  <c r="D110" i="18"/>
  <c r="B110" i="18"/>
  <c r="T109" i="18"/>
  <c r="P109" i="18"/>
  <c r="L109" i="18"/>
  <c r="N109" i="18" s="1"/>
  <c r="H109" i="18"/>
  <c r="D109" i="18"/>
  <c r="B109" i="18"/>
  <c r="T108" i="18"/>
  <c r="P108" i="18"/>
  <c r="L108" i="18"/>
  <c r="H108" i="18"/>
  <c r="N108" i="18" s="1"/>
  <c r="D108" i="18"/>
  <c r="B108" i="18"/>
  <c r="T107" i="18"/>
  <c r="Z107" i="18" s="1"/>
  <c r="P107" i="18"/>
  <c r="X107" i="18" s="1"/>
  <c r="L107" i="18"/>
  <c r="N107" i="18" s="1"/>
  <c r="H107" i="18"/>
  <c r="D107" i="18"/>
  <c r="B107" i="18"/>
  <c r="T106" i="18"/>
  <c r="Z106" i="18" s="1"/>
  <c r="P106" i="18"/>
  <c r="L106" i="18"/>
  <c r="H106" i="18"/>
  <c r="N106" i="18" s="1"/>
  <c r="D106" i="18"/>
  <c r="B106" i="18"/>
  <c r="T105" i="18"/>
  <c r="P105" i="18"/>
  <c r="L105" i="18"/>
  <c r="N105" i="18" s="1"/>
  <c r="H105" i="18"/>
  <c r="D105" i="18"/>
  <c r="B105" i="18"/>
  <c r="T104" i="18"/>
  <c r="Z104" i="18" s="1"/>
  <c r="P104" i="18"/>
  <c r="L104" i="18"/>
  <c r="H104" i="18"/>
  <c r="N104" i="18" s="1"/>
  <c r="D104" i="18"/>
  <c r="B104" i="18"/>
  <c r="T103" i="18"/>
  <c r="Z103" i="18" s="1"/>
  <c r="P103" i="18"/>
  <c r="X103" i="18" s="1"/>
  <c r="N103" i="18"/>
  <c r="L103" i="18"/>
  <c r="H103" i="18"/>
  <c r="D103" i="18"/>
  <c r="B103" i="18"/>
  <c r="T102" i="18"/>
  <c r="P102" i="18"/>
  <c r="L102" i="18"/>
  <c r="H102" i="18"/>
  <c r="N102" i="18" s="1"/>
  <c r="D102" i="18"/>
  <c r="B102" i="18"/>
  <c r="T101" i="18"/>
  <c r="P101" i="18"/>
  <c r="L101" i="18"/>
  <c r="N101" i="18" s="1"/>
  <c r="H101" i="18"/>
  <c r="D101" i="18"/>
  <c r="B101" i="18"/>
  <c r="T100" i="18"/>
  <c r="P100" i="18"/>
  <c r="L100" i="18"/>
  <c r="H100" i="18"/>
  <c r="D100" i="18"/>
  <c r="B100" i="18"/>
  <c r="T99" i="18"/>
  <c r="Z99" i="18" s="1"/>
  <c r="P99" i="18"/>
  <c r="X99" i="18" s="1"/>
  <c r="L99" i="18"/>
  <c r="N99" i="18" s="1"/>
  <c r="H99" i="18"/>
  <c r="D99" i="18"/>
  <c r="B99" i="18"/>
  <c r="T98" i="18"/>
  <c r="P98" i="18"/>
  <c r="L98" i="18"/>
  <c r="H98" i="18"/>
  <c r="N98" i="18" s="1"/>
  <c r="D98" i="18"/>
  <c r="B98" i="18"/>
  <c r="T97" i="18"/>
  <c r="P97" i="18"/>
  <c r="L97" i="18"/>
  <c r="N97" i="18" s="1"/>
  <c r="H97" i="18"/>
  <c r="D97" i="18"/>
  <c r="B97" i="18"/>
  <c r="T96" i="18"/>
  <c r="P96" i="18"/>
  <c r="L96" i="18"/>
  <c r="H96" i="18"/>
  <c r="D96" i="18"/>
  <c r="B96" i="18"/>
  <c r="T95" i="18"/>
  <c r="Z95" i="18" s="1"/>
  <c r="P95" i="18"/>
  <c r="X95" i="18" s="1"/>
  <c r="L95" i="18"/>
  <c r="N95" i="18" s="1"/>
  <c r="H95" i="18"/>
  <c r="D95" i="18"/>
  <c r="B95" i="18"/>
  <c r="T94" i="18"/>
  <c r="P94" i="18"/>
  <c r="L94" i="18"/>
  <c r="H94" i="18"/>
  <c r="N94" i="18" s="1"/>
  <c r="D94" i="18"/>
  <c r="B94" i="18"/>
  <c r="T93" i="18"/>
  <c r="P93" i="18"/>
  <c r="N93" i="18"/>
  <c r="L93" i="18"/>
  <c r="H93" i="18"/>
  <c r="D93" i="18"/>
  <c r="B93" i="18"/>
  <c r="T92" i="18"/>
  <c r="P92" i="18"/>
  <c r="L92" i="18"/>
  <c r="H92" i="18"/>
  <c r="N92" i="18" s="1"/>
  <c r="D92" i="18"/>
  <c r="B92" i="18"/>
  <c r="T91" i="18"/>
  <c r="P91" i="18"/>
  <c r="X91" i="18" s="1"/>
  <c r="L91" i="18"/>
  <c r="N91" i="18" s="1"/>
  <c r="H91" i="18"/>
  <c r="D91" i="18"/>
  <c r="B91" i="18"/>
  <c r="T90" i="18"/>
  <c r="P90" i="18"/>
  <c r="L90" i="18"/>
  <c r="H90" i="18"/>
  <c r="N90" i="18" s="1"/>
  <c r="D90" i="18"/>
  <c r="B90" i="18"/>
  <c r="T89" i="18"/>
  <c r="P89" i="18"/>
  <c r="X89" i="18" s="1"/>
  <c r="L89" i="18"/>
  <c r="N89" i="18" s="1"/>
  <c r="H89" i="18"/>
  <c r="D89" i="18"/>
  <c r="B89" i="18"/>
  <c r="T88" i="18"/>
  <c r="P88" i="18"/>
  <c r="L88" i="18"/>
  <c r="H88" i="18"/>
  <c r="N88" i="18" s="1"/>
  <c r="D88" i="18"/>
  <c r="B88" i="18"/>
  <c r="T87" i="18"/>
  <c r="P87" i="18"/>
  <c r="X87" i="18" s="1"/>
  <c r="N87" i="18"/>
  <c r="L87" i="18"/>
  <c r="H87" i="18"/>
  <c r="D87" i="18"/>
  <c r="B87" i="18"/>
  <c r="T86" i="18"/>
  <c r="P86" i="18"/>
  <c r="L86" i="18"/>
  <c r="H86" i="18"/>
  <c r="N86" i="18" s="1"/>
  <c r="D86" i="18"/>
  <c r="B86" i="18"/>
  <c r="T85" i="18"/>
  <c r="P85" i="18"/>
  <c r="L85" i="18"/>
  <c r="N85" i="18" s="1"/>
  <c r="H85" i="18"/>
  <c r="D85" i="18"/>
  <c r="B85" i="18"/>
  <c r="T84" i="18"/>
  <c r="P84" i="18"/>
  <c r="L84" i="18"/>
  <c r="H84" i="18"/>
  <c r="D84" i="18"/>
  <c r="B84" i="18"/>
  <c r="T83" i="18"/>
  <c r="Z83" i="18" s="1"/>
  <c r="P83" i="18"/>
  <c r="X83" i="18" s="1"/>
  <c r="L83" i="18"/>
  <c r="N83" i="18" s="1"/>
  <c r="H83" i="18"/>
  <c r="D83" i="18"/>
  <c r="B83" i="18"/>
  <c r="T82" i="18"/>
  <c r="P82" i="18"/>
  <c r="L82" i="18"/>
  <c r="H82" i="18"/>
  <c r="N82" i="18" s="1"/>
  <c r="D82" i="18"/>
  <c r="B82" i="18"/>
  <c r="T81" i="18"/>
  <c r="P81" i="18"/>
  <c r="L81" i="18"/>
  <c r="N81" i="18" s="1"/>
  <c r="H81" i="18"/>
  <c r="D81" i="18"/>
  <c r="B81" i="18"/>
  <c r="T80" i="18"/>
  <c r="P80" i="18"/>
  <c r="L80" i="18"/>
  <c r="H80" i="18"/>
  <c r="N80" i="18" s="1"/>
  <c r="D80" i="18"/>
  <c r="B80" i="18"/>
  <c r="T79" i="18"/>
  <c r="Z79" i="18" s="1"/>
  <c r="P79" i="18"/>
  <c r="X79" i="18" s="1"/>
  <c r="L79" i="18"/>
  <c r="N79" i="18" s="1"/>
  <c r="H79" i="18"/>
  <c r="D79" i="18"/>
  <c r="B79" i="18"/>
  <c r="T78" i="18"/>
  <c r="P78" i="18"/>
  <c r="L78" i="18"/>
  <c r="H78" i="18"/>
  <c r="N78" i="18" s="1"/>
  <c r="D78" i="18"/>
  <c r="B78" i="18"/>
  <c r="T77" i="18"/>
  <c r="P77" i="18"/>
  <c r="L77" i="18"/>
  <c r="N77" i="18" s="1"/>
  <c r="H77" i="18"/>
  <c r="D77" i="18"/>
  <c r="B77" i="18"/>
  <c r="T76" i="18"/>
  <c r="P76" i="18"/>
  <c r="L76" i="18"/>
  <c r="H76" i="18"/>
  <c r="D76" i="18"/>
  <c r="B76" i="18"/>
  <c r="T75" i="18"/>
  <c r="P75" i="18"/>
  <c r="L75" i="18"/>
  <c r="N75" i="18" s="1"/>
  <c r="H75" i="18"/>
  <c r="D75" i="18"/>
  <c r="B75" i="18"/>
  <c r="T74" i="18"/>
  <c r="P74" i="18"/>
  <c r="L74" i="18"/>
  <c r="H74" i="18"/>
  <c r="D74" i="18"/>
  <c r="B74" i="18"/>
  <c r="T73" i="18"/>
  <c r="P73" i="18"/>
  <c r="L73" i="18"/>
  <c r="N73" i="18" s="1"/>
  <c r="H73" i="18"/>
  <c r="D73" i="18"/>
  <c r="B73" i="18"/>
  <c r="T72" i="18"/>
  <c r="P72" i="18"/>
  <c r="L72" i="18"/>
  <c r="H72" i="18"/>
  <c r="D72" i="18"/>
  <c r="B72" i="18"/>
  <c r="T71" i="18"/>
  <c r="P71" i="18"/>
  <c r="L71" i="18"/>
  <c r="N71" i="18" s="1"/>
  <c r="H71" i="18"/>
  <c r="D71" i="18"/>
  <c r="B71" i="18"/>
  <c r="T70" i="18"/>
  <c r="P70" i="18"/>
  <c r="L70" i="18"/>
  <c r="H70" i="18"/>
  <c r="N70" i="18" s="1"/>
  <c r="D70" i="18"/>
  <c r="B70" i="18"/>
  <c r="T69" i="18"/>
  <c r="P69" i="18"/>
  <c r="L69" i="18"/>
  <c r="N69" i="18" s="1"/>
  <c r="H69" i="18"/>
  <c r="D69" i="18"/>
  <c r="B69" i="18"/>
  <c r="T68" i="18"/>
  <c r="P68" i="18"/>
  <c r="L68" i="18"/>
  <c r="H68" i="18"/>
  <c r="D68" i="18"/>
  <c r="B68" i="18"/>
  <c r="T67" i="18"/>
  <c r="P67" i="18"/>
  <c r="L67" i="18"/>
  <c r="N67" i="18" s="1"/>
  <c r="H67" i="18"/>
  <c r="D67" i="18"/>
  <c r="B67" i="18"/>
  <c r="T66" i="18"/>
  <c r="P66" i="18"/>
  <c r="L66" i="18"/>
  <c r="H66" i="18"/>
  <c r="D66" i="18"/>
  <c r="B66" i="18"/>
  <c r="T65" i="18"/>
  <c r="P65" i="18"/>
  <c r="L65" i="18"/>
  <c r="N65" i="18" s="1"/>
  <c r="H65" i="18"/>
  <c r="D65" i="18"/>
  <c r="B65" i="18"/>
  <c r="T64" i="18"/>
  <c r="P64" i="18"/>
  <c r="L64" i="18"/>
  <c r="H64" i="18"/>
  <c r="N64" i="18" s="1"/>
  <c r="D64" i="18"/>
  <c r="B64" i="18"/>
  <c r="T63" i="18"/>
  <c r="P63" i="18"/>
  <c r="L63" i="18"/>
  <c r="N63" i="18" s="1"/>
  <c r="H63" i="18"/>
  <c r="D63" i="18"/>
  <c r="B63" i="18"/>
  <c r="T62" i="18"/>
  <c r="P62" i="18"/>
  <c r="L62" i="18"/>
  <c r="H62" i="18"/>
  <c r="D62" i="18"/>
  <c r="B62" i="18"/>
  <c r="T61" i="18"/>
  <c r="P61" i="18"/>
  <c r="L61" i="18"/>
  <c r="N61" i="18" s="1"/>
  <c r="H61" i="18"/>
  <c r="D61" i="18"/>
  <c r="B61" i="18"/>
  <c r="T60" i="18"/>
  <c r="P60" i="18"/>
  <c r="L60" i="18"/>
  <c r="H60" i="18"/>
  <c r="D60" i="18"/>
  <c r="B60" i="18"/>
  <c r="T59" i="18"/>
  <c r="P59" i="18"/>
  <c r="L59" i="18"/>
  <c r="N59" i="18" s="1"/>
  <c r="H59" i="18"/>
  <c r="D59" i="18"/>
  <c r="B59" i="18"/>
  <c r="T58" i="18"/>
  <c r="P58" i="18"/>
  <c r="L58" i="18"/>
  <c r="H58" i="18"/>
  <c r="D58" i="18"/>
  <c r="B58" i="18"/>
  <c r="T57" i="18"/>
  <c r="P57" i="18"/>
  <c r="N57" i="18"/>
  <c r="L57" i="18"/>
  <c r="H57" i="18"/>
  <c r="D57" i="18"/>
  <c r="B57" i="18"/>
  <c r="T56" i="18"/>
  <c r="P56" i="18"/>
  <c r="L56" i="18"/>
  <c r="H56" i="18"/>
  <c r="D56" i="18"/>
  <c r="B56" i="18"/>
  <c r="T55" i="18"/>
  <c r="P55" i="18"/>
  <c r="X55" i="18" s="1"/>
  <c r="N55" i="18"/>
  <c r="L55" i="18"/>
  <c r="H55" i="18"/>
  <c r="D55" i="18"/>
  <c r="B55" i="18"/>
  <c r="T54" i="18"/>
  <c r="P54" i="18"/>
  <c r="L54" i="18"/>
  <c r="H54" i="18"/>
  <c r="D54" i="18"/>
  <c r="B54" i="18"/>
  <c r="T53" i="18"/>
  <c r="P53" i="18"/>
  <c r="L53" i="18"/>
  <c r="N53" i="18" s="1"/>
  <c r="H53" i="18"/>
  <c r="D53" i="18"/>
  <c r="B53" i="18"/>
  <c r="T52" i="18"/>
  <c r="P52" i="18"/>
  <c r="L52" i="18"/>
  <c r="H52" i="18"/>
  <c r="N52" i="18" s="1"/>
  <c r="D52" i="18"/>
  <c r="B52" i="18"/>
  <c r="T51" i="18"/>
  <c r="P51" i="18"/>
  <c r="L51" i="18"/>
  <c r="N51" i="18" s="1"/>
  <c r="H51" i="18"/>
  <c r="D51" i="18"/>
  <c r="B51" i="18"/>
  <c r="T50" i="18"/>
  <c r="P50" i="18"/>
  <c r="L50" i="18"/>
  <c r="H50" i="18"/>
  <c r="D50" i="18"/>
  <c r="B50" i="18"/>
  <c r="T49" i="18"/>
  <c r="P49" i="18"/>
  <c r="L49" i="18"/>
  <c r="N49" i="18" s="1"/>
  <c r="H49" i="18"/>
  <c r="D49" i="18"/>
  <c r="B49" i="18"/>
  <c r="T48" i="18"/>
  <c r="P48" i="18"/>
  <c r="L48" i="18"/>
  <c r="H48" i="18"/>
  <c r="D48" i="18"/>
  <c r="B48" i="18"/>
  <c r="T47" i="18"/>
  <c r="P47" i="18"/>
  <c r="L47" i="18"/>
  <c r="N47" i="18" s="1"/>
  <c r="H47" i="18"/>
  <c r="D47" i="18"/>
  <c r="B47" i="18"/>
  <c r="T46" i="18"/>
  <c r="P46" i="18"/>
  <c r="L46" i="18"/>
  <c r="H46" i="18"/>
  <c r="D46" i="18"/>
  <c r="B46" i="18"/>
  <c r="T45" i="18"/>
  <c r="P45" i="18"/>
  <c r="L45" i="18"/>
  <c r="N45" i="18" s="1"/>
  <c r="H45" i="18"/>
  <c r="D45" i="18"/>
  <c r="B45" i="18"/>
  <c r="T44" i="18"/>
  <c r="P44" i="18"/>
  <c r="L44" i="18"/>
  <c r="H44" i="18"/>
  <c r="D44" i="18"/>
  <c r="B44" i="18"/>
  <c r="T43" i="18"/>
  <c r="P43" i="18"/>
  <c r="L43" i="18"/>
  <c r="N43" i="18" s="1"/>
  <c r="H43" i="18"/>
  <c r="D43" i="18"/>
  <c r="B43" i="18"/>
  <c r="T42" i="18"/>
  <c r="P42" i="18"/>
  <c r="L42" i="18"/>
  <c r="H42" i="18"/>
  <c r="D42" i="18"/>
  <c r="B42" i="18"/>
  <c r="T41" i="18"/>
  <c r="P41" i="18"/>
  <c r="L41" i="18"/>
  <c r="N41" i="18" s="1"/>
  <c r="H41" i="18"/>
  <c r="D41" i="18"/>
  <c r="B41" i="18"/>
  <c r="T40" i="18"/>
  <c r="P40" i="18"/>
  <c r="L40" i="18"/>
  <c r="H40" i="18"/>
  <c r="D40" i="18"/>
  <c r="B40" i="18"/>
  <c r="T39" i="18"/>
  <c r="P39" i="18"/>
  <c r="L39" i="18"/>
  <c r="N39" i="18" s="1"/>
  <c r="H39" i="18"/>
  <c r="D39" i="18"/>
  <c r="B39" i="18"/>
  <c r="T38" i="18"/>
  <c r="P38" i="18"/>
  <c r="L38" i="18"/>
  <c r="H38" i="18"/>
  <c r="D38" i="18"/>
  <c r="B38" i="18"/>
  <c r="T37" i="18"/>
  <c r="P37" i="18"/>
  <c r="L37" i="18"/>
  <c r="N37" i="18" s="1"/>
  <c r="H37" i="18"/>
  <c r="D37" i="18"/>
  <c r="B37" i="18"/>
  <c r="T36" i="18"/>
  <c r="P36" i="18"/>
  <c r="L36" i="18"/>
  <c r="H36" i="18"/>
  <c r="D36" i="18"/>
  <c r="B36" i="18"/>
  <c r="T35" i="18"/>
  <c r="P35" i="18"/>
  <c r="L35" i="18"/>
  <c r="N35" i="18" s="1"/>
  <c r="H35" i="18"/>
  <c r="D35" i="18"/>
  <c r="B35" i="18"/>
  <c r="T34" i="18"/>
  <c r="P34" i="18"/>
  <c r="L34" i="18"/>
  <c r="H34" i="18"/>
  <c r="D34" i="18"/>
  <c r="B34" i="18"/>
  <c r="T33" i="18"/>
  <c r="P33" i="18"/>
  <c r="L33" i="18"/>
  <c r="N33" i="18" s="1"/>
  <c r="H33" i="18"/>
  <c r="D33" i="18"/>
  <c r="B33" i="18"/>
  <c r="T32" i="18"/>
  <c r="P32" i="18"/>
  <c r="L32" i="18"/>
  <c r="H32" i="18"/>
  <c r="D32" i="18"/>
  <c r="B32" i="18"/>
  <c r="T31" i="18"/>
  <c r="P31" i="18"/>
  <c r="L31" i="18"/>
  <c r="N31" i="18" s="1"/>
  <c r="H31" i="18"/>
  <c r="D31" i="18"/>
  <c r="B31" i="18"/>
  <c r="T30" i="18"/>
  <c r="P30" i="18"/>
  <c r="L30" i="18"/>
  <c r="H30" i="18"/>
  <c r="D30" i="18"/>
  <c r="B30" i="18"/>
  <c r="T29" i="18"/>
  <c r="P29" i="18"/>
  <c r="L29" i="18"/>
  <c r="N29" i="18" s="1"/>
  <c r="H29" i="18"/>
  <c r="D29" i="18"/>
  <c r="B29" i="18"/>
  <c r="T28" i="18"/>
  <c r="P28" i="18"/>
  <c r="L28" i="18"/>
  <c r="H28" i="18"/>
  <c r="D28" i="18"/>
  <c r="B28" i="18"/>
  <c r="T27" i="18"/>
  <c r="P27" i="18"/>
  <c r="L27" i="18"/>
  <c r="N27" i="18" s="1"/>
  <c r="H27" i="18"/>
  <c r="D27" i="18"/>
  <c r="B27" i="18"/>
  <c r="T26" i="18"/>
  <c r="P26" i="18"/>
  <c r="L26" i="18"/>
  <c r="H26" i="18"/>
  <c r="D26" i="18"/>
  <c r="B26" i="18"/>
  <c r="T25" i="18"/>
  <c r="P25" i="18"/>
  <c r="L25" i="18"/>
  <c r="N25" i="18" s="1"/>
  <c r="H25" i="18"/>
  <c r="D25" i="18"/>
  <c r="B25" i="18"/>
  <c r="T24" i="18"/>
  <c r="P24" i="18"/>
  <c r="L24" i="18"/>
  <c r="H24" i="18"/>
  <c r="D24" i="18"/>
  <c r="B24" i="18"/>
  <c r="T23" i="18"/>
  <c r="P23" i="18"/>
  <c r="L23" i="18"/>
  <c r="N23" i="18" s="1"/>
  <c r="H23" i="18"/>
  <c r="D23" i="18"/>
  <c r="B23" i="18"/>
  <c r="T22" i="18"/>
  <c r="P22" i="18"/>
  <c r="L22" i="18"/>
  <c r="H22" i="18"/>
  <c r="N22" i="18" s="1"/>
  <c r="D22" i="18"/>
  <c r="B22" i="18"/>
  <c r="T21" i="18"/>
  <c r="P21" i="18"/>
  <c r="L21" i="18"/>
  <c r="N21" i="18" s="1"/>
  <c r="H21" i="18"/>
  <c r="D21" i="18"/>
  <c r="B21" i="18"/>
  <c r="T20" i="18"/>
  <c r="P20" i="18"/>
  <c r="L20" i="18"/>
  <c r="H20" i="18"/>
  <c r="D20" i="18"/>
  <c r="B20" i="18"/>
  <c r="T19" i="18"/>
  <c r="P19" i="18"/>
  <c r="L19" i="18"/>
  <c r="N19" i="18" s="1"/>
  <c r="H19" i="18"/>
  <c r="D19" i="18"/>
  <c r="B19" i="18"/>
  <c r="T18" i="18"/>
  <c r="P18" i="18"/>
  <c r="L18" i="18"/>
  <c r="H18" i="18"/>
  <c r="D18" i="18"/>
  <c r="B18" i="18"/>
  <c r="T17" i="18"/>
  <c r="P17" i="18"/>
  <c r="L17" i="18"/>
  <c r="N17" i="18" s="1"/>
  <c r="H17" i="18"/>
  <c r="D17" i="18"/>
  <c r="B17" i="18"/>
  <c r="T16" i="18"/>
  <c r="P16" i="18"/>
  <c r="L16" i="18"/>
  <c r="H16" i="18"/>
  <c r="D16" i="18"/>
  <c r="B16" i="18"/>
  <c r="T15" i="18"/>
  <c r="P15" i="18"/>
  <c r="N15" i="18"/>
  <c r="L15" i="18"/>
  <c r="H15" i="18"/>
  <c r="D15" i="18"/>
  <c r="B15" i="18"/>
  <c r="T14" i="18"/>
  <c r="P14" i="18"/>
  <c r="L14" i="18"/>
  <c r="H14" i="18"/>
  <c r="N14" i="18" s="1"/>
  <c r="D14" i="18"/>
  <c r="D12" i="18" s="1"/>
  <c r="F264" i="18" s="1"/>
  <c r="B14" i="18"/>
  <c r="T13" i="18"/>
  <c r="P13" i="18"/>
  <c r="P12" i="18" s="1"/>
  <c r="R209" i="18" s="1"/>
  <c r="L13" i="18"/>
  <c r="N13" i="18" s="1"/>
  <c r="H13" i="18"/>
  <c r="D13" i="18"/>
  <c r="B13" i="18"/>
  <c r="L12" i="18"/>
  <c r="H12" i="18"/>
  <c r="J282" i="18" s="1"/>
  <c r="D4" i="18"/>
  <c r="Z260" i="15"/>
  <c r="X260" i="15"/>
  <c r="N260" i="15"/>
  <c r="L260" i="15"/>
  <c r="Z256" i="15"/>
  <c r="X256" i="15"/>
  <c r="T256" i="15"/>
  <c r="P256" i="15"/>
  <c r="N256" i="15"/>
  <c r="L256" i="15"/>
  <c r="H256" i="15"/>
  <c r="D256" i="15"/>
  <c r="B256" i="15"/>
  <c r="T255" i="15"/>
  <c r="P255" i="15"/>
  <c r="X255" i="15" s="1"/>
  <c r="Z255" i="15" s="1"/>
  <c r="N255" i="15"/>
  <c r="H255" i="15"/>
  <c r="D255" i="15"/>
  <c r="L255" i="15" s="1"/>
  <c r="B255" i="15"/>
  <c r="T254" i="15"/>
  <c r="Z254" i="15" s="1"/>
  <c r="P254" i="15"/>
  <c r="X254" i="15" s="1"/>
  <c r="H254" i="15"/>
  <c r="N254" i="15" s="1"/>
  <c r="D254" i="15"/>
  <c r="L254" i="15" s="1"/>
  <c r="B254" i="15"/>
  <c r="X253" i="15"/>
  <c r="T253" i="15"/>
  <c r="P253" i="15"/>
  <c r="L253" i="15"/>
  <c r="H253" i="15"/>
  <c r="D253" i="15"/>
  <c r="B253" i="15"/>
  <c r="Z252" i="15"/>
  <c r="T252" i="15"/>
  <c r="X252" i="15" s="1"/>
  <c r="P252" i="15"/>
  <c r="N252" i="15"/>
  <c r="H252" i="15"/>
  <c r="L252" i="15" s="1"/>
  <c r="D252" i="15"/>
  <c r="B252" i="15"/>
  <c r="T251" i="15"/>
  <c r="P251" i="15"/>
  <c r="X251" i="15" s="1"/>
  <c r="Z251" i="15" s="1"/>
  <c r="H251" i="15"/>
  <c r="D251" i="15"/>
  <c r="L251" i="15" s="1"/>
  <c r="N251" i="15" s="1"/>
  <c r="B251" i="15"/>
  <c r="X250" i="15"/>
  <c r="Z250" i="15" s="1"/>
  <c r="T250" i="15"/>
  <c r="P250" i="15"/>
  <c r="L250" i="15"/>
  <c r="N250" i="15" s="1"/>
  <c r="H250" i="15"/>
  <c r="D250" i="15"/>
  <c r="B250" i="15"/>
  <c r="T249" i="15"/>
  <c r="T247" i="15" s="1"/>
  <c r="P249" i="15"/>
  <c r="H249" i="15"/>
  <c r="H247" i="15" s="1"/>
  <c r="D249" i="15"/>
  <c r="B249" i="15"/>
  <c r="T248" i="15"/>
  <c r="P248" i="15"/>
  <c r="H248" i="15"/>
  <c r="D248" i="15"/>
  <c r="B248" i="15"/>
  <c r="X245" i="15"/>
  <c r="Z245" i="15" s="1"/>
  <c r="N245" i="15"/>
  <c r="L245" i="15"/>
  <c r="B245" i="15"/>
  <c r="X244" i="15"/>
  <c r="Z244" i="15" s="1"/>
  <c r="T244" i="15"/>
  <c r="P244" i="15"/>
  <c r="L244" i="15"/>
  <c r="N244" i="15" s="1"/>
  <c r="H244" i="15"/>
  <c r="D244" i="15"/>
  <c r="B244" i="15"/>
  <c r="Z243" i="15"/>
  <c r="X243" i="15"/>
  <c r="L243" i="15"/>
  <c r="N243" i="15" s="1"/>
  <c r="B243" i="15"/>
  <c r="Z242" i="15"/>
  <c r="X242" i="15"/>
  <c r="N242" i="15"/>
  <c r="L242" i="15"/>
  <c r="B242" i="15"/>
  <c r="Z241" i="15"/>
  <c r="X241" i="15"/>
  <c r="L241" i="15"/>
  <c r="N241" i="15" s="1"/>
  <c r="B241" i="15"/>
  <c r="T240" i="15"/>
  <c r="X240" i="15" s="1"/>
  <c r="P240" i="15"/>
  <c r="H240" i="15"/>
  <c r="D240" i="15"/>
  <c r="B240" i="15"/>
  <c r="X239" i="15"/>
  <c r="Z239" i="15" s="1"/>
  <c r="L239" i="15"/>
  <c r="N239" i="15" s="1"/>
  <c r="B239" i="15"/>
  <c r="T238" i="15"/>
  <c r="P238" i="15"/>
  <c r="X238" i="15" s="1"/>
  <c r="H238" i="15"/>
  <c r="D238" i="15"/>
  <c r="L238" i="15" s="1"/>
  <c r="B238" i="15"/>
  <c r="X237" i="15"/>
  <c r="Z237" i="15" s="1"/>
  <c r="N237" i="15"/>
  <c r="L237" i="15"/>
  <c r="B237" i="15"/>
  <c r="X236" i="15"/>
  <c r="Z236" i="15" s="1"/>
  <c r="N236" i="15"/>
  <c r="L236" i="15"/>
  <c r="B236" i="15"/>
  <c r="X235" i="15"/>
  <c r="T235" i="15"/>
  <c r="P235" i="15"/>
  <c r="L235" i="15"/>
  <c r="H235" i="15"/>
  <c r="D235" i="15"/>
  <c r="B235" i="15"/>
  <c r="Z234" i="15"/>
  <c r="X234" i="15"/>
  <c r="N234" i="15"/>
  <c r="L234" i="15"/>
  <c r="B234" i="15"/>
  <c r="Z233" i="15"/>
  <c r="X233" i="15"/>
  <c r="L233" i="15"/>
  <c r="N233" i="15" s="1"/>
  <c r="B233" i="15"/>
  <c r="Z232" i="15"/>
  <c r="X232" i="15"/>
  <c r="L232" i="15"/>
  <c r="N232" i="15" s="1"/>
  <c r="B232" i="15"/>
  <c r="Z231" i="15"/>
  <c r="X231" i="15"/>
  <c r="L231" i="15"/>
  <c r="N231" i="15" s="1"/>
  <c r="B231" i="15"/>
  <c r="Z230" i="15"/>
  <c r="X230" i="15"/>
  <c r="N230" i="15"/>
  <c r="L230" i="15"/>
  <c r="B230" i="15"/>
  <c r="Z229" i="15"/>
  <c r="X229" i="15"/>
  <c r="L229" i="15"/>
  <c r="N229" i="15" s="1"/>
  <c r="B229" i="15"/>
  <c r="Z228" i="15"/>
  <c r="X228" i="15"/>
  <c r="L228" i="15"/>
  <c r="N228" i="15" s="1"/>
  <c r="B228" i="15"/>
  <c r="T227" i="15"/>
  <c r="P227" i="15"/>
  <c r="H227" i="15"/>
  <c r="D227" i="15"/>
  <c r="B227" i="15"/>
  <c r="X226" i="15"/>
  <c r="Z226" i="15" s="1"/>
  <c r="L226" i="15"/>
  <c r="N226" i="15" s="1"/>
  <c r="B226" i="15"/>
  <c r="X225" i="15"/>
  <c r="Z225" i="15" s="1"/>
  <c r="L225" i="15"/>
  <c r="N225" i="15" s="1"/>
  <c r="B225" i="15"/>
  <c r="T224" i="15"/>
  <c r="Z224" i="15" s="1"/>
  <c r="P224" i="15"/>
  <c r="X224" i="15" s="1"/>
  <c r="H224" i="15"/>
  <c r="N224" i="15" s="1"/>
  <c r="D224" i="15"/>
  <c r="L224" i="15" s="1"/>
  <c r="B224" i="15"/>
  <c r="X223" i="15"/>
  <c r="Z223" i="15" s="1"/>
  <c r="N223" i="15"/>
  <c r="L223" i="15"/>
  <c r="B223" i="15"/>
  <c r="X222" i="15"/>
  <c r="Z222" i="15" s="1"/>
  <c r="N222" i="15"/>
  <c r="L222" i="15"/>
  <c r="B222" i="15"/>
  <c r="X221" i="15"/>
  <c r="Z221" i="15" s="1"/>
  <c r="N221" i="15"/>
  <c r="L221" i="15"/>
  <c r="B221" i="15"/>
  <c r="X220" i="15"/>
  <c r="Z220" i="15" s="1"/>
  <c r="N220" i="15"/>
  <c r="L220" i="15"/>
  <c r="B220" i="15"/>
  <c r="X219" i="15"/>
  <c r="T219" i="15"/>
  <c r="Z219" i="15" s="1"/>
  <c r="P219" i="15"/>
  <c r="L219" i="15"/>
  <c r="H219" i="15"/>
  <c r="N219" i="15" s="1"/>
  <c r="D219" i="15"/>
  <c r="B219" i="15"/>
  <c r="Z218" i="15"/>
  <c r="X218" i="15"/>
  <c r="N218" i="15"/>
  <c r="L218" i="15"/>
  <c r="B218" i="15"/>
  <c r="Z217" i="15"/>
  <c r="X217" i="15"/>
  <c r="L217" i="15"/>
  <c r="N217" i="15" s="1"/>
  <c r="B217" i="15"/>
  <c r="Z216" i="15"/>
  <c r="X216" i="15"/>
  <c r="N216" i="15"/>
  <c r="L216" i="15"/>
  <c r="B216" i="15"/>
  <c r="T215" i="15"/>
  <c r="P215" i="15"/>
  <c r="X215" i="15" s="1"/>
  <c r="Z215" i="15" s="1"/>
  <c r="H215" i="15"/>
  <c r="D215" i="15"/>
  <c r="L215" i="15" s="1"/>
  <c r="N215" i="15" s="1"/>
  <c r="B215" i="15"/>
  <c r="Z214" i="15"/>
  <c r="X214" i="15"/>
  <c r="L214" i="15"/>
  <c r="N214" i="15" s="1"/>
  <c r="B214" i="15"/>
  <c r="X213" i="15"/>
  <c r="Z213" i="15" s="1"/>
  <c r="L213" i="15"/>
  <c r="N213" i="15" s="1"/>
  <c r="B213" i="15"/>
  <c r="X212" i="15"/>
  <c r="Z212" i="15" s="1"/>
  <c r="L212" i="15"/>
  <c r="N212" i="15" s="1"/>
  <c r="B212" i="15"/>
  <c r="T211" i="15"/>
  <c r="P211" i="15"/>
  <c r="X211" i="15" s="1"/>
  <c r="Z211" i="15" s="1"/>
  <c r="H211" i="15"/>
  <c r="D211" i="15"/>
  <c r="L211" i="15" s="1"/>
  <c r="N211" i="15" s="1"/>
  <c r="B211" i="15"/>
  <c r="X210" i="15"/>
  <c r="Z210" i="15" s="1"/>
  <c r="N210" i="15"/>
  <c r="L210" i="15"/>
  <c r="B210" i="15"/>
  <c r="X209" i="15"/>
  <c r="T209" i="15"/>
  <c r="P209" i="15"/>
  <c r="L209" i="15"/>
  <c r="H209" i="15"/>
  <c r="D209" i="15"/>
  <c r="B209" i="15"/>
  <c r="Z208" i="15"/>
  <c r="X208" i="15"/>
  <c r="N208" i="15"/>
  <c r="L208" i="15"/>
  <c r="B208" i="15"/>
  <c r="T207" i="15"/>
  <c r="P207" i="15"/>
  <c r="X207" i="15" s="1"/>
  <c r="Z207" i="15" s="1"/>
  <c r="N207" i="15"/>
  <c r="H207" i="15"/>
  <c r="D207" i="15"/>
  <c r="L207" i="15" s="1"/>
  <c r="B207" i="15"/>
  <c r="Z206" i="15"/>
  <c r="X206" i="15"/>
  <c r="L206" i="15"/>
  <c r="N206" i="15" s="1"/>
  <c r="B206" i="15"/>
  <c r="T205" i="15"/>
  <c r="P205" i="15"/>
  <c r="X205" i="15" s="1"/>
  <c r="H205" i="15"/>
  <c r="D205" i="15"/>
  <c r="L205" i="15" s="1"/>
  <c r="N205" i="15" s="1"/>
  <c r="B205" i="15"/>
  <c r="X204" i="15"/>
  <c r="Z204" i="15" s="1"/>
  <c r="N204" i="15"/>
  <c r="L204" i="15"/>
  <c r="B204" i="15"/>
  <c r="X203" i="15"/>
  <c r="T203" i="15"/>
  <c r="P203" i="15"/>
  <c r="L203" i="15"/>
  <c r="H203" i="15"/>
  <c r="N203" i="15" s="1"/>
  <c r="D203" i="15"/>
  <c r="B203" i="15"/>
  <c r="Z202" i="15"/>
  <c r="X202" i="15"/>
  <c r="N202" i="15"/>
  <c r="L202" i="15"/>
  <c r="B202" i="15"/>
  <c r="T201" i="15"/>
  <c r="P201" i="15"/>
  <c r="H201" i="15"/>
  <c r="D201" i="15"/>
  <c r="B201" i="15"/>
  <c r="Z200" i="15"/>
  <c r="X200" i="15"/>
  <c r="L200" i="15"/>
  <c r="N200" i="15" s="1"/>
  <c r="B200" i="15"/>
  <c r="X199" i="15"/>
  <c r="Z199" i="15" s="1"/>
  <c r="L199" i="15"/>
  <c r="N199" i="15" s="1"/>
  <c r="B199" i="15"/>
  <c r="T198" i="15"/>
  <c r="P198" i="15"/>
  <c r="X198" i="15" s="1"/>
  <c r="H198" i="15"/>
  <c r="N198" i="15" s="1"/>
  <c r="D198" i="15"/>
  <c r="L198" i="15" s="1"/>
  <c r="B198" i="15"/>
  <c r="X197" i="15"/>
  <c r="Z197" i="15" s="1"/>
  <c r="N197" i="15"/>
  <c r="L197" i="15"/>
  <c r="B197" i="15"/>
  <c r="X196" i="15"/>
  <c r="Z196" i="15" s="1"/>
  <c r="T196" i="15"/>
  <c r="P196" i="15"/>
  <c r="L196" i="15"/>
  <c r="N196" i="15" s="1"/>
  <c r="H196" i="15"/>
  <c r="D196" i="15"/>
  <c r="B196" i="15"/>
  <c r="Z195" i="15"/>
  <c r="X195" i="15"/>
  <c r="L195" i="15"/>
  <c r="N195" i="15" s="1"/>
  <c r="B195" i="15"/>
  <c r="T194" i="15"/>
  <c r="X194" i="15" s="1"/>
  <c r="P194" i="15"/>
  <c r="H194" i="15"/>
  <c r="D194" i="15"/>
  <c r="B194" i="15"/>
  <c r="X193" i="15"/>
  <c r="Z193" i="15" s="1"/>
  <c r="L193" i="15"/>
  <c r="N193" i="15" s="1"/>
  <c r="B193" i="15"/>
  <c r="T192" i="15"/>
  <c r="P192" i="15"/>
  <c r="X192" i="15" s="1"/>
  <c r="H192" i="15"/>
  <c r="N192" i="15" s="1"/>
  <c r="D192" i="15"/>
  <c r="L192" i="15" s="1"/>
  <c r="B192" i="15"/>
  <c r="X191" i="15"/>
  <c r="Z191" i="15" s="1"/>
  <c r="N191" i="15"/>
  <c r="L191" i="15"/>
  <c r="B191" i="15"/>
  <c r="X190" i="15"/>
  <c r="Z190" i="15" s="1"/>
  <c r="N190" i="15"/>
  <c r="L190" i="15"/>
  <c r="B190" i="15"/>
  <c r="X189" i="15"/>
  <c r="T189" i="15"/>
  <c r="P189" i="15"/>
  <c r="L189" i="15"/>
  <c r="H189" i="15"/>
  <c r="N189" i="15" s="1"/>
  <c r="D189" i="15"/>
  <c r="B189" i="15"/>
  <c r="Z188" i="15"/>
  <c r="X188" i="15"/>
  <c r="L188" i="15"/>
  <c r="N188" i="15" s="1"/>
  <c r="B188" i="15"/>
  <c r="Z187" i="15"/>
  <c r="X187" i="15"/>
  <c r="L187" i="15"/>
  <c r="N187" i="15" s="1"/>
  <c r="B187" i="15"/>
  <c r="Z186" i="15"/>
  <c r="T186" i="15"/>
  <c r="X186" i="15" s="1"/>
  <c r="P186" i="15"/>
  <c r="H186" i="15"/>
  <c r="D186" i="15"/>
  <c r="L186" i="15" s="1"/>
  <c r="N186" i="15" s="1"/>
  <c r="B186" i="15"/>
  <c r="X185" i="15"/>
  <c r="Z185" i="15" s="1"/>
  <c r="L185" i="15"/>
  <c r="N185" i="15" s="1"/>
  <c r="B185" i="15"/>
  <c r="T184" i="15"/>
  <c r="Z184" i="15" s="1"/>
  <c r="P184" i="15"/>
  <c r="X184" i="15" s="1"/>
  <c r="H184" i="15"/>
  <c r="N184" i="15" s="1"/>
  <c r="D184" i="15"/>
  <c r="L184" i="15" s="1"/>
  <c r="B184" i="15"/>
  <c r="Z183" i="15"/>
  <c r="X183" i="15"/>
  <c r="N183" i="15"/>
  <c r="L183" i="15"/>
  <c r="B183" i="15"/>
  <c r="X182" i="15"/>
  <c r="Z182" i="15" s="1"/>
  <c r="N182" i="15"/>
  <c r="L182" i="15"/>
  <c r="B182" i="15"/>
  <c r="X181" i="15"/>
  <c r="T181" i="15"/>
  <c r="P181" i="15"/>
  <c r="L181" i="15"/>
  <c r="H181" i="15"/>
  <c r="N181" i="15" s="1"/>
  <c r="D181" i="15"/>
  <c r="B181" i="15"/>
  <c r="Z180" i="15"/>
  <c r="X180" i="15"/>
  <c r="L180" i="15"/>
  <c r="N180" i="15" s="1"/>
  <c r="B180" i="15"/>
  <c r="Z179" i="15"/>
  <c r="T179" i="15"/>
  <c r="P179" i="15"/>
  <c r="X179" i="15" s="1"/>
  <c r="H179" i="15"/>
  <c r="D179" i="15"/>
  <c r="B179" i="15"/>
  <c r="Z178" i="15"/>
  <c r="X178" i="15"/>
  <c r="L178" i="15"/>
  <c r="N178" i="15" s="1"/>
  <c r="B178" i="15"/>
  <c r="X177" i="15"/>
  <c r="Z177" i="15" s="1"/>
  <c r="L177" i="15"/>
  <c r="N177" i="15" s="1"/>
  <c r="B177" i="15"/>
  <c r="X176" i="15"/>
  <c r="Z176" i="15" s="1"/>
  <c r="L176" i="15"/>
  <c r="N176" i="15" s="1"/>
  <c r="B176" i="15"/>
  <c r="X175" i="15"/>
  <c r="Z175" i="15" s="1"/>
  <c r="L175" i="15"/>
  <c r="N175" i="15" s="1"/>
  <c r="B175" i="15"/>
  <c r="Z174" i="15"/>
  <c r="X174" i="15"/>
  <c r="L174" i="15"/>
  <c r="N174" i="15" s="1"/>
  <c r="B174" i="15"/>
  <c r="X173" i="15"/>
  <c r="Z173" i="15" s="1"/>
  <c r="L173" i="15"/>
  <c r="N173" i="15" s="1"/>
  <c r="B173" i="15"/>
  <c r="X172" i="15"/>
  <c r="Z172" i="15" s="1"/>
  <c r="L172" i="15"/>
  <c r="N172" i="15" s="1"/>
  <c r="B172" i="15"/>
  <c r="T171" i="15"/>
  <c r="P171" i="15"/>
  <c r="X171" i="15" s="1"/>
  <c r="Z171" i="15" s="1"/>
  <c r="H171" i="15"/>
  <c r="D171" i="15"/>
  <c r="L171" i="15" s="1"/>
  <c r="B171" i="15"/>
  <c r="X170" i="15"/>
  <c r="Z170" i="15" s="1"/>
  <c r="N170" i="15"/>
  <c r="L170" i="15"/>
  <c r="B170" i="15"/>
  <c r="X169" i="15"/>
  <c r="Z169" i="15" s="1"/>
  <c r="N169" i="15"/>
  <c r="L169" i="15"/>
  <c r="B169" i="15"/>
  <c r="X168" i="15"/>
  <c r="Z168" i="15" s="1"/>
  <c r="N168" i="15"/>
  <c r="L168" i="15"/>
  <c r="B168" i="15"/>
  <c r="X167" i="15"/>
  <c r="Z167" i="15" s="1"/>
  <c r="N167" i="15"/>
  <c r="L167" i="15"/>
  <c r="B167" i="15"/>
  <c r="X166" i="15"/>
  <c r="Z166" i="15" s="1"/>
  <c r="N166" i="15"/>
  <c r="L166" i="15"/>
  <c r="B166" i="15"/>
  <c r="X165" i="15"/>
  <c r="Z165" i="15" s="1"/>
  <c r="N165" i="15"/>
  <c r="L165" i="15"/>
  <c r="B165" i="15"/>
  <c r="X164" i="15"/>
  <c r="Z164" i="15" s="1"/>
  <c r="N164" i="15"/>
  <c r="L164" i="15"/>
  <c r="B164" i="15"/>
  <c r="X163" i="15"/>
  <c r="Z163" i="15" s="1"/>
  <c r="N163" i="15"/>
  <c r="L163" i="15"/>
  <c r="B163" i="15"/>
  <c r="X162" i="15"/>
  <c r="Z162" i="15" s="1"/>
  <c r="N162" i="15"/>
  <c r="L162" i="15"/>
  <c r="B162" i="15"/>
  <c r="X161" i="15"/>
  <c r="T161" i="15"/>
  <c r="Z161" i="15" s="1"/>
  <c r="P161" i="15"/>
  <c r="L161" i="15"/>
  <c r="H161" i="15"/>
  <c r="D161" i="15"/>
  <c r="B161" i="15"/>
  <c r="T160" i="15"/>
  <c r="P160" i="15"/>
  <c r="H160" i="15"/>
  <c r="D160" i="15"/>
  <c r="Z156" i="15"/>
  <c r="X156" i="15"/>
  <c r="N156" i="15"/>
  <c r="L156" i="15"/>
  <c r="B156" i="15"/>
  <c r="Z155" i="15"/>
  <c r="X155" i="15"/>
  <c r="L155" i="15"/>
  <c r="N155" i="15" s="1"/>
  <c r="B155" i="15"/>
  <c r="Z154" i="15"/>
  <c r="X154" i="15"/>
  <c r="L154" i="15"/>
  <c r="N154" i="15" s="1"/>
  <c r="B154" i="15"/>
  <c r="Z153" i="15"/>
  <c r="X153" i="15"/>
  <c r="L153" i="15"/>
  <c r="N153" i="15" s="1"/>
  <c r="B153" i="15"/>
  <c r="Z152" i="15"/>
  <c r="X152" i="15"/>
  <c r="L152" i="15"/>
  <c r="N152" i="15" s="1"/>
  <c r="B152" i="15"/>
  <c r="Z151" i="15"/>
  <c r="X151" i="15"/>
  <c r="L151" i="15"/>
  <c r="N151" i="15" s="1"/>
  <c r="B151" i="15"/>
  <c r="Z150" i="15"/>
  <c r="X150" i="15"/>
  <c r="L150" i="15"/>
  <c r="N150" i="15" s="1"/>
  <c r="B150" i="15"/>
  <c r="Z149" i="15"/>
  <c r="X149" i="15"/>
  <c r="L149" i="15"/>
  <c r="N149" i="15" s="1"/>
  <c r="B149" i="15"/>
  <c r="Z148" i="15"/>
  <c r="X148" i="15"/>
  <c r="L148" i="15"/>
  <c r="N148" i="15" s="1"/>
  <c r="B148" i="15"/>
  <c r="Z147" i="15"/>
  <c r="X147" i="15"/>
  <c r="L147" i="15"/>
  <c r="N147" i="15" s="1"/>
  <c r="B147" i="15"/>
  <c r="Z146" i="15"/>
  <c r="X146" i="15"/>
  <c r="N146" i="15"/>
  <c r="L146" i="15"/>
  <c r="B146" i="15"/>
  <c r="Z145" i="15"/>
  <c r="X145" i="15"/>
  <c r="N145" i="15"/>
  <c r="L145" i="15"/>
  <c r="B145" i="15"/>
  <c r="Z144" i="15"/>
  <c r="X144" i="15"/>
  <c r="N144" i="15"/>
  <c r="L144" i="15"/>
  <c r="B144" i="15"/>
  <c r="Z143" i="15"/>
  <c r="X143" i="15"/>
  <c r="N143" i="15"/>
  <c r="L143" i="15"/>
  <c r="B143" i="15"/>
  <c r="Z142" i="15"/>
  <c r="X142" i="15"/>
  <c r="L142" i="15"/>
  <c r="N142" i="15" s="1"/>
  <c r="B142" i="15"/>
  <c r="Z141" i="15"/>
  <c r="X141" i="15"/>
  <c r="L141" i="15"/>
  <c r="N141" i="15" s="1"/>
  <c r="B141" i="15"/>
  <c r="Z140" i="15"/>
  <c r="X140" i="15"/>
  <c r="N140" i="15"/>
  <c r="L140" i="15"/>
  <c r="B140" i="15"/>
  <c r="Z139" i="15"/>
  <c r="X139" i="15"/>
  <c r="L139" i="15"/>
  <c r="N139" i="15" s="1"/>
  <c r="B139" i="15"/>
  <c r="Z138" i="15"/>
  <c r="X138" i="15"/>
  <c r="L138" i="15"/>
  <c r="N138" i="15" s="1"/>
  <c r="B138" i="15"/>
  <c r="Z137" i="15"/>
  <c r="X137" i="15"/>
  <c r="N137" i="15"/>
  <c r="L137" i="15"/>
  <c r="B137" i="15"/>
  <c r="Z136" i="15"/>
  <c r="X136" i="15"/>
  <c r="N136" i="15"/>
  <c r="L136" i="15"/>
  <c r="B136" i="15"/>
  <c r="Z135" i="15"/>
  <c r="X135" i="15"/>
  <c r="L135" i="15"/>
  <c r="N135" i="15" s="1"/>
  <c r="B135" i="15"/>
  <c r="Z134" i="15"/>
  <c r="X134" i="15"/>
  <c r="L134" i="15"/>
  <c r="N134" i="15" s="1"/>
  <c r="B134" i="15"/>
  <c r="Z133" i="15"/>
  <c r="X133" i="15"/>
  <c r="L133" i="15"/>
  <c r="N133" i="15" s="1"/>
  <c r="B133" i="15"/>
  <c r="Z132" i="15"/>
  <c r="X132" i="15"/>
  <c r="L132" i="15"/>
  <c r="N132" i="15" s="1"/>
  <c r="B132" i="15"/>
  <c r="Z131" i="15"/>
  <c r="X131" i="15"/>
  <c r="L131" i="15"/>
  <c r="N131" i="15" s="1"/>
  <c r="B131" i="15"/>
  <c r="Z130" i="15"/>
  <c r="X130" i="15"/>
  <c r="L130" i="15"/>
  <c r="N130" i="15" s="1"/>
  <c r="B130" i="15"/>
  <c r="Z129" i="15"/>
  <c r="X129" i="15"/>
  <c r="L129" i="15"/>
  <c r="N129" i="15" s="1"/>
  <c r="B129" i="15"/>
  <c r="Z128" i="15"/>
  <c r="X128" i="15"/>
  <c r="L128" i="15"/>
  <c r="N128" i="15" s="1"/>
  <c r="B128" i="15"/>
  <c r="Z127" i="15"/>
  <c r="X127" i="15"/>
  <c r="L127" i="15"/>
  <c r="N127" i="15" s="1"/>
  <c r="B127" i="15"/>
  <c r="Z126" i="15"/>
  <c r="X126" i="15"/>
  <c r="L126" i="15"/>
  <c r="N126" i="15" s="1"/>
  <c r="B126" i="15"/>
  <c r="Z125" i="15"/>
  <c r="X125" i="15"/>
  <c r="L125" i="15"/>
  <c r="N125" i="15" s="1"/>
  <c r="B125" i="15"/>
  <c r="Z124" i="15"/>
  <c r="X124" i="15"/>
  <c r="L124" i="15"/>
  <c r="N124" i="15" s="1"/>
  <c r="B124" i="15"/>
  <c r="Z123" i="15"/>
  <c r="X123" i="15"/>
  <c r="L123" i="15"/>
  <c r="N123" i="15" s="1"/>
  <c r="B123" i="15"/>
  <c r="Z122" i="15"/>
  <c r="X122" i="15"/>
  <c r="L122" i="15"/>
  <c r="N122" i="15" s="1"/>
  <c r="B122" i="15"/>
  <c r="Z121" i="15"/>
  <c r="X121" i="15"/>
  <c r="L121" i="15"/>
  <c r="N121" i="15" s="1"/>
  <c r="B121" i="15"/>
  <c r="Z120" i="15"/>
  <c r="X120" i="15"/>
  <c r="L120" i="15"/>
  <c r="N120" i="15" s="1"/>
  <c r="B120" i="15"/>
  <c r="Z119" i="15"/>
  <c r="X119" i="15"/>
  <c r="L119" i="15"/>
  <c r="N119" i="15" s="1"/>
  <c r="B119" i="15"/>
  <c r="Z118" i="15"/>
  <c r="X118" i="15"/>
  <c r="L118" i="15"/>
  <c r="N118" i="15" s="1"/>
  <c r="B118" i="15"/>
  <c r="Z117" i="15"/>
  <c r="X117" i="15"/>
  <c r="L117" i="15"/>
  <c r="N117" i="15" s="1"/>
  <c r="B117" i="15"/>
  <c r="Z116" i="15"/>
  <c r="X116" i="15"/>
  <c r="L116" i="15"/>
  <c r="N116" i="15" s="1"/>
  <c r="B116" i="15"/>
  <c r="Z115" i="15"/>
  <c r="X115" i="15"/>
  <c r="N115" i="15"/>
  <c r="L115" i="15"/>
  <c r="B115" i="15"/>
  <c r="Z114" i="15"/>
  <c r="X114" i="15"/>
  <c r="N114" i="15"/>
  <c r="L114" i="15"/>
  <c r="B114" i="15"/>
  <c r="Z113" i="15"/>
  <c r="X113" i="15"/>
  <c r="L113" i="15"/>
  <c r="N113" i="15" s="1"/>
  <c r="B113" i="15"/>
  <c r="Z112" i="15"/>
  <c r="X112" i="15"/>
  <c r="L112" i="15"/>
  <c r="N112" i="15" s="1"/>
  <c r="B112" i="15"/>
  <c r="Z111" i="15"/>
  <c r="X111" i="15"/>
  <c r="L111" i="15"/>
  <c r="N111" i="15" s="1"/>
  <c r="B111" i="15"/>
  <c r="Z110" i="15"/>
  <c r="X110" i="15"/>
  <c r="L110" i="15"/>
  <c r="N110" i="15" s="1"/>
  <c r="B110" i="15"/>
  <c r="Z109" i="15"/>
  <c r="X109" i="15"/>
  <c r="L109" i="15"/>
  <c r="N109" i="15" s="1"/>
  <c r="B109" i="15"/>
  <c r="Z108" i="15"/>
  <c r="X108" i="15"/>
  <c r="L108" i="15"/>
  <c r="N108" i="15" s="1"/>
  <c r="B108" i="15"/>
  <c r="Z107" i="15"/>
  <c r="X107" i="15"/>
  <c r="L107" i="15"/>
  <c r="N107" i="15" s="1"/>
  <c r="B107" i="15"/>
  <c r="T106" i="15"/>
  <c r="P106" i="15"/>
  <c r="H106" i="15"/>
  <c r="D106" i="15"/>
  <c r="Z104" i="15"/>
  <c r="T104" i="15"/>
  <c r="P104" i="15"/>
  <c r="X104" i="15" s="1"/>
  <c r="H104" i="15"/>
  <c r="N104" i="15" s="1"/>
  <c r="D104" i="15"/>
  <c r="B104" i="15"/>
  <c r="Z103" i="15"/>
  <c r="T103" i="15"/>
  <c r="P103" i="15"/>
  <c r="X103" i="15" s="1"/>
  <c r="H103" i="15"/>
  <c r="D103" i="15"/>
  <c r="B103" i="15"/>
  <c r="Z102" i="15"/>
  <c r="T102" i="15"/>
  <c r="P102" i="15"/>
  <c r="X102" i="15" s="1"/>
  <c r="L102" i="15"/>
  <c r="H102" i="15"/>
  <c r="N102" i="15" s="1"/>
  <c r="D102" i="15"/>
  <c r="B102" i="15"/>
  <c r="T101" i="15"/>
  <c r="P101" i="15"/>
  <c r="H101" i="15"/>
  <c r="D101" i="15"/>
  <c r="B101" i="15"/>
  <c r="Z100" i="15"/>
  <c r="T100" i="15"/>
  <c r="P100" i="15"/>
  <c r="X100" i="15" s="1"/>
  <c r="L100" i="15"/>
  <c r="H100" i="15"/>
  <c r="N100" i="15" s="1"/>
  <c r="D100" i="15"/>
  <c r="B100" i="15"/>
  <c r="T99" i="15"/>
  <c r="P99" i="15"/>
  <c r="H99" i="15"/>
  <c r="N99" i="15" s="1"/>
  <c r="D99" i="15"/>
  <c r="B99" i="15"/>
  <c r="Z98" i="15"/>
  <c r="T98" i="15"/>
  <c r="P98" i="15"/>
  <c r="X98" i="15" s="1"/>
  <c r="L98" i="15"/>
  <c r="H98" i="15"/>
  <c r="N98" i="15" s="1"/>
  <c r="D98" i="15"/>
  <c r="B98" i="15"/>
  <c r="T97" i="15"/>
  <c r="P97" i="15"/>
  <c r="X97" i="15" s="1"/>
  <c r="Z97" i="15" s="1"/>
  <c r="H97" i="15"/>
  <c r="D97" i="15"/>
  <c r="B97" i="15"/>
  <c r="T96" i="15"/>
  <c r="P96" i="15"/>
  <c r="X96" i="15" s="1"/>
  <c r="Z96" i="15" s="1"/>
  <c r="H96" i="15"/>
  <c r="N96" i="15" s="1"/>
  <c r="D96" i="15"/>
  <c r="B96" i="15"/>
  <c r="T95" i="15"/>
  <c r="P95" i="15"/>
  <c r="H95" i="15"/>
  <c r="D95" i="15"/>
  <c r="B95" i="15"/>
  <c r="Z94" i="15"/>
  <c r="T94" i="15"/>
  <c r="P94" i="15"/>
  <c r="X94" i="15" s="1"/>
  <c r="L94" i="15"/>
  <c r="H94" i="15"/>
  <c r="D94" i="15"/>
  <c r="B94" i="15"/>
  <c r="T93" i="15"/>
  <c r="P93" i="15"/>
  <c r="X93" i="15" s="1"/>
  <c r="Z93" i="15" s="1"/>
  <c r="H93" i="15"/>
  <c r="D93" i="15"/>
  <c r="B93" i="15"/>
  <c r="T92" i="15"/>
  <c r="P92" i="15"/>
  <c r="L92" i="15"/>
  <c r="H92" i="15"/>
  <c r="D92" i="15"/>
  <c r="B92" i="15"/>
  <c r="T91" i="15"/>
  <c r="P91" i="15"/>
  <c r="H91" i="15"/>
  <c r="D91" i="15"/>
  <c r="B91" i="15"/>
  <c r="T90" i="15"/>
  <c r="P90" i="15"/>
  <c r="L90" i="15"/>
  <c r="H90" i="15"/>
  <c r="D90" i="15"/>
  <c r="B90" i="15"/>
  <c r="T89" i="15"/>
  <c r="P89" i="15"/>
  <c r="X89" i="15" s="1"/>
  <c r="Z89" i="15" s="1"/>
  <c r="H89" i="15"/>
  <c r="D89" i="15"/>
  <c r="B89" i="15"/>
  <c r="T88" i="15"/>
  <c r="P88" i="15"/>
  <c r="H88" i="15"/>
  <c r="D88" i="15"/>
  <c r="B88" i="15"/>
  <c r="Z87" i="15"/>
  <c r="T87" i="15"/>
  <c r="P87" i="15"/>
  <c r="X87" i="15" s="1"/>
  <c r="L87" i="15"/>
  <c r="H87" i="15"/>
  <c r="D87" i="15"/>
  <c r="B87" i="15"/>
  <c r="T86" i="15"/>
  <c r="P86" i="15"/>
  <c r="X86" i="15" s="1"/>
  <c r="Z86" i="15" s="1"/>
  <c r="L86" i="15"/>
  <c r="H86" i="15"/>
  <c r="D86" i="15"/>
  <c r="B86" i="15"/>
  <c r="T85" i="15"/>
  <c r="P85" i="15"/>
  <c r="H85" i="15"/>
  <c r="D85" i="15"/>
  <c r="B85" i="15"/>
  <c r="T84" i="15"/>
  <c r="P84" i="15"/>
  <c r="L84" i="15"/>
  <c r="H84" i="15"/>
  <c r="N84" i="15" s="1"/>
  <c r="D84" i="15"/>
  <c r="B84" i="15"/>
  <c r="T83" i="15"/>
  <c r="P83" i="15"/>
  <c r="X83" i="15" s="1"/>
  <c r="Z83" i="15" s="1"/>
  <c r="L83" i="15"/>
  <c r="H83" i="15"/>
  <c r="D83" i="15"/>
  <c r="B83" i="15"/>
  <c r="T82" i="15"/>
  <c r="P82" i="15"/>
  <c r="L82" i="15"/>
  <c r="H82" i="15"/>
  <c r="D82" i="15"/>
  <c r="B82" i="15"/>
  <c r="T81" i="15"/>
  <c r="P81" i="15"/>
  <c r="L81" i="15"/>
  <c r="H81" i="15"/>
  <c r="D81" i="15"/>
  <c r="B81" i="15"/>
  <c r="T80" i="15"/>
  <c r="P80" i="15"/>
  <c r="L80" i="15"/>
  <c r="H80" i="15"/>
  <c r="D80" i="15"/>
  <c r="B80" i="15"/>
  <c r="T79" i="15"/>
  <c r="P79" i="15"/>
  <c r="H79" i="15"/>
  <c r="D79" i="15"/>
  <c r="B79" i="15"/>
  <c r="T78" i="15"/>
  <c r="P78" i="15"/>
  <c r="L78" i="15"/>
  <c r="H78" i="15"/>
  <c r="N78" i="15" s="1"/>
  <c r="D78" i="15"/>
  <c r="B78" i="15"/>
  <c r="T77" i="15"/>
  <c r="P77" i="15"/>
  <c r="X77" i="15" s="1"/>
  <c r="Z77" i="15" s="1"/>
  <c r="H77" i="15"/>
  <c r="D77" i="15"/>
  <c r="B77" i="15"/>
  <c r="T76" i="15"/>
  <c r="P76" i="15"/>
  <c r="H76" i="15"/>
  <c r="D76" i="15"/>
  <c r="B76" i="15"/>
  <c r="Z75" i="15"/>
  <c r="T75" i="15"/>
  <c r="P75" i="15"/>
  <c r="X75" i="15" s="1"/>
  <c r="L75" i="15"/>
  <c r="H75" i="15"/>
  <c r="D75" i="15"/>
  <c r="B75" i="15"/>
  <c r="T74" i="15"/>
  <c r="P74" i="15"/>
  <c r="X74" i="15" s="1"/>
  <c r="Z74" i="15" s="1"/>
  <c r="L74" i="15"/>
  <c r="H74" i="15"/>
  <c r="D74" i="15"/>
  <c r="B74" i="15"/>
  <c r="T73" i="15"/>
  <c r="P73" i="15"/>
  <c r="H73" i="15"/>
  <c r="D73" i="15"/>
  <c r="B73" i="15"/>
  <c r="T72" i="15"/>
  <c r="P72" i="15"/>
  <c r="L72" i="15"/>
  <c r="H72" i="15"/>
  <c r="D72" i="15"/>
  <c r="B72" i="15"/>
  <c r="T71" i="15"/>
  <c r="P71" i="15"/>
  <c r="X71" i="15" s="1"/>
  <c r="Z71" i="15" s="1"/>
  <c r="L71" i="15"/>
  <c r="H71" i="15"/>
  <c r="D71" i="15"/>
  <c r="B71" i="15"/>
  <c r="T70" i="15"/>
  <c r="P70" i="15"/>
  <c r="L70" i="15"/>
  <c r="H70" i="15"/>
  <c r="D70" i="15"/>
  <c r="B70" i="15"/>
  <c r="T69" i="15"/>
  <c r="P69" i="15"/>
  <c r="L69" i="15"/>
  <c r="H69" i="15"/>
  <c r="D69" i="15"/>
  <c r="B69" i="15"/>
  <c r="T68" i="15"/>
  <c r="P68" i="15"/>
  <c r="L68" i="15"/>
  <c r="H68" i="15"/>
  <c r="D68" i="15"/>
  <c r="B68" i="15"/>
  <c r="T67" i="15"/>
  <c r="P67" i="15"/>
  <c r="H67" i="15"/>
  <c r="D67" i="15"/>
  <c r="B67" i="15"/>
  <c r="T66" i="15"/>
  <c r="P66" i="15"/>
  <c r="L66" i="15"/>
  <c r="H66" i="15"/>
  <c r="D66" i="15"/>
  <c r="B66" i="15"/>
  <c r="T65" i="15"/>
  <c r="P65" i="15"/>
  <c r="X65" i="15" s="1"/>
  <c r="Z65" i="15" s="1"/>
  <c r="H65" i="15"/>
  <c r="D65" i="15"/>
  <c r="B65" i="15"/>
  <c r="T64" i="15"/>
  <c r="P64" i="15"/>
  <c r="H64" i="15"/>
  <c r="D64" i="15"/>
  <c r="B64" i="15"/>
  <c r="Z63" i="15"/>
  <c r="T63" i="15"/>
  <c r="P63" i="15"/>
  <c r="X63" i="15" s="1"/>
  <c r="L63" i="15"/>
  <c r="H63" i="15"/>
  <c r="D63" i="15"/>
  <c r="B63" i="15"/>
  <c r="T62" i="15"/>
  <c r="P62" i="15"/>
  <c r="X62" i="15" s="1"/>
  <c r="Z62" i="15" s="1"/>
  <c r="L62" i="15"/>
  <c r="H62" i="15"/>
  <c r="D62" i="15"/>
  <c r="B62" i="15"/>
  <c r="T61" i="15"/>
  <c r="P61" i="15"/>
  <c r="H61" i="15"/>
  <c r="N61" i="15" s="1"/>
  <c r="D61" i="15"/>
  <c r="B61" i="15"/>
  <c r="T60" i="15"/>
  <c r="P60" i="15"/>
  <c r="L60" i="15"/>
  <c r="H60" i="15"/>
  <c r="D60" i="15"/>
  <c r="B60" i="15"/>
  <c r="T59" i="15"/>
  <c r="P59" i="15"/>
  <c r="X59" i="15" s="1"/>
  <c r="Z59" i="15" s="1"/>
  <c r="L59" i="15"/>
  <c r="H59" i="15"/>
  <c r="D59" i="15"/>
  <c r="B59" i="15"/>
  <c r="T58" i="15"/>
  <c r="P58" i="15"/>
  <c r="L58" i="15"/>
  <c r="H58" i="15"/>
  <c r="D58" i="15"/>
  <c r="B58" i="15"/>
  <c r="T57" i="15"/>
  <c r="P57" i="15"/>
  <c r="L57" i="15"/>
  <c r="H57" i="15"/>
  <c r="D57" i="15"/>
  <c r="B57" i="15"/>
  <c r="T56" i="15"/>
  <c r="P56" i="15"/>
  <c r="L56" i="15"/>
  <c r="H56" i="15"/>
  <c r="D56" i="15"/>
  <c r="B56" i="15"/>
  <c r="T55" i="15"/>
  <c r="P55" i="15"/>
  <c r="H55" i="15"/>
  <c r="D55" i="15"/>
  <c r="B55" i="15"/>
  <c r="T54" i="15"/>
  <c r="P54" i="15"/>
  <c r="L54" i="15"/>
  <c r="H54" i="15"/>
  <c r="N54" i="15" s="1"/>
  <c r="D54" i="15"/>
  <c r="B54" i="15"/>
  <c r="T53" i="15"/>
  <c r="P53" i="15"/>
  <c r="X53" i="15" s="1"/>
  <c r="Z53" i="15" s="1"/>
  <c r="H53" i="15"/>
  <c r="D53" i="15"/>
  <c r="B53" i="15"/>
  <c r="T52" i="15"/>
  <c r="P52" i="15"/>
  <c r="H52" i="15"/>
  <c r="N52" i="15" s="1"/>
  <c r="D52" i="15"/>
  <c r="B52" i="15"/>
  <c r="Z51" i="15"/>
  <c r="T51" i="15"/>
  <c r="P51" i="15"/>
  <c r="X51" i="15" s="1"/>
  <c r="L51" i="15"/>
  <c r="H51" i="15"/>
  <c r="D51" i="15"/>
  <c r="B51" i="15"/>
  <c r="T50" i="15"/>
  <c r="P50" i="15"/>
  <c r="X50" i="15" s="1"/>
  <c r="Z50" i="15" s="1"/>
  <c r="H50" i="15"/>
  <c r="D50" i="15"/>
  <c r="B50" i="15"/>
  <c r="T49" i="15"/>
  <c r="P49" i="15"/>
  <c r="L49" i="15"/>
  <c r="H49" i="15"/>
  <c r="N49" i="15" s="1"/>
  <c r="D49" i="15"/>
  <c r="B49" i="15"/>
  <c r="T48" i="15"/>
  <c r="P48" i="15"/>
  <c r="X48" i="15" s="1"/>
  <c r="Z48" i="15" s="1"/>
  <c r="L48" i="15"/>
  <c r="H48" i="15"/>
  <c r="N48" i="15" s="1"/>
  <c r="D48" i="15"/>
  <c r="B48" i="15"/>
  <c r="T47" i="15"/>
  <c r="P47" i="15"/>
  <c r="X47" i="15" s="1"/>
  <c r="Z47" i="15" s="1"/>
  <c r="H47" i="15"/>
  <c r="D47" i="15"/>
  <c r="L47" i="15" s="1"/>
  <c r="B47" i="15"/>
  <c r="Z46" i="15"/>
  <c r="X46" i="15"/>
  <c r="T46" i="15"/>
  <c r="P46" i="15"/>
  <c r="N46" i="15"/>
  <c r="L46" i="15"/>
  <c r="H46" i="15"/>
  <c r="D46" i="15"/>
  <c r="B46" i="15"/>
  <c r="X45" i="15"/>
  <c r="T45" i="15"/>
  <c r="Z45" i="15" s="1"/>
  <c r="P45" i="15"/>
  <c r="H45" i="15"/>
  <c r="D45" i="15"/>
  <c r="L45" i="15" s="1"/>
  <c r="N45" i="15" s="1"/>
  <c r="B45" i="15"/>
  <c r="T44" i="15"/>
  <c r="P44" i="15"/>
  <c r="L44" i="15"/>
  <c r="H44" i="15"/>
  <c r="N44" i="15" s="1"/>
  <c r="D44" i="15"/>
  <c r="B44" i="15"/>
  <c r="T43" i="15"/>
  <c r="P43" i="15"/>
  <c r="X43" i="15" s="1"/>
  <c r="H43" i="15"/>
  <c r="D43" i="15"/>
  <c r="B43" i="15"/>
  <c r="Z42" i="15"/>
  <c r="T42" i="15"/>
  <c r="X42" i="15" s="1"/>
  <c r="P42" i="15"/>
  <c r="H42" i="15"/>
  <c r="D42" i="15"/>
  <c r="B42" i="15"/>
  <c r="T41" i="15"/>
  <c r="P41" i="15"/>
  <c r="X41" i="15" s="1"/>
  <c r="Z41" i="15" s="1"/>
  <c r="L41" i="15"/>
  <c r="N41" i="15" s="1"/>
  <c r="H41" i="15"/>
  <c r="D41" i="15"/>
  <c r="B41" i="15"/>
  <c r="T40" i="15"/>
  <c r="P40" i="15"/>
  <c r="H40" i="15"/>
  <c r="D40" i="15"/>
  <c r="L40" i="15" s="1"/>
  <c r="N40" i="15" s="1"/>
  <c r="B40" i="15"/>
  <c r="Z39" i="15"/>
  <c r="X39" i="15"/>
  <c r="T39" i="15"/>
  <c r="P39" i="15"/>
  <c r="H39" i="15"/>
  <c r="D39" i="15"/>
  <c r="L39" i="15" s="1"/>
  <c r="N39" i="15" s="1"/>
  <c r="B39" i="15"/>
  <c r="X38" i="15"/>
  <c r="T38" i="15"/>
  <c r="P38" i="15"/>
  <c r="H38" i="15"/>
  <c r="D38" i="15"/>
  <c r="L38" i="15" s="1"/>
  <c r="N38" i="15" s="1"/>
  <c r="B38" i="15"/>
  <c r="X37" i="15"/>
  <c r="Z37" i="15" s="1"/>
  <c r="T37" i="15"/>
  <c r="P37" i="15"/>
  <c r="N37" i="15"/>
  <c r="L37" i="15"/>
  <c r="H37" i="15"/>
  <c r="D37" i="15"/>
  <c r="B37" i="15"/>
  <c r="X36" i="15"/>
  <c r="T36" i="15"/>
  <c r="Z36" i="15" s="1"/>
  <c r="P36" i="15"/>
  <c r="H36" i="15"/>
  <c r="D36" i="15"/>
  <c r="L36" i="15" s="1"/>
  <c r="N36" i="15" s="1"/>
  <c r="B36" i="15"/>
  <c r="Z35" i="15"/>
  <c r="X35" i="15"/>
  <c r="T35" i="15"/>
  <c r="P35" i="15"/>
  <c r="H35" i="15"/>
  <c r="D35" i="15"/>
  <c r="L35" i="15" s="1"/>
  <c r="N35" i="15" s="1"/>
  <c r="B35" i="15"/>
  <c r="X34" i="15"/>
  <c r="T34" i="15"/>
  <c r="Z34" i="15" s="1"/>
  <c r="P34" i="15"/>
  <c r="H34" i="15"/>
  <c r="D34" i="15"/>
  <c r="L34" i="15" s="1"/>
  <c r="N34" i="15" s="1"/>
  <c r="B34" i="15"/>
  <c r="X33" i="15"/>
  <c r="Z33" i="15" s="1"/>
  <c r="T33" i="15"/>
  <c r="P33" i="15"/>
  <c r="N33" i="15"/>
  <c r="L33" i="15"/>
  <c r="H33" i="15"/>
  <c r="D33" i="15"/>
  <c r="B33" i="15"/>
  <c r="X32" i="15"/>
  <c r="T32" i="15"/>
  <c r="Z32" i="15" s="1"/>
  <c r="P32" i="15"/>
  <c r="H32" i="15"/>
  <c r="D32" i="15"/>
  <c r="L32" i="15" s="1"/>
  <c r="N32" i="15" s="1"/>
  <c r="B32" i="15"/>
  <c r="Z31" i="15"/>
  <c r="X31" i="15"/>
  <c r="T31" i="15"/>
  <c r="P31" i="15"/>
  <c r="H31" i="15"/>
  <c r="D31" i="15"/>
  <c r="L31" i="15" s="1"/>
  <c r="N31" i="15" s="1"/>
  <c r="B31" i="15"/>
  <c r="X30" i="15"/>
  <c r="T30" i="15"/>
  <c r="P30" i="15"/>
  <c r="H30" i="15"/>
  <c r="D30" i="15"/>
  <c r="L30" i="15" s="1"/>
  <c r="N30" i="15" s="1"/>
  <c r="B30" i="15"/>
  <c r="X29" i="15"/>
  <c r="Z29" i="15" s="1"/>
  <c r="T29" i="15"/>
  <c r="P29" i="15"/>
  <c r="N29" i="15"/>
  <c r="L29" i="15"/>
  <c r="H29" i="15"/>
  <c r="D29" i="15"/>
  <c r="B29" i="15"/>
  <c r="X28" i="15"/>
  <c r="T28" i="15"/>
  <c r="Z28" i="15" s="1"/>
  <c r="P28" i="15"/>
  <c r="H28" i="15"/>
  <c r="D28" i="15"/>
  <c r="L28" i="15" s="1"/>
  <c r="N28" i="15" s="1"/>
  <c r="B28" i="15"/>
  <c r="Z27" i="15"/>
  <c r="X27" i="15"/>
  <c r="T27" i="15"/>
  <c r="P27" i="15"/>
  <c r="H27" i="15"/>
  <c r="D27" i="15"/>
  <c r="L27" i="15" s="1"/>
  <c r="N27" i="15" s="1"/>
  <c r="B27" i="15"/>
  <c r="X26" i="15"/>
  <c r="T26" i="15"/>
  <c r="Z26" i="15" s="1"/>
  <c r="P26" i="15"/>
  <c r="H26" i="15"/>
  <c r="D26" i="15"/>
  <c r="L26" i="15" s="1"/>
  <c r="N26" i="15" s="1"/>
  <c r="B26" i="15"/>
  <c r="X25" i="15"/>
  <c r="T25" i="15"/>
  <c r="Z25" i="15" s="1"/>
  <c r="P25" i="15"/>
  <c r="N25" i="15"/>
  <c r="L25" i="15"/>
  <c r="H25" i="15"/>
  <c r="D25" i="15"/>
  <c r="B25" i="15"/>
  <c r="X24" i="15"/>
  <c r="T24" i="15"/>
  <c r="Z24" i="15" s="1"/>
  <c r="P24" i="15"/>
  <c r="H24" i="15"/>
  <c r="D24" i="15"/>
  <c r="L24" i="15" s="1"/>
  <c r="N24" i="15" s="1"/>
  <c r="B24" i="15"/>
  <c r="Z23" i="15"/>
  <c r="X23" i="15"/>
  <c r="T23" i="15"/>
  <c r="P23" i="15"/>
  <c r="H23" i="15"/>
  <c r="D23" i="15"/>
  <c r="L23" i="15" s="1"/>
  <c r="N23" i="15" s="1"/>
  <c r="B23" i="15"/>
  <c r="X22" i="15"/>
  <c r="T22" i="15"/>
  <c r="P22" i="15"/>
  <c r="N22" i="15"/>
  <c r="H22" i="15"/>
  <c r="D22" i="15"/>
  <c r="L22" i="15" s="1"/>
  <c r="B22" i="15"/>
  <c r="X21" i="15"/>
  <c r="T21" i="15"/>
  <c r="Z21" i="15" s="1"/>
  <c r="P21" i="15"/>
  <c r="N21" i="15"/>
  <c r="L21" i="15"/>
  <c r="H21" i="15"/>
  <c r="D21" i="15"/>
  <c r="B21" i="15"/>
  <c r="X20" i="15"/>
  <c r="T20" i="15"/>
  <c r="Z20" i="15" s="1"/>
  <c r="P20" i="15"/>
  <c r="H20" i="15"/>
  <c r="D20" i="15"/>
  <c r="L20" i="15" s="1"/>
  <c r="N20" i="15" s="1"/>
  <c r="B20" i="15"/>
  <c r="Z19" i="15"/>
  <c r="X19" i="15"/>
  <c r="T19" i="15"/>
  <c r="P19" i="15"/>
  <c r="H19" i="15"/>
  <c r="D19" i="15"/>
  <c r="L19" i="15" s="1"/>
  <c r="N19" i="15" s="1"/>
  <c r="B19" i="15"/>
  <c r="X18" i="15"/>
  <c r="T18" i="15"/>
  <c r="P18" i="15"/>
  <c r="H18" i="15"/>
  <c r="D18" i="15"/>
  <c r="L18" i="15" s="1"/>
  <c r="N18" i="15" s="1"/>
  <c r="B18" i="15"/>
  <c r="X17" i="15"/>
  <c r="T17" i="15"/>
  <c r="Z17" i="15" s="1"/>
  <c r="P17" i="15"/>
  <c r="N17" i="15"/>
  <c r="L17" i="15"/>
  <c r="H17" i="15"/>
  <c r="D17" i="15"/>
  <c r="B17" i="15"/>
  <c r="X16" i="15"/>
  <c r="T16" i="15"/>
  <c r="Z16" i="15" s="1"/>
  <c r="P16" i="15"/>
  <c r="H16" i="15"/>
  <c r="D16" i="15"/>
  <c r="L16" i="15" s="1"/>
  <c r="N16" i="15" s="1"/>
  <c r="B16" i="15"/>
  <c r="Z15" i="15"/>
  <c r="X15" i="15"/>
  <c r="T15" i="15"/>
  <c r="P15" i="15"/>
  <c r="N15" i="15"/>
  <c r="H15" i="15"/>
  <c r="D15" i="15"/>
  <c r="L15" i="15" s="1"/>
  <c r="B15" i="15"/>
  <c r="X14" i="15"/>
  <c r="T14" i="15"/>
  <c r="P14" i="15"/>
  <c r="H14" i="15"/>
  <c r="D14" i="15"/>
  <c r="L14" i="15" s="1"/>
  <c r="N14" i="15" s="1"/>
  <c r="B14" i="15"/>
  <c r="X13" i="15"/>
  <c r="T13" i="15"/>
  <c r="Z13" i="15" s="1"/>
  <c r="P13" i="15"/>
  <c r="N13" i="15"/>
  <c r="L13" i="15"/>
  <c r="H13" i="15"/>
  <c r="D13" i="15"/>
  <c r="B13" i="15"/>
  <c r="D4" i="15"/>
  <c r="Z268" i="12"/>
  <c r="X268" i="12"/>
  <c r="L268" i="12"/>
  <c r="N268" i="12" s="1"/>
  <c r="Z264" i="12"/>
  <c r="X264" i="12"/>
  <c r="T264" i="12"/>
  <c r="P264" i="12"/>
  <c r="N264" i="12"/>
  <c r="H264" i="12"/>
  <c r="L264" i="12" s="1"/>
  <c r="D264" i="12"/>
  <c r="B264" i="12"/>
  <c r="T263" i="12"/>
  <c r="P263" i="12"/>
  <c r="X263" i="12" s="1"/>
  <c r="Z263" i="12" s="1"/>
  <c r="N263" i="12"/>
  <c r="H263" i="12"/>
  <c r="D263" i="12"/>
  <c r="L263" i="12" s="1"/>
  <c r="B263" i="12"/>
  <c r="Z262" i="12"/>
  <c r="T262" i="12"/>
  <c r="P262" i="12"/>
  <c r="X262" i="12" s="1"/>
  <c r="N262" i="12"/>
  <c r="L262" i="12"/>
  <c r="H262" i="12"/>
  <c r="D262" i="12"/>
  <c r="B262" i="12"/>
  <c r="T261" i="12"/>
  <c r="P261" i="12"/>
  <c r="H261" i="12"/>
  <c r="D261" i="12"/>
  <c r="L261" i="12" s="1"/>
  <c r="B261" i="12"/>
  <c r="T260" i="12"/>
  <c r="Z260" i="12" s="1"/>
  <c r="P260" i="12"/>
  <c r="X260" i="12" s="1"/>
  <c r="H260" i="12"/>
  <c r="N260" i="12" s="1"/>
  <c r="D260" i="12"/>
  <c r="L260" i="12" s="1"/>
  <c r="B260" i="12"/>
  <c r="X259" i="12"/>
  <c r="T259" i="12"/>
  <c r="Z259" i="12" s="1"/>
  <c r="P259" i="12"/>
  <c r="L259" i="12"/>
  <c r="H259" i="12"/>
  <c r="N259" i="12" s="1"/>
  <c r="D259" i="12"/>
  <c r="B259" i="12"/>
  <c r="T258" i="12"/>
  <c r="X258" i="12" s="1"/>
  <c r="Z258" i="12" s="1"/>
  <c r="P258" i="12"/>
  <c r="N258" i="12"/>
  <c r="L258" i="12"/>
  <c r="H258" i="12"/>
  <c r="D258" i="12"/>
  <c r="B258" i="12"/>
  <c r="T257" i="12"/>
  <c r="P257" i="12"/>
  <c r="X257" i="12" s="1"/>
  <c r="Z257" i="12" s="1"/>
  <c r="N257" i="12"/>
  <c r="H257" i="12"/>
  <c r="D257" i="12"/>
  <c r="L257" i="12" s="1"/>
  <c r="B257" i="12"/>
  <c r="X256" i="12"/>
  <c r="Z256" i="12" s="1"/>
  <c r="T256" i="12"/>
  <c r="P256" i="12"/>
  <c r="H256" i="12"/>
  <c r="D256" i="12"/>
  <c r="L256" i="12" s="1"/>
  <c r="N256" i="12" s="1"/>
  <c r="B256" i="12"/>
  <c r="T255" i="12"/>
  <c r="Z253" i="12"/>
  <c r="X253" i="12"/>
  <c r="N253" i="12"/>
  <c r="L253" i="12"/>
  <c r="B253" i="12"/>
  <c r="T252" i="12"/>
  <c r="X252" i="12" s="1"/>
  <c r="Z252" i="12" s="1"/>
  <c r="P252" i="12"/>
  <c r="N252" i="12"/>
  <c r="L252" i="12"/>
  <c r="H252" i="12"/>
  <c r="D252" i="12"/>
  <c r="B252" i="12"/>
  <c r="Z251" i="12"/>
  <c r="X251" i="12"/>
  <c r="L251" i="12"/>
  <c r="N251" i="12" s="1"/>
  <c r="B251" i="12"/>
  <c r="Z250" i="12"/>
  <c r="X250" i="12"/>
  <c r="L250" i="12"/>
  <c r="N250" i="12" s="1"/>
  <c r="B250" i="12"/>
  <c r="Z249" i="12"/>
  <c r="X249" i="12"/>
  <c r="L249" i="12"/>
  <c r="N249" i="12" s="1"/>
  <c r="B249" i="12"/>
  <c r="T248" i="12"/>
  <c r="Z248" i="12" s="1"/>
  <c r="P248" i="12"/>
  <c r="X248" i="12" s="1"/>
  <c r="H248" i="12"/>
  <c r="N248" i="12" s="1"/>
  <c r="D248" i="12"/>
  <c r="L248" i="12" s="1"/>
  <c r="B248" i="12"/>
  <c r="X247" i="12"/>
  <c r="Z247" i="12" s="1"/>
  <c r="N247" i="12"/>
  <c r="L247" i="12"/>
  <c r="B247" i="12"/>
  <c r="X246" i="12"/>
  <c r="Z246" i="12" s="1"/>
  <c r="T246" i="12"/>
  <c r="P246" i="12"/>
  <c r="H246" i="12"/>
  <c r="D246" i="12"/>
  <c r="L246" i="12" s="1"/>
  <c r="N246" i="12" s="1"/>
  <c r="B246" i="12"/>
  <c r="Z245" i="12"/>
  <c r="X245" i="12"/>
  <c r="N245" i="12"/>
  <c r="L245" i="12"/>
  <c r="B245" i="12"/>
  <c r="Z244" i="12"/>
  <c r="X244" i="12"/>
  <c r="N244" i="12"/>
  <c r="L244" i="12"/>
  <c r="B244" i="12"/>
  <c r="T243" i="12"/>
  <c r="Z243" i="12" s="1"/>
  <c r="P243" i="12"/>
  <c r="X243" i="12" s="1"/>
  <c r="H243" i="12"/>
  <c r="D243" i="12"/>
  <c r="B243" i="12"/>
  <c r="Z242" i="12"/>
  <c r="X242" i="12"/>
  <c r="L242" i="12"/>
  <c r="N242" i="12" s="1"/>
  <c r="B242" i="12"/>
  <c r="Z241" i="12"/>
  <c r="X241" i="12"/>
  <c r="L241" i="12"/>
  <c r="N241" i="12" s="1"/>
  <c r="B241" i="12"/>
  <c r="Z240" i="12"/>
  <c r="X240" i="12"/>
  <c r="L240" i="12"/>
  <c r="N240" i="12" s="1"/>
  <c r="B240" i="12"/>
  <c r="Z239" i="12"/>
  <c r="X239" i="12"/>
  <c r="L239" i="12"/>
  <c r="N239" i="12" s="1"/>
  <c r="B239" i="12"/>
  <c r="Z238" i="12"/>
  <c r="X238" i="12"/>
  <c r="L238" i="12"/>
  <c r="N238" i="12" s="1"/>
  <c r="B238" i="12"/>
  <c r="Z237" i="12"/>
  <c r="X237" i="12"/>
  <c r="L237" i="12"/>
  <c r="N237" i="12" s="1"/>
  <c r="B237" i="12"/>
  <c r="Z236" i="12"/>
  <c r="X236" i="12"/>
  <c r="L236" i="12"/>
  <c r="N236" i="12" s="1"/>
  <c r="B236" i="12"/>
  <c r="T235" i="12"/>
  <c r="P235" i="12"/>
  <c r="X235" i="12" s="1"/>
  <c r="Z235" i="12" s="1"/>
  <c r="H235" i="12"/>
  <c r="D235" i="12"/>
  <c r="L235" i="12" s="1"/>
  <c r="N235" i="12" s="1"/>
  <c r="B235" i="12"/>
  <c r="X234" i="12"/>
  <c r="Z234" i="12" s="1"/>
  <c r="N234" i="12"/>
  <c r="L234" i="12"/>
  <c r="B234" i="12"/>
  <c r="X233" i="12"/>
  <c r="Z233" i="12" s="1"/>
  <c r="N233" i="12"/>
  <c r="L233" i="12"/>
  <c r="B233" i="12"/>
  <c r="T232" i="12"/>
  <c r="P232" i="12"/>
  <c r="X232" i="12" s="1"/>
  <c r="Z232" i="12" s="1"/>
  <c r="L232" i="12"/>
  <c r="N232" i="12" s="1"/>
  <c r="H232" i="12"/>
  <c r="D232" i="12"/>
  <c r="B232" i="12"/>
  <c r="Z231" i="12"/>
  <c r="X231" i="12"/>
  <c r="N231" i="12"/>
  <c r="L231" i="12"/>
  <c r="B231" i="12"/>
  <c r="Z230" i="12"/>
  <c r="X230" i="12"/>
  <c r="N230" i="12"/>
  <c r="L230" i="12"/>
  <c r="B230" i="12"/>
  <c r="Z229" i="12"/>
  <c r="X229" i="12"/>
  <c r="N229" i="12"/>
  <c r="L229" i="12"/>
  <c r="B229" i="12"/>
  <c r="Z228" i="12"/>
  <c r="X228" i="12"/>
  <c r="N228" i="12"/>
  <c r="L228" i="12"/>
  <c r="J228" i="12"/>
  <c r="B228" i="12"/>
  <c r="Z227" i="12"/>
  <c r="X227" i="12"/>
  <c r="N227" i="12"/>
  <c r="L227" i="12"/>
  <c r="B227" i="12"/>
  <c r="Z226" i="12"/>
  <c r="X226" i="12"/>
  <c r="T226" i="12"/>
  <c r="P226" i="12"/>
  <c r="H226" i="12"/>
  <c r="L226" i="12" s="1"/>
  <c r="N226" i="12" s="1"/>
  <c r="D226" i="12"/>
  <c r="B226" i="12"/>
  <c r="Z225" i="12"/>
  <c r="X225" i="12"/>
  <c r="L225" i="12"/>
  <c r="N225" i="12" s="1"/>
  <c r="B225" i="12"/>
  <c r="Z224" i="12"/>
  <c r="X224" i="12"/>
  <c r="L224" i="12"/>
  <c r="N224" i="12" s="1"/>
  <c r="B224" i="12"/>
  <c r="Z223" i="12"/>
  <c r="X223" i="12"/>
  <c r="N223" i="12"/>
  <c r="L223" i="12"/>
  <c r="B223" i="12"/>
  <c r="T222" i="12"/>
  <c r="Z222" i="12" s="1"/>
  <c r="P222" i="12"/>
  <c r="X222" i="12" s="1"/>
  <c r="H222" i="12"/>
  <c r="D222" i="12"/>
  <c r="L222" i="12" s="1"/>
  <c r="B222" i="12"/>
  <c r="X221" i="12"/>
  <c r="Z221" i="12" s="1"/>
  <c r="N221" i="12"/>
  <c r="L221" i="12"/>
  <c r="B221" i="12"/>
  <c r="X220" i="12"/>
  <c r="Z220" i="12" s="1"/>
  <c r="N220" i="12"/>
  <c r="L220" i="12"/>
  <c r="B220" i="12"/>
  <c r="X219" i="12"/>
  <c r="Z219" i="12" s="1"/>
  <c r="N219" i="12"/>
  <c r="L219" i="12"/>
  <c r="B219" i="12"/>
  <c r="X218" i="12"/>
  <c r="Z218" i="12" s="1"/>
  <c r="T218" i="12"/>
  <c r="P218" i="12"/>
  <c r="H218" i="12"/>
  <c r="D218" i="12"/>
  <c r="L218" i="12" s="1"/>
  <c r="N218" i="12" s="1"/>
  <c r="B218" i="12"/>
  <c r="Z217" i="12"/>
  <c r="X217" i="12"/>
  <c r="N217" i="12"/>
  <c r="L217" i="12"/>
  <c r="B217" i="12"/>
  <c r="T216" i="12"/>
  <c r="X216" i="12" s="1"/>
  <c r="Z216" i="12" s="1"/>
  <c r="P216" i="12"/>
  <c r="N216" i="12"/>
  <c r="L216" i="12"/>
  <c r="H216" i="12"/>
  <c r="D216" i="12"/>
  <c r="B216" i="12"/>
  <c r="Z215" i="12"/>
  <c r="X215" i="12"/>
  <c r="N215" i="12"/>
  <c r="L215" i="12"/>
  <c r="B215" i="12"/>
  <c r="T214" i="12"/>
  <c r="Z214" i="12" s="1"/>
  <c r="P214" i="12"/>
  <c r="X214" i="12" s="1"/>
  <c r="H214" i="12"/>
  <c r="N214" i="12" s="1"/>
  <c r="D214" i="12"/>
  <c r="L214" i="12" s="1"/>
  <c r="B214" i="12"/>
  <c r="X213" i="12"/>
  <c r="Z213" i="12" s="1"/>
  <c r="N213" i="12"/>
  <c r="L213" i="12"/>
  <c r="B213" i="12"/>
  <c r="T212" i="12"/>
  <c r="P212" i="12"/>
  <c r="X212" i="12" s="1"/>
  <c r="Z212" i="12" s="1"/>
  <c r="L212" i="12"/>
  <c r="N212" i="12" s="1"/>
  <c r="H212" i="12"/>
  <c r="D212" i="12"/>
  <c r="B212" i="12"/>
  <c r="Z211" i="12"/>
  <c r="X211" i="12"/>
  <c r="N211" i="12"/>
  <c r="L211" i="12"/>
  <c r="B211" i="12"/>
  <c r="Z210" i="12"/>
  <c r="X210" i="12"/>
  <c r="T210" i="12"/>
  <c r="P210" i="12"/>
  <c r="N210" i="12"/>
  <c r="H210" i="12"/>
  <c r="L210" i="12" s="1"/>
  <c r="D210" i="12"/>
  <c r="B210" i="12"/>
  <c r="Z209" i="12"/>
  <c r="X209" i="12"/>
  <c r="L209" i="12"/>
  <c r="N209" i="12" s="1"/>
  <c r="B209" i="12"/>
  <c r="T208" i="12"/>
  <c r="P208" i="12"/>
  <c r="X208" i="12" s="1"/>
  <c r="H208" i="12"/>
  <c r="N208" i="12" s="1"/>
  <c r="D208" i="12"/>
  <c r="L208" i="12" s="1"/>
  <c r="B208" i="12"/>
  <c r="X207" i="12"/>
  <c r="Z207" i="12" s="1"/>
  <c r="N207" i="12"/>
  <c r="L207" i="12"/>
  <c r="B207" i="12"/>
  <c r="X206" i="12"/>
  <c r="Z206" i="12" s="1"/>
  <c r="T206" i="12"/>
  <c r="P206" i="12"/>
  <c r="H206" i="12"/>
  <c r="D206" i="12"/>
  <c r="L206" i="12" s="1"/>
  <c r="N206" i="12" s="1"/>
  <c r="B206" i="12"/>
  <c r="Z205" i="12"/>
  <c r="X205" i="12"/>
  <c r="N205" i="12"/>
  <c r="L205" i="12"/>
  <c r="B205" i="12"/>
  <c r="Z204" i="12"/>
  <c r="X204" i="12"/>
  <c r="N204" i="12"/>
  <c r="L204" i="12"/>
  <c r="B204" i="12"/>
  <c r="T203" i="12"/>
  <c r="P203" i="12"/>
  <c r="H203" i="12"/>
  <c r="D203" i="12"/>
  <c r="B203" i="12"/>
  <c r="Z202" i="12"/>
  <c r="X202" i="12"/>
  <c r="L202" i="12"/>
  <c r="N202" i="12" s="1"/>
  <c r="B202" i="12"/>
  <c r="T201" i="12"/>
  <c r="P201" i="12"/>
  <c r="X201" i="12" s="1"/>
  <c r="Z201" i="12" s="1"/>
  <c r="H201" i="12"/>
  <c r="D201" i="12"/>
  <c r="L201" i="12" s="1"/>
  <c r="N201" i="12" s="1"/>
  <c r="B201" i="12"/>
  <c r="X200" i="12"/>
  <c r="Z200" i="12" s="1"/>
  <c r="N200" i="12"/>
  <c r="L200" i="12"/>
  <c r="B200" i="12"/>
  <c r="X199" i="12"/>
  <c r="T199" i="12"/>
  <c r="Z199" i="12" s="1"/>
  <c r="P199" i="12"/>
  <c r="L199" i="12"/>
  <c r="H199" i="12"/>
  <c r="D199" i="12"/>
  <c r="B199" i="12"/>
  <c r="Z198" i="12"/>
  <c r="X198" i="12"/>
  <c r="N198" i="12"/>
  <c r="L198" i="12"/>
  <c r="B198" i="12"/>
  <c r="T197" i="12"/>
  <c r="P197" i="12"/>
  <c r="H197" i="12"/>
  <c r="D197" i="12"/>
  <c r="B197" i="12"/>
  <c r="Z196" i="12"/>
  <c r="X196" i="12"/>
  <c r="L196" i="12"/>
  <c r="N196" i="12" s="1"/>
  <c r="B196" i="12"/>
  <c r="Z195" i="12"/>
  <c r="X195" i="12"/>
  <c r="L195" i="12"/>
  <c r="N195" i="12" s="1"/>
  <c r="B195" i="12"/>
  <c r="T194" i="12"/>
  <c r="P194" i="12"/>
  <c r="X194" i="12" s="1"/>
  <c r="H194" i="12"/>
  <c r="N194" i="12" s="1"/>
  <c r="D194" i="12"/>
  <c r="L194" i="12" s="1"/>
  <c r="B194" i="12"/>
  <c r="X193" i="12"/>
  <c r="Z193" i="12" s="1"/>
  <c r="N193" i="12"/>
  <c r="L193" i="12"/>
  <c r="B193" i="12"/>
  <c r="X192" i="12"/>
  <c r="Z192" i="12" s="1"/>
  <c r="N192" i="12"/>
  <c r="L192" i="12"/>
  <c r="B192" i="12"/>
  <c r="X191" i="12"/>
  <c r="T191" i="12"/>
  <c r="P191" i="12"/>
  <c r="L191" i="12"/>
  <c r="H191" i="12"/>
  <c r="N191" i="12" s="1"/>
  <c r="D191" i="12"/>
  <c r="B191" i="12"/>
  <c r="Z190" i="12"/>
  <c r="X190" i="12"/>
  <c r="N190" i="12"/>
  <c r="L190" i="12"/>
  <c r="B190" i="12"/>
  <c r="T189" i="12"/>
  <c r="P189" i="12"/>
  <c r="H189" i="12"/>
  <c r="D189" i="12"/>
  <c r="L189" i="12" s="1"/>
  <c r="B189" i="12"/>
  <c r="Z188" i="12"/>
  <c r="X188" i="12"/>
  <c r="N188" i="12"/>
  <c r="L188" i="12"/>
  <c r="B188" i="12"/>
  <c r="X187" i="12"/>
  <c r="Z187" i="12" s="1"/>
  <c r="L187" i="12"/>
  <c r="N187" i="12" s="1"/>
  <c r="B187" i="12"/>
  <c r="T186" i="12"/>
  <c r="Z186" i="12" s="1"/>
  <c r="P186" i="12"/>
  <c r="X186" i="12" s="1"/>
  <c r="H186" i="12"/>
  <c r="D186" i="12"/>
  <c r="L186" i="12" s="1"/>
  <c r="B186" i="12"/>
  <c r="X185" i="12"/>
  <c r="Z185" i="12" s="1"/>
  <c r="N185" i="12"/>
  <c r="L185" i="12"/>
  <c r="B185" i="12"/>
  <c r="T184" i="12"/>
  <c r="P184" i="12"/>
  <c r="X184" i="12" s="1"/>
  <c r="Z184" i="12" s="1"/>
  <c r="L184" i="12"/>
  <c r="N184" i="12" s="1"/>
  <c r="H184" i="12"/>
  <c r="D184" i="12"/>
  <c r="B184" i="12"/>
  <c r="Z183" i="12"/>
  <c r="X183" i="12"/>
  <c r="L183" i="12"/>
  <c r="N183" i="12" s="1"/>
  <c r="B183" i="12"/>
  <c r="Z182" i="12"/>
  <c r="X182" i="12"/>
  <c r="N182" i="12"/>
  <c r="L182" i="12"/>
  <c r="B182" i="12"/>
  <c r="Z181" i="12"/>
  <c r="X181" i="12"/>
  <c r="N181" i="12"/>
  <c r="L181" i="12"/>
  <c r="B181" i="12"/>
  <c r="Z180" i="12"/>
  <c r="X180" i="12"/>
  <c r="N180" i="12"/>
  <c r="L180" i="12"/>
  <c r="B180" i="12"/>
  <c r="Z179" i="12"/>
  <c r="X179" i="12"/>
  <c r="L179" i="12"/>
  <c r="N179" i="12" s="1"/>
  <c r="B179" i="12"/>
  <c r="Z178" i="12"/>
  <c r="X178" i="12"/>
  <c r="N178" i="12"/>
  <c r="L178" i="12"/>
  <c r="B178" i="12"/>
  <c r="Z177" i="12"/>
  <c r="X177" i="12"/>
  <c r="N177" i="12"/>
  <c r="L177" i="12"/>
  <c r="B177" i="12"/>
  <c r="T176" i="12"/>
  <c r="X176" i="12" s="1"/>
  <c r="Z176" i="12" s="1"/>
  <c r="P176" i="12"/>
  <c r="N176" i="12"/>
  <c r="L176" i="12"/>
  <c r="H176" i="12"/>
  <c r="D176" i="12"/>
  <c r="B176" i="12"/>
  <c r="X175" i="12"/>
  <c r="Z175" i="12" s="1"/>
  <c r="L175" i="12"/>
  <c r="N175" i="12" s="1"/>
  <c r="B175" i="12"/>
  <c r="Z174" i="12"/>
  <c r="X174" i="12"/>
  <c r="L174" i="12"/>
  <c r="N174" i="12" s="1"/>
  <c r="B174" i="12"/>
  <c r="Z173" i="12"/>
  <c r="X173" i="12"/>
  <c r="L173" i="12"/>
  <c r="N173" i="12" s="1"/>
  <c r="B173" i="12"/>
  <c r="Z172" i="12"/>
  <c r="X172" i="12"/>
  <c r="L172" i="12"/>
  <c r="N172" i="12" s="1"/>
  <c r="B172" i="12"/>
  <c r="X171" i="12"/>
  <c r="Z171" i="12" s="1"/>
  <c r="L171" i="12"/>
  <c r="N171" i="12" s="1"/>
  <c r="B171" i="12"/>
  <c r="Z170" i="12"/>
  <c r="X170" i="12"/>
  <c r="L170" i="12"/>
  <c r="N170" i="12" s="1"/>
  <c r="B170" i="12"/>
  <c r="Z169" i="12"/>
  <c r="X169" i="12"/>
  <c r="L169" i="12"/>
  <c r="N169" i="12" s="1"/>
  <c r="B169" i="12"/>
  <c r="Z168" i="12"/>
  <c r="X168" i="12"/>
  <c r="L168" i="12"/>
  <c r="N168" i="12" s="1"/>
  <c r="B168" i="12"/>
  <c r="X167" i="12"/>
  <c r="Z167" i="12" s="1"/>
  <c r="L167" i="12"/>
  <c r="N167" i="12" s="1"/>
  <c r="B167" i="12"/>
  <c r="T166" i="12"/>
  <c r="Z166" i="12" s="1"/>
  <c r="P166" i="12"/>
  <c r="X166" i="12" s="1"/>
  <c r="H166" i="12"/>
  <c r="N166" i="12" s="1"/>
  <c r="D166" i="12"/>
  <c r="L166" i="12" s="1"/>
  <c r="B166" i="12"/>
  <c r="X165" i="12"/>
  <c r="T165" i="12"/>
  <c r="Z165" i="12" s="1"/>
  <c r="P165" i="12"/>
  <c r="L165" i="12"/>
  <c r="H165" i="12"/>
  <c r="D165" i="12"/>
  <c r="X161" i="12"/>
  <c r="Z161" i="12" s="1"/>
  <c r="N161" i="12"/>
  <c r="L161" i="12"/>
  <c r="B161" i="12"/>
  <c r="X160" i="12"/>
  <c r="Z160" i="12" s="1"/>
  <c r="N160" i="12"/>
  <c r="L160" i="12"/>
  <c r="B160" i="12"/>
  <c r="X159" i="12"/>
  <c r="Z159" i="12" s="1"/>
  <c r="N159" i="12"/>
  <c r="L159" i="12"/>
  <c r="B159" i="12"/>
  <c r="X158" i="12"/>
  <c r="Z158" i="12" s="1"/>
  <c r="N158" i="12"/>
  <c r="L158" i="12"/>
  <c r="B158" i="12"/>
  <c r="X157" i="12"/>
  <c r="Z157" i="12" s="1"/>
  <c r="N157" i="12"/>
  <c r="L157" i="12"/>
  <c r="B157" i="12"/>
  <c r="X156" i="12"/>
  <c r="Z156" i="12" s="1"/>
  <c r="N156" i="12"/>
  <c r="L156" i="12"/>
  <c r="B156" i="12"/>
  <c r="X155" i="12"/>
  <c r="Z155" i="12" s="1"/>
  <c r="N155" i="12"/>
  <c r="L155" i="12"/>
  <c r="B155" i="12"/>
  <c r="X154" i="12"/>
  <c r="Z154" i="12" s="1"/>
  <c r="N154" i="12"/>
  <c r="L154" i="12"/>
  <c r="B154" i="12"/>
  <c r="X153" i="12"/>
  <c r="Z153" i="12" s="1"/>
  <c r="N153" i="12"/>
  <c r="L153" i="12"/>
  <c r="B153" i="12"/>
  <c r="X152" i="12"/>
  <c r="Z152" i="12" s="1"/>
  <c r="N152" i="12"/>
  <c r="L152" i="12"/>
  <c r="B152" i="12"/>
  <c r="X151" i="12"/>
  <c r="Z151" i="12" s="1"/>
  <c r="N151" i="12"/>
  <c r="L151" i="12"/>
  <c r="B151" i="12"/>
  <c r="Z150" i="12"/>
  <c r="X150" i="12"/>
  <c r="N150" i="12"/>
  <c r="L150" i="12"/>
  <c r="B150" i="12"/>
  <c r="X149" i="12"/>
  <c r="Z149" i="12" s="1"/>
  <c r="N149" i="12"/>
  <c r="L149" i="12"/>
  <c r="B149" i="12"/>
  <c r="X148" i="12"/>
  <c r="Z148" i="12" s="1"/>
  <c r="N148" i="12"/>
  <c r="L148" i="12"/>
  <c r="B148" i="12"/>
  <c r="X147" i="12"/>
  <c r="Z147" i="12" s="1"/>
  <c r="L147" i="12"/>
  <c r="N147" i="12" s="1"/>
  <c r="B147" i="12"/>
  <c r="X146" i="12"/>
  <c r="Z146" i="12" s="1"/>
  <c r="N146" i="12"/>
  <c r="L146" i="12"/>
  <c r="B146" i="12"/>
  <c r="Z145" i="12"/>
  <c r="X145" i="12"/>
  <c r="N145" i="12"/>
  <c r="L145" i="12"/>
  <c r="B145" i="12"/>
  <c r="X144" i="12"/>
  <c r="Z144" i="12" s="1"/>
  <c r="N144" i="12"/>
  <c r="L144" i="12"/>
  <c r="B144" i="12"/>
  <c r="X143" i="12"/>
  <c r="Z143" i="12" s="1"/>
  <c r="L143" i="12"/>
  <c r="N143" i="12" s="1"/>
  <c r="B143" i="12"/>
  <c r="Z142" i="12"/>
  <c r="X142" i="12"/>
  <c r="N142" i="12"/>
  <c r="L142" i="12"/>
  <c r="B142" i="12"/>
  <c r="X141" i="12"/>
  <c r="Z141" i="12" s="1"/>
  <c r="N141" i="12"/>
  <c r="L141" i="12"/>
  <c r="B141" i="12"/>
  <c r="X140" i="12"/>
  <c r="Z140" i="12" s="1"/>
  <c r="N140" i="12"/>
  <c r="L140" i="12"/>
  <c r="B140" i="12"/>
  <c r="X139" i="12"/>
  <c r="Z139" i="12" s="1"/>
  <c r="L139" i="12"/>
  <c r="N139" i="12" s="1"/>
  <c r="B139" i="12"/>
  <c r="X138" i="12"/>
  <c r="Z138" i="12" s="1"/>
  <c r="N138" i="12"/>
  <c r="L138" i="12"/>
  <c r="B138" i="12"/>
  <c r="X137" i="12"/>
  <c r="Z137" i="12" s="1"/>
  <c r="N137" i="12"/>
  <c r="L137" i="12"/>
  <c r="B137" i="12"/>
  <c r="X136" i="12"/>
  <c r="Z136" i="12" s="1"/>
  <c r="N136" i="12"/>
  <c r="L136" i="12"/>
  <c r="B136" i="12"/>
  <c r="X135" i="12"/>
  <c r="Z135" i="12" s="1"/>
  <c r="L135" i="12"/>
  <c r="N135" i="12" s="1"/>
  <c r="B135" i="12"/>
  <c r="X134" i="12"/>
  <c r="Z134" i="12" s="1"/>
  <c r="N134" i="12"/>
  <c r="L134" i="12"/>
  <c r="B134" i="12"/>
  <c r="X133" i="12"/>
  <c r="Z133" i="12" s="1"/>
  <c r="N133" i="12"/>
  <c r="L133" i="12"/>
  <c r="B133" i="12"/>
  <c r="X132" i="12"/>
  <c r="Z132" i="12" s="1"/>
  <c r="N132" i="12"/>
  <c r="L132" i="12"/>
  <c r="B132" i="12"/>
  <c r="X131" i="12"/>
  <c r="Z131" i="12" s="1"/>
  <c r="L131" i="12"/>
  <c r="N131" i="12" s="1"/>
  <c r="B131" i="12"/>
  <c r="X130" i="12"/>
  <c r="Z130" i="12" s="1"/>
  <c r="N130" i="12"/>
  <c r="L130" i="12"/>
  <c r="B130" i="12"/>
  <c r="X129" i="12"/>
  <c r="Z129" i="12" s="1"/>
  <c r="N129" i="12"/>
  <c r="L129" i="12"/>
  <c r="B129" i="12"/>
  <c r="X128" i="12"/>
  <c r="Z128" i="12" s="1"/>
  <c r="N128" i="12"/>
  <c r="L128" i="12"/>
  <c r="B128" i="12"/>
  <c r="X127" i="12"/>
  <c r="Z127" i="12" s="1"/>
  <c r="L127" i="12"/>
  <c r="N127" i="12" s="1"/>
  <c r="B127" i="12"/>
  <c r="X126" i="12"/>
  <c r="Z126" i="12" s="1"/>
  <c r="N126" i="12"/>
  <c r="L126" i="12"/>
  <c r="B126" i="12"/>
  <c r="X125" i="12"/>
  <c r="Z125" i="12" s="1"/>
  <c r="N125" i="12"/>
  <c r="L125" i="12"/>
  <c r="B125" i="12"/>
  <c r="X124" i="12"/>
  <c r="Z124" i="12" s="1"/>
  <c r="N124" i="12"/>
  <c r="L124" i="12"/>
  <c r="B124" i="12"/>
  <c r="X123" i="12"/>
  <c r="Z123" i="12" s="1"/>
  <c r="L123" i="12"/>
  <c r="N123" i="12" s="1"/>
  <c r="B123" i="12"/>
  <c r="X122" i="12"/>
  <c r="Z122" i="12" s="1"/>
  <c r="N122" i="12"/>
  <c r="L122" i="12"/>
  <c r="B122" i="12"/>
  <c r="X121" i="12"/>
  <c r="Z121" i="12" s="1"/>
  <c r="N121" i="12"/>
  <c r="L121" i="12"/>
  <c r="B121" i="12"/>
  <c r="X120" i="12"/>
  <c r="Z120" i="12" s="1"/>
  <c r="N120" i="12"/>
  <c r="L120" i="12"/>
  <c r="B120" i="12"/>
  <c r="X119" i="12"/>
  <c r="Z119" i="12" s="1"/>
  <c r="L119" i="12"/>
  <c r="N119" i="12" s="1"/>
  <c r="B119" i="12"/>
  <c r="X118" i="12"/>
  <c r="Z118" i="12" s="1"/>
  <c r="N118" i="12"/>
  <c r="L118" i="12"/>
  <c r="B118" i="12"/>
  <c r="X117" i="12"/>
  <c r="Z117" i="12" s="1"/>
  <c r="N117" i="12"/>
  <c r="L117" i="12"/>
  <c r="B117" i="12"/>
  <c r="X116" i="12"/>
  <c r="Z116" i="12" s="1"/>
  <c r="N116" i="12"/>
  <c r="L116" i="12"/>
  <c r="B116" i="12"/>
  <c r="X115" i="12"/>
  <c r="Z115" i="12" s="1"/>
  <c r="L115" i="12"/>
  <c r="N115" i="12" s="1"/>
  <c r="B115" i="12"/>
  <c r="X114" i="12"/>
  <c r="Z114" i="12" s="1"/>
  <c r="N114" i="12"/>
  <c r="L114" i="12"/>
  <c r="B114" i="12"/>
  <c r="X113" i="12"/>
  <c r="Z113" i="12" s="1"/>
  <c r="N113" i="12"/>
  <c r="L113" i="12"/>
  <c r="B113" i="12"/>
  <c r="X112" i="12"/>
  <c r="Z112" i="12" s="1"/>
  <c r="N112" i="12"/>
  <c r="L112" i="12"/>
  <c r="B112" i="12"/>
  <c r="X111" i="12"/>
  <c r="Z111" i="12" s="1"/>
  <c r="L111" i="12"/>
  <c r="N111" i="12" s="1"/>
  <c r="B111" i="12"/>
  <c r="X110" i="12"/>
  <c r="Z110" i="12" s="1"/>
  <c r="N110" i="12"/>
  <c r="L110" i="12"/>
  <c r="B110" i="12"/>
  <c r="X109" i="12"/>
  <c r="T109" i="12"/>
  <c r="P109" i="12"/>
  <c r="L109" i="12"/>
  <c r="H109" i="12"/>
  <c r="N109" i="12" s="1"/>
  <c r="D109" i="12"/>
  <c r="X107" i="12"/>
  <c r="T107" i="12"/>
  <c r="Z107" i="12" s="1"/>
  <c r="P107" i="12"/>
  <c r="N107" i="12"/>
  <c r="H107" i="12"/>
  <c r="D107" i="12"/>
  <c r="L107" i="12" s="1"/>
  <c r="B107" i="12"/>
  <c r="T106" i="12"/>
  <c r="Z106" i="12" s="1"/>
  <c r="P106" i="12"/>
  <c r="N106" i="12"/>
  <c r="H106" i="12"/>
  <c r="D106" i="12"/>
  <c r="L106" i="12" s="1"/>
  <c r="B106" i="12"/>
  <c r="X105" i="12"/>
  <c r="T105" i="12"/>
  <c r="Z105" i="12" s="1"/>
  <c r="P105" i="12"/>
  <c r="N105" i="12"/>
  <c r="H105" i="12"/>
  <c r="D105" i="12"/>
  <c r="L105" i="12" s="1"/>
  <c r="B105" i="12"/>
  <c r="X104" i="12"/>
  <c r="T104" i="12"/>
  <c r="Z104" i="12" s="1"/>
  <c r="P104" i="12"/>
  <c r="N104" i="12"/>
  <c r="L104" i="12"/>
  <c r="H104" i="12"/>
  <c r="D104" i="12"/>
  <c r="B104" i="12"/>
  <c r="X103" i="12"/>
  <c r="T103" i="12"/>
  <c r="Z103" i="12" s="1"/>
  <c r="P103" i="12"/>
  <c r="N103" i="12"/>
  <c r="H103" i="12"/>
  <c r="D103" i="12"/>
  <c r="L103" i="12" s="1"/>
  <c r="B103" i="12"/>
  <c r="T102" i="12"/>
  <c r="P102" i="12"/>
  <c r="N102" i="12"/>
  <c r="H102" i="12"/>
  <c r="D102" i="12"/>
  <c r="L102" i="12" s="1"/>
  <c r="B102" i="12"/>
  <c r="X101" i="12"/>
  <c r="T101" i="12"/>
  <c r="P101" i="12"/>
  <c r="N101" i="12"/>
  <c r="H101" i="12"/>
  <c r="D101" i="12"/>
  <c r="L101" i="12" s="1"/>
  <c r="B101" i="12"/>
  <c r="X100" i="12"/>
  <c r="T100" i="12"/>
  <c r="P100" i="12"/>
  <c r="N100" i="12"/>
  <c r="L100" i="12"/>
  <c r="H100" i="12"/>
  <c r="D100" i="12"/>
  <c r="B100" i="12"/>
  <c r="X99" i="12"/>
  <c r="T99" i="12"/>
  <c r="P99" i="12"/>
  <c r="N99" i="12"/>
  <c r="H99" i="12"/>
  <c r="D99" i="12"/>
  <c r="L99" i="12" s="1"/>
  <c r="B99" i="12"/>
  <c r="T98" i="12"/>
  <c r="P98" i="12"/>
  <c r="N98" i="12"/>
  <c r="H98" i="12"/>
  <c r="D98" i="12"/>
  <c r="L98" i="12" s="1"/>
  <c r="B98" i="12"/>
  <c r="X97" i="12"/>
  <c r="T97" i="12"/>
  <c r="Z97" i="12" s="1"/>
  <c r="P97" i="12"/>
  <c r="H97" i="12"/>
  <c r="D97" i="12"/>
  <c r="L97" i="12" s="1"/>
  <c r="N97" i="12" s="1"/>
  <c r="B97" i="12"/>
  <c r="X96" i="12"/>
  <c r="T96" i="12"/>
  <c r="Z96" i="12" s="1"/>
  <c r="P96" i="12"/>
  <c r="N96" i="12"/>
  <c r="L96" i="12"/>
  <c r="H96" i="12"/>
  <c r="D96" i="12"/>
  <c r="B96" i="12"/>
  <c r="X95" i="12"/>
  <c r="T95" i="12"/>
  <c r="Z95" i="12" s="1"/>
  <c r="P95" i="12"/>
  <c r="H95" i="12"/>
  <c r="D95" i="12"/>
  <c r="L95" i="12" s="1"/>
  <c r="N95" i="12" s="1"/>
  <c r="B95" i="12"/>
  <c r="T94" i="12"/>
  <c r="P94" i="12"/>
  <c r="H94" i="12"/>
  <c r="D94" i="12"/>
  <c r="L94" i="12" s="1"/>
  <c r="N94" i="12" s="1"/>
  <c r="B94" i="12"/>
  <c r="X93" i="12"/>
  <c r="T93" i="12"/>
  <c r="Z93" i="12" s="1"/>
  <c r="P93" i="12"/>
  <c r="H93" i="12"/>
  <c r="D93" i="12"/>
  <c r="L93" i="12" s="1"/>
  <c r="N93" i="12" s="1"/>
  <c r="B93" i="12"/>
  <c r="X92" i="12"/>
  <c r="T92" i="12"/>
  <c r="P92" i="12"/>
  <c r="N92" i="12"/>
  <c r="L92" i="12"/>
  <c r="H92" i="12"/>
  <c r="D92" i="12"/>
  <c r="B92" i="12"/>
  <c r="X91" i="12"/>
  <c r="T91" i="12"/>
  <c r="P91" i="12"/>
  <c r="N91" i="12"/>
  <c r="H91" i="12"/>
  <c r="D91" i="12"/>
  <c r="L91" i="12" s="1"/>
  <c r="B91" i="12"/>
  <c r="T90" i="12"/>
  <c r="P90" i="12"/>
  <c r="H90" i="12"/>
  <c r="D90" i="12"/>
  <c r="L90" i="12" s="1"/>
  <c r="N90" i="12" s="1"/>
  <c r="B90" i="12"/>
  <c r="X89" i="12"/>
  <c r="T89" i="12"/>
  <c r="Z89" i="12" s="1"/>
  <c r="P89" i="12"/>
  <c r="H89" i="12"/>
  <c r="D89" i="12"/>
  <c r="L89" i="12" s="1"/>
  <c r="N89" i="12" s="1"/>
  <c r="B89" i="12"/>
  <c r="X88" i="12"/>
  <c r="T88" i="12"/>
  <c r="Z88" i="12" s="1"/>
  <c r="P88" i="12"/>
  <c r="N88" i="12"/>
  <c r="L88" i="12"/>
  <c r="H88" i="12"/>
  <c r="D88" i="12"/>
  <c r="B88" i="12"/>
  <c r="X87" i="12"/>
  <c r="T87" i="12"/>
  <c r="P87" i="12"/>
  <c r="N87" i="12"/>
  <c r="H87" i="12"/>
  <c r="D87" i="12"/>
  <c r="L87" i="12" s="1"/>
  <c r="B87" i="12"/>
  <c r="T86" i="12"/>
  <c r="P86" i="12"/>
  <c r="H86" i="12"/>
  <c r="D86" i="12"/>
  <c r="L86" i="12" s="1"/>
  <c r="N86" i="12" s="1"/>
  <c r="B86" i="12"/>
  <c r="X85" i="12"/>
  <c r="T85" i="12"/>
  <c r="P85" i="12"/>
  <c r="H85" i="12"/>
  <c r="D85" i="12"/>
  <c r="L85" i="12" s="1"/>
  <c r="N85" i="12" s="1"/>
  <c r="B85" i="12"/>
  <c r="X84" i="12"/>
  <c r="T84" i="12"/>
  <c r="Z84" i="12" s="1"/>
  <c r="P84" i="12"/>
  <c r="N84" i="12"/>
  <c r="L84" i="12"/>
  <c r="H84" i="12"/>
  <c r="D84" i="12"/>
  <c r="B84" i="12"/>
  <c r="X83" i="12"/>
  <c r="T83" i="12"/>
  <c r="P83" i="12"/>
  <c r="H83" i="12"/>
  <c r="D83" i="12"/>
  <c r="L83" i="12" s="1"/>
  <c r="N83" i="12" s="1"/>
  <c r="B83" i="12"/>
  <c r="T82" i="12"/>
  <c r="P82" i="12"/>
  <c r="N82" i="12"/>
  <c r="H82" i="12"/>
  <c r="D82" i="12"/>
  <c r="L82" i="12" s="1"/>
  <c r="B82" i="12"/>
  <c r="X81" i="12"/>
  <c r="T81" i="12"/>
  <c r="Z81" i="12" s="1"/>
  <c r="P81" i="12"/>
  <c r="N81" i="12"/>
  <c r="H81" i="12"/>
  <c r="D81" i="12"/>
  <c r="L81" i="12" s="1"/>
  <c r="B81" i="12"/>
  <c r="X80" i="12"/>
  <c r="T80" i="12"/>
  <c r="P80" i="12"/>
  <c r="N80" i="12"/>
  <c r="L80" i="12"/>
  <c r="H80" i="12"/>
  <c r="D80" i="12"/>
  <c r="B80" i="12"/>
  <c r="X79" i="12"/>
  <c r="T79" i="12"/>
  <c r="Z79" i="12" s="1"/>
  <c r="P79" i="12"/>
  <c r="H79" i="12"/>
  <c r="D79" i="12"/>
  <c r="L79" i="12" s="1"/>
  <c r="N79" i="12" s="1"/>
  <c r="B79" i="12"/>
  <c r="T78" i="12"/>
  <c r="P78" i="12"/>
  <c r="N78" i="12"/>
  <c r="H78" i="12"/>
  <c r="D78" i="12"/>
  <c r="L78" i="12" s="1"/>
  <c r="B78" i="12"/>
  <c r="X77" i="12"/>
  <c r="T77" i="12"/>
  <c r="Z77" i="12" s="1"/>
  <c r="P77" i="12"/>
  <c r="H77" i="12"/>
  <c r="D77" i="12"/>
  <c r="L77" i="12" s="1"/>
  <c r="N77" i="12" s="1"/>
  <c r="B77" i="12"/>
  <c r="X76" i="12"/>
  <c r="T76" i="12"/>
  <c r="Z76" i="12" s="1"/>
  <c r="P76" i="12"/>
  <c r="N76" i="12"/>
  <c r="L76" i="12"/>
  <c r="H76" i="12"/>
  <c r="D76" i="12"/>
  <c r="B76" i="12"/>
  <c r="X75" i="12"/>
  <c r="T75" i="12"/>
  <c r="Z75" i="12" s="1"/>
  <c r="P75" i="12"/>
  <c r="H75" i="12"/>
  <c r="D75" i="12"/>
  <c r="L75" i="12" s="1"/>
  <c r="N75" i="12" s="1"/>
  <c r="B75" i="12"/>
  <c r="T74" i="12"/>
  <c r="P74" i="12"/>
  <c r="H74" i="12"/>
  <c r="D74" i="12"/>
  <c r="L74" i="12" s="1"/>
  <c r="N74" i="12" s="1"/>
  <c r="B74" i="12"/>
  <c r="X73" i="12"/>
  <c r="T73" i="12"/>
  <c r="P73" i="12"/>
  <c r="H73" i="12"/>
  <c r="D73" i="12"/>
  <c r="L73" i="12" s="1"/>
  <c r="N73" i="12" s="1"/>
  <c r="B73" i="12"/>
  <c r="X72" i="12"/>
  <c r="T72" i="12"/>
  <c r="P72" i="12"/>
  <c r="N72" i="12"/>
  <c r="L72" i="12"/>
  <c r="H72" i="12"/>
  <c r="D72" i="12"/>
  <c r="B72" i="12"/>
  <c r="X71" i="12"/>
  <c r="T71" i="12"/>
  <c r="Z71" i="12" s="1"/>
  <c r="P71" i="12"/>
  <c r="N71" i="12"/>
  <c r="H71" i="12"/>
  <c r="D71" i="12"/>
  <c r="L71" i="12" s="1"/>
  <c r="B71" i="12"/>
  <c r="T70" i="12"/>
  <c r="P70" i="12"/>
  <c r="H70" i="12"/>
  <c r="D70" i="12"/>
  <c r="L70" i="12" s="1"/>
  <c r="N70" i="12" s="1"/>
  <c r="B70" i="12"/>
  <c r="X69" i="12"/>
  <c r="T69" i="12"/>
  <c r="Z69" i="12" s="1"/>
  <c r="P69" i="12"/>
  <c r="H69" i="12"/>
  <c r="D69" i="12"/>
  <c r="L69" i="12" s="1"/>
  <c r="N69" i="12" s="1"/>
  <c r="B69" i="12"/>
  <c r="X68" i="12"/>
  <c r="T68" i="12"/>
  <c r="Z68" i="12" s="1"/>
  <c r="P68" i="12"/>
  <c r="N68" i="12"/>
  <c r="L68" i="12"/>
  <c r="H68" i="12"/>
  <c r="D68" i="12"/>
  <c r="B68" i="12"/>
  <c r="X67" i="12"/>
  <c r="T67" i="12"/>
  <c r="Z67" i="12" s="1"/>
  <c r="P67" i="12"/>
  <c r="H67" i="12"/>
  <c r="D67" i="12"/>
  <c r="L67" i="12" s="1"/>
  <c r="N67" i="12" s="1"/>
  <c r="B67" i="12"/>
  <c r="T66" i="12"/>
  <c r="P66" i="12"/>
  <c r="H66" i="12"/>
  <c r="D66" i="12"/>
  <c r="L66" i="12" s="1"/>
  <c r="N66" i="12" s="1"/>
  <c r="B66" i="12"/>
  <c r="X65" i="12"/>
  <c r="T65" i="12"/>
  <c r="P65" i="12"/>
  <c r="H65" i="12"/>
  <c r="D65" i="12"/>
  <c r="L65" i="12" s="1"/>
  <c r="N65" i="12" s="1"/>
  <c r="B65" i="12"/>
  <c r="X64" i="12"/>
  <c r="T64" i="12"/>
  <c r="P64" i="12"/>
  <c r="N64" i="12"/>
  <c r="L64" i="12"/>
  <c r="H64" i="12"/>
  <c r="D64" i="12"/>
  <c r="B64" i="12"/>
  <c r="X63" i="12"/>
  <c r="T63" i="12"/>
  <c r="Z63" i="12" s="1"/>
  <c r="P63" i="12"/>
  <c r="H63" i="12"/>
  <c r="D63" i="12"/>
  <c r="L63" i="12" s="1"/>
  <c r="N63" i="12" s="1"/>
  <c r="B63" i="12"/>
  <c r="T62" i="12"/>
  <c r="P62" i="12"/>
  <c r="N62" i="12"/>
  <c r="H62" i="12"/>
  <c r="D62" i="12"/>
  <c r="L62" i="12" s="1"/>
  <c r="B62" i="12"/>
  <c r="X61" i="12"/>
  <c r="T61" i="12"/>
  <c r="Z61" i="12" s="1"/>
  <c r="P61" i="12"/>
  <c r="H61" i="12"/>
  <c r="D61" i="12"/>
  <c r="L61" i="12" s="1"/>
  <c r="N61" i="12" s="1"/>
  <c r="B61" i="12"/>
  <c r="X60" i="12"/>
  <c r="T60" i="12"/>
  <c r="Z60" i="12" s="1"/>
  <c r="P60" i="12"/>
  <c r="N60" i="12"/>
  <c r="L60" i="12"/>
  <c r="H60" i="12"/>
  <c r="D60" i="12"/>
  <c r="B60" i="12"/>
  <c r="X59" i="12"/>
  <c r="T59" i="12"/>
  <c r="Z59" i="12" s="1"/>
  <c r="P59" i="12"/>
  <c r="H59" i="12"/>
  <c r="D59" i="12"/>
  <c r="L59" i="12" s="1"/>
  <c r="N59" i="12" s="1"/>
  <c r="B59" i="12"/>
  <c r="T58" i="12"/>
  <c r="P58" i="12"/>
  <c r="H58" i="12"/>
  <c r="D58" i="12"/>
  <c r="L58" i="12" s="1"/>
  <c r="N58" i="12" s="1"/>
  <c r="B58" i="12"/>
  <c r="X57" i="12"/>
  <c r="T57" i="12"/>
  <c r="P57" i="12"/>
  <c r="H57" i="12"/>
  <c r="D57" i="12"/>
  <c r="L57" i="12" s="1"/>
  <c r="N57" i="12" s="1"/>
  <c r="B57" i="12"/>
  <c r="X56" i="12"/>
  <c r="T56" i="12"/>
  <c r="P56" i="12"/>
  <c r="N56" i="12"/>
  <c r="L56" i="12"/>
  <c r="H56" i="12"/>
  <c r="D56" i="12"/>
  <c r="B56" i="12"/>
  <c r="X55" i="12"/>
  <c r="T55" i="12"/>
  <c r="Z55" i="12" s="1"/>
  <c r="P55" i="12"/>
  <c r="N55" i="12"/>
  <c r="L55" i="12"/>
  <c r="H55" i="12"/>
  <c r="D55" i="12"/>
  <c r="B55" i="12"/>
  <c r="T54" i="12"/>
  <c r="P54" i="12"/>
  <c r="N54" i="12"/>
  <c r="H54" i="12"/>
  <c r="D54" i="12"/>
  <c r="L54" i="12" s="1"/>
  <c r="B54" i="12"/>
  <c r="X53" i="12"/>
  <c r="T53" i="12"/>
  <c r="P53" i="12"/>
  <c r="N53" i="12"/>
  <c r="H53" i="12"/>
  <c r="D53" i="12"/>
  <c r="L53" i="12" s="1"/>
  <c r="B53" i="12"/>
  <c r="T52" i="12"/>
  <c r="X52" i="12" s="1"/>
  <c r="P52" i="12"/>
  <c r="N52" i="12"/>
  <c r="L52" i="12"/>
  <c r="H52" i="12"/>
  <c r="D52" i="12"/>
  <c r="B52" i="12"/>
  <c r="X51" i="12"/>
  <c r="T51" i="12"/>
  <c r="Z51" i="12" s="1"/>
  <c r="P51" i="12"/>
  <c r="H51" i="12"/>
  <c r="D51" i="12"/>
  <c r="L51" i="12" s="1"/>
  <c r="N51" i="12" s="1"/>
  <c r="B51" i="12"/>
  <c r="T50" i="12"/>
  <c r="P50" i="12"/>
  <c r="N50" i="12"/>
  <c r="H50" i="12"/>
  <c r="D50" i="12"/>
  <c r="L50" i="12" s="1"/>
  <c r="B50" i="12"/>
  <c r="T49" i="12"/>
  <c r="P49" i="12"/>
  <c r="H49" i="12"/>
  <c r="D49" i="12"/>
  <c r="L49" i="12" s="1"/>
  <c r="N49" i="12" s="1"/>
  <c r="B49" i="12"/>
  <c r="T48" i="12"/>
  <c r="P48" i="12"/>
  <c r="N48" i="12"/>
  <c r="L48" i="12"/>
  <c r="H48" i="12"/>
  <c r="D48" i="12"/>
  <c r="B48" i="12"/>
  <c r="X47" i="12"/>
  <c r="T47" i="12"/>
  <c r="Z47" i="12" s="1"/>
  <c r="P47" i="12"/>
  <c r="H47" i="12"/>
  <c r="D47" i="12"/>
  <c r="L47" i="12" s="1"/>
  <c r="N47" i="12" s="1"/>
  <c r="B47" i="12"/>
  <c r="T46" i="12"/>
  <c r="P46" i="12"/>
  <c r="N46" i="12"/>
  <c r="H46" i="12"/>
  <c r="D46" i="12"/>
  <c r="L46" i="12" s="1"/>
  <c r="B46" i="12"/>
  <c r="X45" i="12"/>
  <c r="T45" i="12"/>
  <c r="P45" i="12"/>
  <c r="H45" i="12"/>
  <c r="D45" i="12"/>
  <c r="L45" i="12" s="1"/>
  <c r="N45" i="12" s="1"/>
  <c r="B45" i="12"/>
  <c r="T44" i="12"/>
  <c r="P44" i="12"/>
  <c r="N44" i="12"/>
  <c r="L44" i="12"/>
  <c r="H44" i="12"/>
  <c r="D44" i="12"/>
  <c r="B44" i="12"/>
  <c r="X43" i="12"/>
  <c r="T43" i="12"/>
  <c r="Z43" i="12" s="1"/>
  <c r="P43" i="12"/>
  <c r="H43" i="12"/>
  <c r="D43" i="12"/>
  <c r="L43" i="12" s="1"/>
  <c r="N43" i="12" s="1"/>
  <c r="B43" i="12"/>
  <c r="T42" i="12"/>
  <c r="P42" i="12"/>
  <c r="N42" i="12"/>
  <c r="H42" i="12"/>
  <c r="D42" i="12"/>
  <c r="L42" i="12" s="1"/>
  <c r="B42" i="12"/>
  <c r="T41" i="12"/>
  <c r="P41" i="12"/>
  <c r="H41" i="12"/>
  <c r="D41" i="12"/>
  <c r="L41" i="12" s="1"/>
  <c r="N41" i="12" s="1"/>
  <c r="B41" i="12"/>
  <c r="X40" i="12"/>
  <c r="T40" i="12"/>
  <c r="P40" i="12"/>
  <c r="L40" i="12"/>
  <c r="N40" i="12" s="1"/>
  <c r="H40" i="12"/>
  <c r="D40" i="12"/>
  <c r="B40" i="12"/>
  <c r="X39" i="12"/>
  <c r="T39" i="12"/>
  <c r="P39" i="12"/>
  <c r="L39" i="12"/>
  <c r="N39" i="12" s="1"/>
  <c r="H39" i="12"/>
  <c r="D39" i="12"/>
  <c r="B39" i="12"/>
  <c r="T38" i="12"/>
  <c r="P38" i="12"/>
  <c r="N38" i="12"/>
  <c r="H38" i="12"/>
  <c r="D38" i="12"/>
  <c r="L38" i="12" s="1"/>
  <c r="B38" i="12"/>
  <c r="X37" i="12"/>
  <c r="T37" i="12"/>
  <c r="P37" i="12"/>
  <c r="H37" i="12"/>
  <c r="D37" i="12"/>
  <c r="L37" i="12" s="1"/>
  <c r="N37" i="12" s="1"/>
  <c r="B37" i="12"/>
  <c r="T36" i="12"/>
  <c r="P36" i="12"/>
  <c r="L36" i="12"/>
  <c r="N36" i="12" s="1"/>
  <c r="H36" i="12"/>
  <c r="D36" i="12"/>
  <c r="B36" i="12"/>
  <c r="X35" i="12"/>
  <c r="T35" i="12"/>
  <c r="P35" i="12"/>
  <c r="N35" i="12"/>
  <c r="L35" i="12"/>
  <c r="H35" i="12"/>
  <c r="D35" i="12"/>
  <c r="B35" i="12"/>
  <c r="T34" i="12"/>
  <c r="P34" i="12"/>
  <c r="L34" i="12"/>
  <c r="N34" i="12" s="1"/>
  <c r="H34" i="12"/>
  <c r="D34" i="12"/>
  <c r="B34" i="12"/>
  <c r="X33" i="12"/>
  <c r="T33" i="12"/>
  <c r="P33" i="12"/>
  <c r="H33" i="12"/>
  <c r="D33" i="12"/>
  <c r="L33" i="12" s="1"/>
  <c r="N33" i="12" s="1"/>
  <c r="B33" i="12"/>
  <c r="T32" i="12"/>
  <c r="X32" i="12" s="1"/>
  <c r="P32" i="12"/>
  <c r="L32" i="12"/>
  <c r="N32" i="12" s="1"/>
  <c r="H32" i="12"/>
  <c r="D32" i="12"/>
  <c r="B32" i="12"/>
  <c r="T31" i="12"/>
  <c r="P31" i="12"/>
  <c r="H31" i="12"/>
  <c r="D31" i="12"/>
  <c r="L31" i="12" s="1"/>
  <c r="N31" i="12" s="1"/>
  <c r="B31" i="12"/>
  <c r="T30" i="12"/>
  <c r="P30" i="12"/>
  <c r="L30" i="12"/>
  <c r="N30" i="12" s="1"/>
  <c r="H30" i="12"/>
  <c r="D30" i="12"/>
  <c r="B30" i="12"/>
  <c r="X29" i="12"/>
  <c r="T29" i="12"/>
  <c r="P29" i="12"/>
  <c r="H29" i="12"/>
  <c r="D29" i="12"/>
  <c r="L29" i="12" s="1"/>
  <c r="N29" i="12" s="1"/>
  <c r="B29" i="12"/>
  <c r="T28" i="12"/>
  <c r="P28" i="12"/>
  <c r="N28" i="12"/>
  <c r="L28" i="12"/>
  <c r="H28" i="12"/>
  <c r="D28" i="12"/>
  <c r="B28" i="12"/>
  <c r="X27" i="12"/>
  <c r="T27" i="12"/>
  <c r="P27" i="12"/>
  <c r="N27" i="12"/>
  <c r="L27" i="12"/>
  <c r="H27" i="12"/>
  <c r="D27" i="12"/>
  <c r="B27" i="12"/>
  <c r="T26" i="12"/>
  <c r="P26" i="12"/>
  <c r="L26" i="12"/>
  <c r="N26" i="12" s="1"/>
  <c r="H26" i="12"/>
  <c r="D26" i="12"/>
  <c r="B26" i="12"/>
  <c r="X25" i="12"/>
  <c r="T25" i="12"/>
  <c r="P25" i="12"/>
  <c r="H25" i="12"/>
  <c r="D25" i="12"/>
  <c r="L25" i="12" s="1"/>
  <c r="N25" i="12" s="1"/>
  <c r="B25" i="12"/>
  <c r="T24" i="12"/>
  <c r="X24" i="12" s="1"/>
  <c r="P24" i="12"/>
  <c r="L24" i="12"/>
  <c r="N24" i="12" s="1"/>
  <c r="H24" i="12"/>
  <c r="D24" i="12"/>
  <c r="B24" i="12"/>
  <c r="T23" i="12"/>
  <c r="P23" i="12"/>
  <c r="H23" i="12"/>
  <c r="D23" i="12"/>
  <c r="L23" i="12" s="1"/>
  <c r="N23" i="12" s="1"/>
  <c r="B23" i="12"/>
  <c r="T22" i="12"/>
  <c r="P22" i="12"/>
  <c r="N22" i="12"/>
  <c r="L22" i="12"/>
  <c r="H22" i="12"/>
  <c r="D22" i="12"/>
  <c r="B22" i="12"/>
  <c r="X21" i="12"/>
  <c r="T21" i="12"/>
  <c r="P21" i="12"/>
  <c r="H21" i="12"/>
  <c r="D21" i="12"/>
  <c r="L21" i="12" s="1"/>
  <c r="N21" i="12" s="1"/>
  <c r="B21" i="12"/>
  <c r="T20" i="12"/>
  <c r="P20" i="12"/>
  <c r="L20" i="12"/>
  <c r="N20" i="12" s="1"/>
  <c r="H20" i="12"/>
  <c r="D20" i="12"/>
  <c r="B20" i="12"/>
  <c r="T19" i="12"/>
  <c r="P19" i="12"/>
  <c r="N19" i="12"/>
  <c r="L19" i="12"/>
  <c r="H19" i="12"/>
  <c r="D19" i="12"/>
  <c r="B19" i="12"/>
  <c r="T18" i="12"/>
  <c r="P18" i="12"/>
  <c r="L18" i="12"/>
  <c r="N18" i="12" s="1"/>
  <c r="H18" i="12"/>
  <c r="D18" i="12"/>
  <c r="B18" i="12"/>
  <c r="X17" i="12"/>
  <c r="T17" i="12"/>
  <c r="P17" i="12"/>
  <c r="H17" i="12"/>
  <c r="D17" i="12"/>
  <c r="L17" i="12" s="1"/>
  <c r="N17" i="12" s="1"/>
  <c r="B17" i="12"/>
  <c r="T16" i="12"/>
  <c r="X16" i="12" s="1"/>
  <c r="P16" i="12"/>
  <c r="L16" i="12"/>
  <c r="N16" i="12" s="1"/>
  <c r="H16" i="12"/>
  <c r="D16" i="12"/>
  <c r="B16" i="12"/>
  <c r="T15" i="12"/>
  <c r="P15" i="12"/>
  <c r="N15" i="12"/>
  <c r="H15" i="12"/>
  <c r="D15" i="12"/>
  <c r="L15" i="12" s="1"/>
  <c r="B15" i="12"/>
  <c r="T14" i="12"/>
  <c r="P14" i="12"/>
  <c r="L14" i="12"/>
  <c r="N14" i="12" s="1"/>
  <c r="H14" i="12"/>
  <c r="H12" i="12" s="1"/>
  <c r="J204" i="12" s="1"/>
  <c r="D14" i="12"/>
  <c r="B14" i="12"/>
  <c r="X13" i="12"/>
  <c r="T13" i="12"/>
  <c r="P13" i="12"/>
  <c r="P12" i="12" s="1"/>
  <c r="R177" i="12" s="1"/>
  <c r="H13" i="12"/>
  <c r="D13" i="12"/>
  <c r="B13" i="12"/>
  <c r="D4" i="12"/>
  <c r="J97" i="9"/>
  <c r="J94" i="9"/>
  <c r="Z92" i="9"/>
  <c r="X92" i="9"/>
  <c r="N92" i="9"/>
  <c r="L92" i="9"/>
  <c r="J92" i="9"/>
  <c r="T88" i="9"/>
  <c r="Z88" i="9" s="1"/>
  <c r="P88" i="9"/>
  <c r="X88" i="9" s="1"/>
  <c r="H88" i="9"/>
  <c r="N88" i="9" s="1"/>
  <c r="D88" i="9"/>
  <c r="X86" i="9"/>
  <c r="Z86" i="9" s="1"/>
  <c r="N86" i="9"/>
  <c r="L86" i="9"/>
  <c r="J86" i="9"/>
  <c r="B86" i="9"/>
  <c r="X85" i="9"/>
  <c r="Z85" i="9" s="1"/>
  <c r="N85" i="9"/>
  <c r="L85" i="9"/>
  <c r="J85" i="9"/>
  <c r="B85" i="9"/>
  <c r="T84" i="9"/>
  <c r="P84" i="9"/>
  <c r="H84" i="9"/>
  <c r="D84" i="9"/>
  <c r="L84" i="9" s="1"/>
  <c r="B84" i="9"/>
  <c r="Z83" i="9"/>
  <c r="X83" i="9"/>
  <c r="L83" i="9"/>
  <c r="N83" i="9" s="1"/>
  <c r="J83" i="9"/>
  <c r="B83" i="9"/>
  <c r="T82" i="9"/>
  <c r="P82" i="9"/>
  <c r="N82" i="9"/>
  <c r="J82" i="9"/>
  <c r="H82" i="9"/>
  <c r="D82" i="9"/>
  <c r="L82" i="9" s="1"/>
  <c r="B82" i="9"/>
  <c r="X81" i="9"/>
  <c r="Z81" i="9" s="1"/>
  <c r="L81" i="9"/>
  <c r="N81" i="9" s="1"/>
  <c r="J81" i="9"/>
  <c r="B81" i="9"/>
  <c r="X80" i="9"/>
  <c r="Z80" i="9" s="1"/>
  <c r="L80" i="9"/>
  <c r="N80" i="9" s="1"/>
  <c r="B80" i="9"/>
  <c r="T79" i="9"/>
  <c r="P79" i="9"/>
  <c r="X79" i="9" s="1"/>
  <c r="Z79" i="9" s="1"/>
  <c r="L79" i="9"/>
  <c r="N79" i="9" s="1"/>
  <c r="J79" i="9"/>
  <c r="H79" i="9"/>
  <c r="D79" i="9"/>
  <c r="B79" i="9"/>
  <c r="X78" i="9"/>
  <c r="Z78" i="9" s="1"/>
  <c r="L78" i="9"/>
  <c r="N78" i="9" s="1"/>
  <c r="J78" i="9"/>
  <c r="B78" i="9"/>
  <c r="X77" i="9"/>
  <c r="Z77" i="9" s="1"/>
  <c r="N77" i="9"/>
  <c r="L77" i="9"/>
  <c r="J77" i="9"/>
  <c r="B77" i="9"/>
  <c r="X76" i="9"/>
  <c r="Z76" i="9" s="1"/>
  <c r="N76" i="9"/>
  <c r="L76" i="9"/>
  <c r="J76" i="9"/>
  <c r="B76" i="9"/>
  <c r="Z75" i="9"/>
  <c r="X75" i="9"/>
  <c r="V75" i="9"/>
  <c r="N75" i="9"/>
  <c r="L75" i="9"/>
  <c r="J75" i="9"/>
  <c r="B75" i="9"/>
  <c r="T74" i="9"/>
  <c r="P74" i="9"/>
  <c r="X74" i="9" s="1"/>
  <c r="L74" i="9"/>
  <c r="N74" i="9" s="1"/>
  <c r="H74" i="9"/>
  <c r="D74" i="9"/>
  <c r="B74" i="9"/>
  <c r="Z73" i="9"/>
  <c r="X73" i="9"/>
  <c r="N73" i="9"/>
  <c r="L73" i="9"/>
  <c r="J73" i="9"/>
  <c r="B73" i="9"/>
  <c r="T72" i="9"/>
  <c r="Z72" i="9" s="1"/>
  <c r="P72" i="9"/>
  <c r="X72" i="9" s="1"/>
  <c r="N72" i="9"/>
  <c r="J72" i="9"/>
  <c r="H72" i="9"/>
  <c r="D72" i="9"/>
  <c r="L72" i="9" s="1"/>
  <c r="B72" i="9"/>
  <c r="X71" i="9"/>
  <c r="Z71" i="9" s="1"/>
  <c r="N71" i="9"/>
  <c r="L71" i="9"/>
  <c r="J71" i="9"/>
  <c r="B71" i="9"/>
  <c r="X70" i="9"/>
  <c r="Z70" i="9" s="1"/>
  <c r="V70" i="9"/>
  <c r="L70" i="9"/>
  <c r="N70" i="9" s="1"/>
  <c r="B70" i="9"/>
  <c r="V69" i="9"/>
  <c r="T69" i="9"/>
  <c r="P69" i="9"/>
  <c r="X69" i="9" s="1"/>
  <c r="Z69" i="9" s="1"/>
  <c r="J69" i="9"/>
  <c r="H69" i="9"/>
  <c r="D69" i="9"/>
  <c r="L69" i="9" s="1"/>
  <c r="N69" i="9" s="1"/>
  <c r="B69" i="9"/>
  <c r="X68" i="9"/>
  <c r="Z68" i="9" s="1"/>
  <c r="N68" i="9"/>
  <c r="L68" i="9"/>
  <c r="J68" i="9"/>
  <c r="B68" i="9"/>
  <c r="X67" i="9"/>
  <c r="Z67" i="9" s="1"/>
  <c r="N67" i="9"/>
  <c r="L67" i="9"/>
  <c r="J67" i="9"/>
  <c r="B67" i="9"/>
  <c r="X66" i="9"/>
  <c r="Z66" i="9" s="1"/>
  <c r="N66" i="9"/>
  <c r="L66" i="9"/>
  <c r="J66" i="9"/>
  <c r="B66" i="9"/>
  <c r="X65" i="9"/>
  <c r="Z65" i="9" s="1"/>
  <c r="T65" i="9"/>
  <c r="R65" i="9"/>
  <c r="P65" i="9"/>
  <c r="L65" i="9"/>
  <c r="N65" i="9" s="1"/>
  <c r="J65" i="9"/>
  <c r="H65" i="9"/>
  <c r="D65" i="9"/>
  <c r="B65" i="9"/>
  <c r="Z64" i="9"/>
  <c r="X64" i="9"/>
  <c r="R64" i="9"/>
  <c r="L64" i="9"/>
  <c r="N64" i="9" s="1"/>
  <c r="J64" i="9"/>
  <c r="B64" i="9"/>
  <c r="Z63" i="9"/>
  <c r="X63" i="9"/>
  <c r="L63" i="9"/>
  <c r="N63" i="9" s="1"/>
  <c r="J63" i="9"/>
  <c r="B63" i="9"/>
  <c r="Z62" i="9"/>
  <c r="X62" i="9"/>
  <c r="L62" i="9"/>
  <c r="N62" i="9" s="1"/>
  <c r="J62" i="9"/>
  <c r="B62" i="9"/>
  <c r="Z61" i="9"/>
  <c r="X61" i="9"/>
  <c r="N61" i="9"/>
  <c r="L61" i="9"/>
  <c r="J61" i="9"/>
  <c r="B61" i="9"/>
  <c r="V60" i="9"/>
  <c r="T60" i="9"/>
  <c r="P60" i="9"/>
  <c r="X60" i="9" s="1"/>
  <c r="Z60" i="9" s="1"/>
  <c r="J60" i="9"/>
  <c r="H60" i="9"/>
  <c r="D60" i="9"/>
  <c r="B60" i="9"/>
  <c r="Z59" i="9"/>
  <c r="X59" i="9"/>
  <c r="N59" i="9"/>
  <c r="L59" i="9"/>
  <c r="J59" i="9"/>
  <c r="B59" i="9"/>
  <c r="V58" i="9"/>
  <c r="T58" i="9"/>
  <c r="P58" i="9"/>
  <c r="X58" i="9" s="1"/>
  <c r="J58" i="9"/>
  <c r="H58" i="9"/>
  <c r="L58" i="9" s="1"/>
  <c r="D58" i="9"/>
  <c r="B58" i="9"/>
  <c r="Z57" i="9"/>
  <c r="X57" i="9"/>
  <c r="V57" i="9"/>
  <c r="N57" i="9"/>
  <c r="L57" i="9"/>
  <c r="J57" i="9"/>
  <c r="B57" i="9"/>
  <c r="T56" i="9"/>
  <c r="P56" i="9"/>
  <c r="X56" i="9" s="1"/>
  <c r="H56" i="9"/>
  <c r="D56" i="9"/>
  <c r="L56" i="9" s="1"/>
  <c r="N56" i="9" s="1"/>
  <c r="B56" i="9"/>
  <c r="Z55" i="9"/>
  <c r="X55" i="9"/>
  <c r="N55" i="9"/>
  <c r="L55" i="9"/>
  <c r="J55" i="9"/>
  <c r="B55" i="9"/>
  <c r="V54" i="9"/>
  <c r="T54" i="9"/>
  <c r="P54" i="9"/>
  <c r="X54" i="9" s="1"/>
  <c r="Z54" i="9" s="1"/>
  <c r="J54" i="9"/>
  <c r="H54" i="9"/>
  <c r="N54" i="9" s="1"/>
  <c r="D54" i="9"/>
  <c r="L54" i="9" s="1"/>
  <c r="B54" i="9"/>
  <c r="X53" i="9"/>
  <c r="Z53" i="9" s="1"/>
  <c r="V53" i="9"/>
  <c r="N53" i="9"/>
  <c r="L53" i="9"/>
  <c r="J53" i="9"/>
  <c r="B53" i="9"/>
  <c r="T52" i="9"/>
  <c r="R52" i="9"/>
  <c r="P52" i="9"/>
  <c r="J52" i="9"/>
  <c r="H52" i="9"/>
  <c r="D52" i="9"/>
  <c r="L52" i="9" s="1"/>
  <c r="B52" i="9"/>
  <c r="Z51" i="9"/>
  <c r="X51" i="9"/>
  <c r="N51" i="9"/>
  <c r="L51" i="9"/>
  <c r="J51" i="9"/>
  <c r="B51" i="9"/>
  <c r="X50" i="9"/>
  <c r="T50" i="9"/>
  <c r="Z50" i="9" s="1"/>
  <c r="P50" i="9"/>
  <c r="H50" i="9"/>
  <c r="D50" i="9"/>
  <c r="L50" i="9" s="1"/>
  <c r="B50" i="9"/>
  <c r="Z49" i="9"/>
  <c r="X49" i="9"/>
  <c r="V49" i="9"/>
  <c r="N49" i="9"/>
  <c r="L49" i="9"/>
  <c r="J49" i="9"/>
  <c r="B49" i="9"/>
  <c r="T48" i="9"/>
  <c r="P48" i="9"/>
  <c r="X48" i="9" s="1"/>
  <c r="Z48" i="9" s="1"/>
  <c r="L48" i="9"/>
  <c r="J48" i="9"/>
  <c r="H48" i="9"/>
  <c r="N48" i="9" s="1"/>
  <c r="D48" i="9"/>
  <c r="B48" i="9"/>
  <c r="X47" i="9"/>
  <c r="Z47" i="9" s="1"/>
  <c r="L47" i="9"/>
  <c r="N47" i="9" s="1"/>
  <c r="J47" i="9"/>
  <c r="B47" i="9"/>
  <c r="X46" i="9"/>
  <c r="Z46" i="9" s="1"/>
  <c r="N46" i="9"/>
  <c r="L46" i="9"/>
  <c r="B46" i="9"/>
  <c r="X45" i="9"/>
  <c r="Z45" i="9" s="1"/>
  <c r="V45" i="9"/>
  <c r="T45" i="9"/>
  <c r="R45" i="9"/>
  <c r="P45" i="9"/>
  <c r="N45" i="9"/>
  <c r="L45" i="9"/>
  <c r="J45" i="9"/>
  <c r="H45" i="9"/>
  <c r="D45" i="9"/>
  <c r="B45" i="9"/>
  <c r="Z44" i="9"/>
  <c r="X44" i="9"/>
  <c r="N44" i="9"/>
  <c r="L44" i="9"/>
  <c r="J44" i="9"/>
  <c r="B44" i="9"/>
  <c r="X43" i="9"/>
  <c r="T43" i="9"/>
  <c r="Z43" i="9" s="1"/>
  <c r="R43" i="9"/>
  <c r="P43" i="9"/>
  <c r="L43" i="9"/>
  <c r="J43" i="9"/>
  <c r="H43" i="9"/>
  <c r="N43" i="9" s="1"/>
  <c r="D43" i="9"/>
  <c r="B43" i="9"/>
  <c r="Z42" i="9"/>
  <c r="X42" i="9"/>
  <c r="R42" i="9"/>
  <c r="L42" i="9"/>
  <c r="N42" i="9" s="1"/>
  <c r="J42" i="9"/>
  <c r="B42" i="9"/>
  <c r="T41" i="9"/>
  <c r="Z41" i="9" s="1"/>
  <c r="P41" i="9"/>
  <c r="X41" i="9" s="1"/>
  <c r="J41" i="9"/>
  <c r="H41" i="9"/>
  <c r="D41" i="9"/>
  <c r="B41" i="9"/>
  <c r="X40" i="9"/>
  <c r="Z40" i="9" s="1"/>
  <c r="N40" i="9"/>
  <c r="L40" i="9"/>
  <c r="B40" i="9"/>
  <c r="X39" i="9"/>
  <c r="Z39" i="9" s="1"/>
  <c r="V39" i="9"/>
  <c r="T39" i="9"/>
  <c r="R39" i="9"/>
  <c r="P39" i="9"/>
  <c r="N39" i="9"/>
  <c r="L39" i="9"/>
  <c r="J39" i="9"/>
  <c r="H39" i="9"/>
  <c r="D39" i="9"/>
  <c r="B39" i="9"/>
  <c r="Z38" i="9"/>
  <c r="X38" i="9"/>
  <c r="N38" i="9"/>
  <c r="L38" i="9"/>
  <c r="J38" i="9"/>
  <c r="B38" i="9"/>
  <c r="X37" i="9"/>
  <c r="Z37" i="9" s="1"/>
  <c r="N37" i="9"/>
  <c r="L37" i="9"/>
  <c r="J37" i="9"/>
  <c r="B37" i="9"/>
  <c r="Z36" i="9"/>
  <c r="X36" i="9"/>
  <c r="N36" i="9"/>
  <c r="L36" i="9"/>
  <c r="J36" i="9"/>
  <c r="B36" i="9"/>
  <c r="Z35" i="9"/>
  <c r="X35" i="9"/>
  <c r="V35" i="9"/>
  <c r="N35" i="9"/>
  <c r="L35" i="9"/>
  <c r="J35" i="9"/>
  <c r="B35" i="9"/>
  <c r="X34" i="9"/>
  <c r="Z34" i="9" s="1"/>
  <c r="R34" i="9"/>
  <c r="N34" i="9"/>
  <c r="L34" i="9"/>
  <c r="J34" i="9"/>
  <c r="B34" i="9"/>
  <c r="X33" i="9"/>
  <c r="Z33" i="9" s="1"/>
  <c r="R33" i="9"/>
  <c r="N33" i="9"/>
  <c r="L33" i="9"/>
  <c r="J33" i="9"/>
  <c r="B33" i="9"/>
  <c r="Z32" i="9"/>
  <c r="X32" i="9"/>
  <c r="L32" i="9"/>
  <c r="N32" i="9" s="1"/>
  <c r="J32" i="9"/>
  <c r="B32" i="9"/>
  <c r="X31" i="9"/>
  <c r="Z31" i="9" s="1"/>
  <c r="V31" i="9"/>
  <c r="T31" i="9"/>
  <c r="R31" i="9"/>
  <c r="P31" i="9"/>
  <c r="J31" i="9"/>
  <c r="H31" i="9"/>
  <c r="D31" i="9"/>
  <c r="B31" i="9"/>
  <c r="Z30" i="9"/>
  <c r="X30" i="9"/>
  <c r="R30" i="9"/>
  <c r="L30" i="9"/>
  <c r="N30" i="9" s="1"/>
  <c r="J30" i="9"/>
  <c r="B30" i="9"/>
  <c r="Z29" i="9"/>
  <c r="X29" i="9"/>
  <c r="N29" i="9"/>
  <c r="L29" i="9"/>
  <c r="J29" i="9"/>
  <c r="B29" i="9"/>
  <c r="X28" i="9"/>
  <c r="Z28" i="9" s="1"/>
  <c r="L28" i="9"/>
  <c r="N28" i="9" s="1"/>
  <c r="J28" i="9"/>
  <c r="B28" i="9"/>
  <c r="Z27" i="9"/>
  <c r="X27" i="9"/>
  <c r="R27" i="9"/>
  <c r="L27" i="9"/>
  <c r="N27" i="9" s="1"/>
  <c r="J27" i="9"/>
  <c r="B27" i="9"/>
  <c r="X26" i="9"/>
  <c r="Z26" i="9" s="1"/>
  <c r="L26" i="9"/>
  <c r="N26" i="9" s="1"/>
  <c r="J26" i="9"/>
  <c r="B26" i="9"/>
  <c r="Z25" i="9"/>
  <c r="X25" i="9"/>
  <c r="N25" i="9"/>
  <c r="L25" i="9"/>
  <c r="J25" i="9"/>
  <c r="B25" i="9"/>
  <c r="Z24" i="9"/>
  <c r="X24" i="9"/>
  <c r="R24" i="9"/>
  <c r="L24" i="9"/>
  <c r="N24" i="9" s="1"/>
  <c r="J24" i="9"/>
  <c r="B24" i="9"/>
  <c r="Z23" i="9"/>
  <c r="X23" i="9"/>
  <c r="N23" i="9"/>
  <c r="L23" i="9"/>
  <c r="J23" i="9"/>
  <c r="B23" i="9"/>
  <c r="X22" i="9"/>
  <c r="Z22" i="9" s="1"/>
  <c r="R22" i="9"/>
  <c r="L22" i="9"/>
  <c r="N22" i="9" s="1"/>
  <c r="J22" i="9"/>
  <c r="B22" i="9"/>
  <c r="Z21" i="9"/>
  <c r="X21" i="9"/>
  <c r="R21" i="9"/>
  <c r="L21" i="9"/>
  <c r="N21" i="9" s="1"/>
  <c r="J21" i="9"/>
  <c r="B21" i="9"/>
  <c r="X20" i="9"/>
  <c r="Z20" i="9" s="1"/>
  <c r="L20" i="9"/>
  <c r="N20" i="9" s="1"/>
  <c r="J20" i="9"/>
  <c r="B20" i="9"/>
  <c r="T19" i="9"/>
  <c r="R19" i="9"/>
  <c r="P19" i="9"/>
  <c r="X19" i="9" s="1"/>
  <c r="Z19" i="9" s="1"/>
  <c r="N19" i="9"/>
  <c r="J19" i="9"/>
  <c r="H19" i="9"/>
  <c r="D19" i="9"/>
  <c r="L19" i="9" s="1"/>
  <c r="B19" i="9"/>
  <c r="X18" i="9"/>
  <c r="T18" i="9"/>
  <c r="P18" i="9"/>
  <c r="J18" i="9"/>
  <c r="H18" i="9"/>
  <c r="D18" i="9"/>
  <c r="L18" i="9" s="1"/>
  <c r="T16" i="9"/>
  <c r="Z16" i="9" s="1"/>
  <c r="J16" i="9"/>
  <c r="H16" i="9"/>
  <c r="N16" i="9" s="1"/>
  <c r="V14" i="9"/>
  <c r="T14" i="9"/>
  <c r="Z14" i="9" s="1"/>
  <c r="P14" i="9"/>
  <c r="X14" i="9" s="1"/>
  <c r="J14" i="9"/>
  <c r="H14" i="9"/>
  <c r="N14" i="9" s="1"/>
  <c r="D14" i="9"/>
  <c r="L14" i="9" s="1"/>
  <c r="X12" i="9"/>
  <c r="T12" i="9"/>
  <c r="V97" i="9" s="1"/>
  <c r="P12" i="9"/>
  <c r="R90" i="9" s="1"/>
  <c r="N12" i="9"/>
  <c r="H12" i="9"/>
  <c r="J84" i="9" s="1"/>
  <c r="D12" i="9"/>
  <c r="F78" i="9" s="1"/>
  <c r="D4" i="9"/>
  <c r="V29" i="6"/>
  <c r="T29" i="6"/>
  <c r="P29" i="6"/>
  <c r="H29" i="6"/>
  <c r="D29" i="6"/>
  <c r="V28" i="6"/>
  <c r="T28" i="6"/>
  <c r="P28" i="6"/>
  <c r="H28" i="6"/>
  <c r="D28" i="6"/>
  <c r="V26" i="6"/>
  <c r="Z24" i="6"/>
  <c r="X24" i="6"/>
  <c r="V24" i="6"/>
  <c r="R24" i="6"/>
  <c r="N24" i="6"/>
  <c r="L24" i="6"/>
  <c r="J24" i="6"/>
  <c r="X20" i="6"/>
  <c r="T20" i="6"/>
  <c r="Z20" i="6" s="1"/>
  <c r="P20" i="6"/>
  <c r="L20" i="6"/>
  <c r="H20" i="6"/>
  <c r="N20" i="6" s="1"/>
  <c r="D20" i="6"/>
  <c r="X18" i="6"/>
  <c r="T18" i="6"/>
  <c r="Z18" i="6" s="1"/>
  <c r="P18" i="6"/>
  <c r="L18" i="6"/>
  <c r="H18" i="6"/>
  <c r="N18" i="6" s="1"/>
  <c r="D18" i="6"/>
  <c r="X14" i="6"/>
  <c r="T14" i="6"/>
  <c r="T16" i="6" s="1"/>
  <c r="P14" i="6"/>
  <c r="P16" i="6" s="1"/>
  <c r="L14" i="6"/>
  <c r="H14" i="6"/>
  <c r="N14" i="6" s="1"/>
  <c r="D14" i="6"/>
  <c r="X12" i="6"/>
  <c r="T12" i="6"/>
  <c r="V22" i="6" s="1"/>
  <c r="P12" i="6"/>
  <c r="R22" i="6" s="1"/>
  <c r="H12" i="6"/>
  <c r="N12" i="6" s="1"/>
  <c r="D12" i="6"/>
  <c r="F31" i="6" s="1"/>
  <c r="D4" i="6"/>
  <c r="T315" i="3"/>
  <c r="P315" i="3"/>
  <c r="X315" i="3" s="1"/>
  <c r="Z315" i="3" s="1"/>
  <c r="H315" i="3"/>
  <c r="D315" i="3"/>
  <c r="L315" i="3" s="1"/>
  <c r="N315" i="3" s="1"/>
  <c r="T314" i="3"/>
  <c r="P314" i="3"/>
  <c r="X314" i="3" s="1"/>
  <c r="Z314" i="3" s="1"/>
  <c r="H314" i="3"/>
  <c r="D314" i="3"/>
  <c r="L314" i="3" s="1"/>
  <c r="N314" i="3" s="1"/>
  <c r="Z310" i="3"/>
  <c r="X310" i="3"/>
  <c r="N310" i="3"/>
  <c r="L310" i="3"/>
  <c r="T306" i="3"/>
  <c r="X306" i="3" s="1"/>
  <c r="Z306" i="3" s="1"/>
  <c r="P306" i="3"/>
  <c r="H306" i="3"/>
  <c r="D306" i="3"/>
  <c r="L306" i="3" s="1"/>
  <c r="N306" i="3" s="1"/>
  <c r="B306" i="3"/>
  <c r="T305" i="3"/>
  <c r="Z305" i="3" s="1"/>
  <c r="P305" i="3"/>
  <c r="X305" i="3" s="1"/>
  <c r="H305" i="3"/>
  <c r="N305" i="3" s="1"/>
  <c r="D305" i="3"/>
  <c r="L305" i="3" s="1"/>
  <c r="B305" i="3"/>
  <c r="X304" i="3"/>
  <c r="Z304" i="3" s="1"/>
  <c r="T304" i="3"/>
  <c r="P304" i="3"/>
  <c r="H304" i="3"/>
  <c r="D304" i="3"/>
  <c r="L304" i="3" s="1"/>
  <c r="N304" i="3" s="1"/>
  <c r="B304" i="3"/>
  <c r="T303" i="3"/>
  <c r="Z303" i="3" s="1"/>
  <c r="P303" i="3"/>
  <c r="H303" i="3"/>
  <c r="N303" i="3" s="1"/>
  <c r="D303" i="3"/>
  <c r="B303" i="3"/>
  <c r="T302" i="3"/>
  <c r="P302" i="3"/>
  <c r="X302" i="3" s="1"/>
  <c r="Z302" i="3" s="1"/>
  <c r="H302" i="3"/>
  <c r="D302" i="3"/>
  <c r="L302" i="3" s="1"/>
  <c r="N302" i="3" s="1"/>
  <c r="B302" i="3"/>
  <c r="X301" i="3"/>
  <c r="T301" i="3"/>
  <c r="Z301" i="3" s="1"/>
  <c r="P301" i="3"/>
  <c r="L301" i="3"/>
  <c r="H301" i="3"/>
  <c r="N301" i="3" s="1"/>
  <c r="D301" i="3"/>
  <c r="B301" i="3"/>
  <c r="T300" i="3"/>
  <c r="P300" i="3"/>
  <c r="X300" i="3" s="1"/>
  <c r="Z300" i="3" s="1"/>
  <c r="H300" i="3"/>
  <c r="L300" i="3" s="1"/>
  <c r="N300" i="3" s="1"/>
  <c r="D300" i="3"/>
  <c r="B300" i="3"/>
  <c r="T299" i="3"/>
  <c r="Z299" i="3" s="1"/>
  <c r="P299" i="3"/>
  <c r="X299" i="3" s="1"/>
  <c r="H299" i="3"/>
  <c r="N299" i="3" s="1"/>
  <c r="D299" i="3"/>
  <c r="L299" i="3" s="1"/>
  <c r="B299" i="3"/>
  <c r="T298" i="3"/>
  <c r="P298" i="3"/>
  <c r="X298" i="3" s="1"/>
  <c r="Z298" i="3" s="1"/>
  <c r="L298" i="3"/>
  <c r="N298" i="3" s="1"/>
  <c r="H298" i="3"/>
  <c r="D298" i="3"/>
  <c r="B298" i="3"/>
  <c r="T297" i="3"/>
  <c r="P297" i="3"/>
  <c r="H297" i="3"/>
  <c r="N297" i="3" s="1"/>
  <c r="D297" i="3"/>
  <c r="B297" i="3"/>
  <c r="T296" i="3"/>
  <c r="P296" i="3"/>
  <c r="X296" i="3" s="1"/>
  <c r="Z296" i="3" s="1"/>
  <c r="H296" i="3"/>
  <c r="D296" i="3"/>
  <c r="L296" i="3" s="1"/>
  <c r="N296" i="3" s="1"/>
  <c r="B296" i="3"/>
  <c r="X295" i="3"/>
  <c r="T295" i="3"/>
  <c r="Z295" i="3" s="1"/>
  <c r="P295" i="3"/>
  <c r="P294" i="3" s="1"/>
  <c r="L295" i="3"/>
  <c r="H295" i="3"/>
  <c r="H294" i="3" s="1"/>
  <c r="D295" i="3"/>
  <c r="D294" i="3" s="1"/>
  <c r="L294" i="3" s="1"/>
  <c r="B295" i="3"/>
  <c r="Z292" i="3"/>
  <c r="X292" i="3"/>
  <c r="N292" i="3"/>
  <c r="L292" i="3"/>
  <c r="B292" i="3"/>
  <c r="T291" i="3"/>
  <c r="P291" i="3"/>
  <c r="H291" i="3"/>
  <c r="D291" i="3"/>
  <c r="B291" i="3"/>
  <c r="Z290" i="3"/>
  <c r="X290" i="3"/>
  <c r="L290" i="3"/>
  <c r="N290" i="3" s="1"/>
  <c r="B290" i="3"/>
  <c r="X289" i="3"/>
  <c r="Z289" i="3" s="1"/>
  <c r="L289" i="3"/>
  <c r="N289" i="3" s="1"/>
  <c r="B289" i="3"/>
  <c r="Z288" i="3"/>
  <c r="X288" i="3"/>
  <c r="N288" i="3"/>
  <c r="L288" i="3"/>
  <c r="B288" i="3"/>
  <c r="T287" i="3"/>
  <c r="Z287" i="3" s="1"/>
  <c r="P287" i="3"/>
  <c r="X287" i="3" s="1"/>
  <c r="H287" i="3"/>
  <c r="D287" i="3"/>
  <c r="L287" i="3" s="1"/>
  <c r="B287" i="3"/>
  <c r="X286" i="3"/>
  <c r="Z286" i="3" s="1"/>
  <c r="N286" i="3"/>
  <c r="L286" i="3"/>
  <c r="B286" i="3"/>
  <c r="X285" i="3"/>
  <c r="T285" i="3"/>
  <c r="Z285" i="3" s="1"/>
  <c r="P285" i="3"/>
  <c r="L285" i="3"/>
  <c r="H285" i="3"/>
  <c r="N285" i="3" s="1"/>
  <c r="D285" i="3"/>
  <c r="B285" i="3"/>
  <c r="Z284" i="3"/>
  <c r="X284" i="3"/>
  <c r="N284" i="3"/>
  <c r="L284" i="3"/>
  <c r="B284" i="3"/>
  <c r="X283" i="3"/>
  <c r="Z283" i="3" s="1"/>
  <c r="L283" i="3"/>
  <c r="N283" i="3" s="1"/>
  <c r="B283" i="3"/>
  <c r="T282" i="3"/>
  <c r="P282" i="3"/>
  <c r="X282" i="3" s="1"/>
  <c r="Z282" i="3" s="1"/>
  <c r="H282" i="3"/>
  <c r="L282" i="3" s="1"/>
  <c r="N282" i="3" s="1"/>
  <c r="D282" i="3"/>
  <c r="B282" i="3"/>
  <c r="X281" i="3"/>
  <c r="Z281" i="3" s="1"/>
  <c r="L281" i="3"/>
  <c r="N281" i="3" s="1"/>
  <c r="B281" i="3"/>
  <c r="Z280" i="3"/>
  <c r="X280" i="3"/>
  <c r="N280" i="3"/>
  <c r="L280" i="3"/>
  <c r="B280" i="3"/>
  <c r="X279" i="3"/>
  <c r="Z279" i="3" s="1"/>
  <c r="L279" i="3"/>
  <c r="N279" i="3" s="1"/>
  <c r="B279" i="3"/>
  <c r="Z278" i="3"/>
  <c r="X278" i="3"/>
  <c r="L278" i="3"/>
  <c r="N278" i="3" s="1"/>
  <c r="B278" i="3"/>
  <c r="X277" i="3"/>
  <c r="Z277" i="3" s="1"/>
  <c r="L277" i="3"/>
  <c r="N277" i="3" s="1"/>
  <c r="B277" i="3"/>
  <c r="Z276" i="3"/>
  <c r="X276" i="3"/>
  <c r="N276" i="3"/>
  <c r="L276" i="3"/>
  <c r="B276" i="3"/>
  <c r="X275" i="3"/>
  <c r="Z275" i="3" s="1"/>
  <c r="L275" i="3"/>
  <c r="N275" i="3" s="1"/>
  <c r="B275" i="3"/>
  <c r="Z274" i="3"/>
  <c r="X274" i="3"/>
  <c r="L274" i="3"/>
  <c r="N274" i="3" s="1"/>
  <c r="B274" i="3"/>
  <c r="T273" i="3"/>
  <c r="P273" i="3"/>
  <c r="X273" i="3" s="1"/>
  <c r="H273" i="3"/>
  <c r="D273" i="3"/>
  <c r="L273" i="3" s="1"/>
  <c r="B273" i="3"/>
  <c r="Z272" i="3"/>
  <c r="X272" i="3"/>
  <c r="N272" i="3"/>
  <c r="L272" i="3"/>
  <c r="B272" i="3"/>
  <c r="X271" i="3"/>
  <c r="Z271" i="3" s="1"/>
  <c r="L271" i="3"/>
  <c r="N271" i="3" s="1"/>
  <c r="B271" i="3"/>
  <c r="X270" i="3"/>
  <c r="Z270" i="3" s="1"/>
  <c r="T270" i="3"/>
  <c r="P270" i="3"/>
  <c r="H270" i="3"/>
  <c r="L270" i="3" s="1"/>
  <c r="N270" i="3" s="1"/>
  <c r="D270" i="3"/>
  <c r="B270" i="3"/>
  <c r="Z269" i="3"/>
  <c r="X269" i="3"/>
  <c r="L269" i="3"/>
  <c r="N269" i="3" s="1"/>
  <c r="B269" i="3"/>
  <c r="Z268" i="3"/>
  <c r="X268" i="3"/>
  <c r="N268" i="3"/>
  <c r="L268" i="3"/>
  <c r="B268" i="3"/>
  <c r="X267" i="3"/>
  <c r="Z267" i="3" s="1"/>
  <c r="L267" i="3"/>
  <c r="N267" i="3" s="1"/>
  <c r="B267" i="3"/>
  <c r="Z266" i="3"/>
  <c r="X266" i="3"/>
  <c r="N266" i="3"/>
  <c r="L266" i="3"/>
  <c r="B266" i="3"/>
  <c r="Z265" i="3"/>
  <c r="X265" i="3"/>
  <c r="L265" i="3"/>
  <c r="N265" i="3" s="1"/>
  <c r="B265" i="3"/>
  <c r="T264" i="3"/>
  <c r="X264" i="3" s="1"/>
  <c r="Z264" i="3" s="1"/>
  <c r="P264" i="3"/>
  <c r="H264" i="3"/>
  <c r="D264" i="3"/>
  <c r="L264" i="3" s="1"/>
  <c r="N264" i="3" s="1"/>
  <c r="B264" i="3"/>
  <c r="X263" i="3"/>
  <c r="Z263" i="3" s="1"/>
  <c r="L263" i="3"/>
  <c r="N263" i="3" s="1"/>
  <c r="B263" i="3"/>
  <c r="Z262" i="3"/>
  <c r="X262" i="3"/>
  <c r="L262" i="3"/>
  <c r="N262" i="3" s="1"/>
  <c r="B262" i="3"/>
  <c r="X261" i="3"/>
  <c r="Z261" i="3" s="1"/>
  <c r="N261" i="3"/>
  <c r="L261" i="3"/>
  <c r="B261" i="3"/>
  <c r="T260" i="3"/>
  <c r="P260" i="3"/>
  <c r="X260" i="3" s="1"/>
  <c r="Z260" i="3" s="1"/>
  <c r="H260" i="3"/>
  <c r="D260" i="3"/>
  <c r="L260" i="3" s="1"/>
  <c r="N260" i="3" s="1"/>
  <c r="B260" i="3"/>
  <c r="X259" i="3"/>
  <c r="Z259" i="3" s="1"/>
  <c r="L259" i="3"/>
  <c r="N259" i="3" s="1"/>
  <c r="B259" i="3"/>
  <c r="X258" i="3"/>
  <c r="Z258" i="3" s="1"/>
  <c r="N258" i="3"/>
  <c r="L258" i="3"/>
  <c r="B258" i="3"/>
  <c r="X257" i="3"/>
  <c r="Z257" i="3" s="1"/>
  <c r="N257" i="3"/>
  <c r="L257" i="3"/>
  <c r="B257" i="3"/>
  <c r="T256" i="3"/>
  <c r="X256" i="3" s="1"/>
  <c r="Z256" i="3" s="1"/>
  <c r="P256" i="3"/>
  <c r="L256" i="3"/>
  <c r="N256" i="3" s="1"/>
  <c r="H256" i="3"/>
  <c r="D256" i="3"/>
  <c r="B256" i="3"/>
  <c r="X255" i="3"/>
  <c r="Z255" i="3" s="1"/>
  <c r="L255" i="3"/>
  <c r="N255" i="3" s="1"/>
  <c r="B255" i="3"/>
  <c r="T254" i="3"/>
  <c r="P254" i="3"/>
  <c r="X254" i="3" s="1"/>
  <c r="Z254" i="3" s="1"/>
  <c r="H254" i="3"/>
  <c r="L254" i="3" s="1"/>
  <c r="N254" i="3" s="1"/>
  <c r="D254" i="3"/>
  <c r="B254" i="3"/>
  <c r="X253" i="3"/>
  <c r="Z253" i="3" s="1"/>
  <c r="L253" i="3"/>
  <c r="N253" i="3" s="1"/>
  <c r="B253" i="3"/>
  <c r="T252" i="3"/>
  <c r="P252" i="3"/>
  <c r="X252" i="3" s="1"/>
  <c r="Z252" i="3" s="1"/>
  <c r="H252" i="3"/>
  <c r="D252" i="3"/>
  <c r="L252" i="3" s="1"/>
  <c r="N252" i="3" s="1"/>
  <c r="B252" i="3"/>
  <c r="X251" i="3"/>
  <c r="Z251" i="3" s="1"/>
  <c r="N251" i="3"/>
  <c r="L251" i="3"/>
  <c r="B251" i="3"/>
  <c r="X250" i="3"/>
  <c r="Z250" i="3" s="1"/>
  <c r="T250" i="3"/>
  <c r="P250" i="3"/>
  <c r="N250" i="3"/>
  <c r="H250" i="3"/>
  <c r="D250" i="3"/>
  <c r="L250" i="3" s="1"/>
  <c r="B250" i="3"/>
  <c r="Z249" i="3"/>
  <c r="X249" i="3"/>
  <c r="L249" i="3"/>
  <c r="N249" i="3" s="1"/>
  <c r="B249" i="3"/>
  <c r="T248" i="3"/>
  <c r="X248" i="3" s="1"/>
  <c r="Z248" i="3" s="1"/>
  <c r="P248" i="3"/>
  <c r="H248" i="3"/>
  <c r="D248" i="3"/>
  <c r="L248" i="3" s="1"/>
  <c r="N248" i="3" s="1"/>
  <c r="B248" i="3"/>
  <c r="X247" i="3"/>
  <c r="Z247" i="3" s="1"/>
  <c r="L247" i="3"/>
  <c r="N247" i="3" s="1"/>
  <c r="B247" i="3"/>
  <c r="T246" i="3"/>
  <c r="P246" i="3"/>
  <c r="X246" i="3" s="1"/>
  <c r="Z246" i="3" s="1"/>
  <c r="H246" i="3"/>
  <c r="D246" i="3"/>
  <c r="L246" i="3" s="1"/>
  <c r="N246" i="3" s="1"/>
  <c r="B246" i="3"/>
  <c r="X245" i="3"/>
  <c r="Z245" i="3" s="1"/>
  <c r="N245" i="3"/>
  <c r="L245" i="3"/>
  <c r="B245" i="3"/>
  <c r="T244" i="3"/>
  <c r="P244" i="3"/>
  <c r="X244" i="3" s="1"/>
  <c r="L244" i="3"/>
  <c r="N244" i="3" s="1"/>
  <c r="H244" i="3"/>
  <c r="D244" i="3"/>
  <c r="B244" i="3"/>
  <c r="X243" i="3"/>
  <c r="Z243" i="3" s="1"/>
  <c r="L243" i="3"/>
  <c r="N243" i="3" s="1"/>
  <c r="B243" i="3"/>
  <c r="Z242" i="3"/>
  <c r="X242" i="3"/>
  <c r="L242" i="3"/>
  <c r="N242" i="3" s="1"/>
  <c r="B242" i="3"/>
  <c r="T241" i="3"/>
  <c r="P241" i="3"/>
  <c r="H241" i="3"/>
  <c r="D241" i="3"/>
  <c r="B241" i="3"/>
  <c r="Z240" i="3"/>
  <c r="X240" i="3"/>
  <c r="N240" i="3"/>
  <c r="L240" i="3"/>
  <c r="B240" i="3"/>
  <c r="X239" i="3"/>
  <c r="Z239" i="3" s="1"/>
  <c r="L239" i="3"/>
  <c r="N239" i="3" s="1"/>
  <c r="B239" i="3"/>
  <c r="T238" i="3"/>
  <c r="P238" i="3"/>
  <c r="X238" i="3" s="1"/>
  <c r="Z238" i="3" s="1"/>
  <c r="H238" i="3"/>
  <c r="D238" i="3"/>
  <c r="L238" i="3" s="1"/>
  <c r="N238" i="3" s="1"/>
  <c r="B238" i="3"/>
  <c r="X237" i="3"/>
  <c r="Z237" i="3" s="1"/>
  <c r="N237" i="3"/>
  <c r="L237" i="3"/>
  <c r="B237" i="3"/>
  <c r="T236" i="3"/>
  <c r="Z236" i="3" s="1"/>
  <c r="P236" i="3"/>
  <c r="X236" i="3" s="1"/>
  <c r="L236" i="3"/>
  <c r="N236" i="3" s="1"/>
  <c r="H236" i="3"/>
  <c r="D236" i="3"/>
  <c r="B236" i="3"/>
  <c r="X235" i="3"/>
  <c r="Z235" i="3" s="1"/>
  <c r="L235" i="3"/>
  <c r="N235" i="3" s="1"/>
  <c r="B235" i="3"/>
  <c r="T234" i="3"/>
  <c r="P234" i="3"/>
  <c r="X234" i="3" s="1"/>
  <c r="Z234" i="3" s="1"/>
  <c r="H234" i="3"/>
  <c r="L234" i="3" s="1"/>
  <c r="N234" i="3" s="1"/>
  <c r="D234" i="3"/>
  <c r="B234" i="3"/>
  <c r="X233" i="3"/>
  <c r="Z233" i="3" s="1"/>
  <c r="L233" i="3"/>
  <c r="N233" i="3" s="1"/>
  <c r="B233" i="3"/>
  <c r="T232" i="3"/>
  <c r="P232" i="3"/>
  <c r="X232" i="3" s="1"/>
  <c r="Z232" i="3" s="1"/>
  <c r="H232" i="3"/>
  <c r="D232" i="3"/>
  <c r="L232" i="3" s="1"/>
  <c r="N232" i="3" s="1"/>
  <c r="B232" i="3"/>
  <c r="X231" i="3"/>
  <c r="Z231" i="3" s="1"/>
  <c r="L231" i="3"/>
  <c r="N231" i="3" s="1"/>
  <c r="B231" i="3"/>
  <c r="X230" i="3"/>
  <c r="Z230" i="3" s="1"/>
  <c r="N230" i="3"/>
  <c r="L230" i="3"/>
  <c r="B230" i="3"/>
  <c r="X229" i="3"/>
  <c r="Z229" i="3" s="1"/>
  <c r="T229" i="3"/>
  <c r="P229" i="3"/>
  <c r="L229" i="3"/>
  <c r="H229" i="3"/>
  <c r="N229" i="3" s="1"/>
  <c r="D229" i="3"/>
  <c r="B229" i="3"/>
  <c r="Z228" i="3"/>
  <c r="X228" i="3"/>
  <c r="N228" i="3"/>
  <c r="L228" i="3"/>
  <c r="B228" i="3"/>
  <c r="X227" i="3"/>
  <c r="Z227" i="3" s="1"/>
  <c r="L227" i="3"/>
  <c r="N227" i="3" s="1"/>
  <c r="B227" i="3"/>
  <c r="Z226" i="3"/>
  <c r="X226" i="3"/>
  <c r="L226" i="3"/>
  <c r="N226" i="3" s="1"/>
  <c r="B226" i="3"/>
  <c r="T225" i="3"/>
  <c r="P225" i="3"/>
  <c r="H225" i="3"/>
  <c r="D225" i="3"/>
  <c r="B225" i="3"/>
  <c r="Z224" i="3"/>
  <c r="X224" i="3"/>
  <c r="N224" i="3"/>
  <c r="L224" i="3"/>
  <c r="B224" i="3"/>
  <c r="T223" i="3"/>
  <c r="P223" i="3"/>
  <c r="X223" i="3" s="1"/>
  <c r="H223" i="3"/>
  <c r="D223" i="3"/>
  <c r="L223" i="3" s="1"/>
  <c r="B223" i="3"/>
  <c r="Z222" i="3"/>
  <c r="X222" i="3"/>
  <c r="N222" i="3"/>
  <c r="L222" i="3"/>
  <c r="B222" i="3"/>
  <c r="X221" i="3"/>
  <c r="Z221" i="3" s="1"/>
  <c r="N221" i="3"/>
  <c r="L221" i="3"/>
  <c r="B221" i="3"/>
  <c r="T220" i="3"/>
  <c r="Z220" i="3" s="1"/>
  <c r="P220" i="3"/>
  <c r="X220" i="3" s="1"/>
  <c r="L220" i="3"/>
  <c r="N220" i="3" s="1"/>
  <c r="H220" i="3"/>
  <c r="D220" i="3"/>
  <c r="B220" i="3"/>
  <c r="X219" i="3"/>
  <c r="Z219" i="3" s="1"/>
  <c r="L219" i="3"/>
  <c r="N219" i="3" s="1"/>
  <c r="B219" i="3"/>
  <c r="T218" i="3"/>
  <c r="P218" i="3"/>
  <c r="X218" i="3" s="1"/>
  <c r="Z218" i="3" s="1"/>
  <c r="H218" i="3"/>
  <c r="L218" i="3" s="1"/>
  <c r="N218" i="3" s="1"/>
  <c r="D218" i="3"/>
  <c r="B218" i="3"/>
  <c r="Z217" i="3"/>
  <c r="X217" i="3"/>
  <c r="L217" i="3"/>
  <c r="N217" i="3" s="1"/>
  <c r="B217" i="3"/>
  <c r="Z216" i="3"/>
  <c r="X216" i="3"/>
  <c r="N216" i="3"/>
  <c r="L216" i="3"/>
  <c r="B216" i="3"/>
  <c r="X215" i="3"/>
  <c r="Z215" i="3" s="1"/>
  <c r="L215" i="3"/>
  <c r="N215" i="3" s="1"/>
  <c r="B215" i="3"/>
  <c r="X214" i="3"/>
  <c r="Z214" i="3" s="1"/>
  <c r="L214" i="3"/>
  <c r="N214" i="3" s="1"/>
  <c r="B214" i="3"/>
  <c r="Z213" i="3"/>
  <c r="X213" i="3"/>
  <c r="L213" i="3"/>
  <c r="N213" i="3" s="1"/>
  <c r="B213" i="3"/>
  <c r="Z212" i="3"/>
  <c r="X212" i="3"/>
  <c r="N212" i="3"/>
  <c r="L212" i="3"/>
  <c r="B212" i="3"/>
  <c r="X211" i="3"/>
  <c r="Z211" i="3" s="1"/>
  <c r="L211" i="3"/>
  <c r="N211" i="3" s="1"/>
  <c r="B211" i="3"/>
  <c r="T210" i="3"/>
  <c r="P210" i="3"/>
  <c r="X210" i="3" s="1"/>
  <c r="Z210" i="3" s="1"/>
  <c r="H210" i="3"/>
  <c r="D210" i="3"/>
  <c r="L210" i="3" s="1"/>
  <c r="N210" i="3" s="1"/>
  <c r="B210" i="3"/>
  <c r="X209" i="3"/>
  <c r="Z209" i="3" s="1"/>
  <c r="N209" i="3"/>
  <c r="L209" i="3"/>
  <c r="B209" i="3"/>
  <c r="Z208" i="3"/>
  <c r="X208" i="3"/>
  <c r="N208" i="3"/>
  <c r="L208" i="3"/>
  <c r="B208" i="3"/>
  <c r="X207" i="3"/>
  <c r="Z207" i="3" s="1"/>
  <c r="L207" i="3"/>
  <c r="N207" i="3" s="1"/>
  <c r="B207" i="3"/>
  <c r="X206" i="3"/>
  <c r="Z206" i="3" s="1"/>
  <c r="N206" i="3"/>
  <c r="L206" i="3"/>
  <c r="B206" i="3"/>
  <c r="X205" i="3"/>
  <c r="Z205" i="3" s="1"/>
  <c r="N205" i="3"/>
  <c r="L205" i="3"/>
  <c r="B205" i="3"/>
  <c r="Z204" i="3"/>
  <c r="X204" i="3"/>
  <c r="N204" i="3"/>
  <c r="L204" i="3"/>
  <c r="B204" i="3"/>
  <c r="X203" i="3"/>
  <c r="Z203" i="3" s="1"/>
  <c r="L203" i="3"/>
  <c r="N203" i="3" s="1"/>
  <c r="B203" i="3"/>
  <c r="X202" i="3"/>
  <c r="Z202" i="3" s="1"/>
  <c r="N202" i="3"/>
  <c r="L202" i="3"/>
  <c r="B202" i="3"/>
  <c r="X201" i="3"/>
  <c r="Z201" i="3" s="1"/>
  <c r="N201" i="3"/>
  <c r="L201" i="3"/>
  <c r="B201" i="3"/>
  <c r="T200" i="3"/>
  <c r="Z200" i="3" s="1"/>
  <c r="P200" i="3"/>
  <c r="X200" i="3" s="1"/>
  <c r="L200" i="3"/>
  <c r="N200" i="3" s="1"/>
  <c r="H200" i="3"/>
  <c r="D200" i="3"/>
  <c r="B200" i="3"/>
  <c r="T199" i="3"/>
  <c r="P199" i="3"/>
  <c r="X199" i="3" s="1"/>
  <c r="H199" i="3"/>
  <c r="D199" i="3"/>
  <c r="X195" i="3"/>
  <c r="Z195" i="3" s="1"/>
  <c r="N195" i="3"/>
  <c r="L195" i="3"/>
  <c r="B195" i="3"/>
  <c r="Z194" i="3"/>
  <c r="X194" i="3"/>
  <c r="L194" i="3"/>
  <c r="N194" i="3" s="1"/>
  <c r="B194" i="3"/>
  <c r="Z193" i="3"/>
  <c r="X193" i="3"/>
  <c r="N193" i="3"/>
  <c r="L193" i="3"/>
  <c r="B193" i="3"/>
  <c r="Z192" i="3"/>
  <c r="X192" i="3"/>
  <c r="N192" i="3"/>
  <c r="L192" i="3"/>
  <c r="B192" i="3"/>
  <c r="Z191" i="3"/>
  <c r="X191" i="3"/>
  <c r="N191" i="3"/>
  <c r="L191" i="3"/>
  <c r="B191" i="3"/>
  <c r="Z190" i="3"/>
  <c r="X190" i="3"/>
  <c r="L190" i="3"/>
  <c r="N190" i="3" s="1"/>
  <c r="B190" i="3"/>
  <c r="Z189" i="3"/>
  <c r="X189" i="3"/>
  <c r="L189" i="3"/>
  <c r="N189" i="3" s="1"/>
  <c r="B189" i="3"/>
  <c r="Z188" i="3"/>
  <c r="X188" i="3"/>
  <c r="N188" i="3"/>
  <c r="L188" i="3"/>
  <c r="B188" i="3"/>
  <c r="X187" i="3"/>
  <c r="Z187" i="3" s="1"/>
  <c r="L187" i="3"/>
  <c r="N187" i="3" s="1"/>
  <c r="B187" i="3"/>
  <c r="Z186" i="3"/>
  <c r="X186" i="3"/>
  <c r="L186" i="3"/>
  <c r="N186" i="3" s="1"/>
  <c r="B186" i="3"/>
  <c r="Z185" i="3"/>
  <c r="X185" i="3"/>
  <c r="L185" i="3"/>
  <c r="N185" i="3" s="1"/>
  <c r="B185" i="3"/>
  <c r="Z184" i="3"/>
  <c r="X184" i="3"/>
  <c r="N184" i="3"/>
  <c r="L184" i="3"/>
  <c r="B184" i="3"/>
  <c r="X183" i="3"/>
  <c r="Z183" i="3" s="1"/>
  <c r="L183" i="3"/>
  <c r="N183" i="3" s="1"/>
  <c r="B183" i="3"/>
  <c r="Z182" i="3"/>
  <c r="X182" i="3"/>
  <c r="L182" i="3"/>
  <c r="N182" i="3" s="1"/>
  <c r="B182" i="3"/>
  <c r="Z181" i="3"/>
  <c r="X181" i="3"/>
  <c r="N181" i="3"/>
  <c r="L181" i="3"/>
  <c r="B181" i="3"/>
  <c r="Z180" i="3"/>
  <c r="X180" i="3"/>
  <c r="N180" i="3"/>
  <c r="L180" i="3"/>
  <c r="B180" i="3"/>
  <c r="X179" i="3"/>
  <c r="Z179" i="3" s="1"/>
  <c r="N179" i="3"/>
  <c r="L179" i="3"/>
  <c r="B179" i="3"/>
  <c r="Z178" i="3"/>
  <c r="X178" i="3"/>
  <c r="N178" i="3"/>
  <c r="L178" i="3"/>
  <c r="B178" i="3"/>
  <c r="Z177" i="3"/>
  <c r="X177" i="3"/>
  <c r="L177" i="3"/>
  <c r="N177" i="3" s="1"/>
  <c r="B177" i="3"/>
  <c r="Z176" i="3"/>
  <c r="X176" i="3"/>
  <c r="N176" i="3"/>
  <c r="L176" i="3"/>
  <c r="B176" i="3"/>
  <c r="X175" i="3"/>
  <c r="Z175" i="3" s="1"/>
  <c r="L175" i="3"/>
  <c r="N175" i="3" s="1"/>
  <c r="B175" i="3"/>
  <c r="Z174" i="3"/>
  <c r="X174" i="3"/>
  <c r="L174" i="3"/>
  <c r="N174" i="3" s="1"/>
  <c r="B174" i="3"/>
  <c r="Z173" i="3"/>
  <c r="X173" i="3"/>
  <c r="L173" i="3"/>
  <c r="N173" i="3" s="1"/>
  <c r="B173" i="3"/>
  <c r="Z172" i="3"/>
  <c r="X172" i="3"/>
  <c r="N172" i="3"/>
  <c r="L172" i="3"/>
  <c r="B172" i="3"/>
  <c r="X171" i="3"/>
  <c r="Z171" i="3" s="1"/>
  <c r="N171" i="3"/>
  <c r="L171" i="3"/>
  <c r="B171" i="3"/>
  <c r="Z170" i="3"/>
  <c r="X170" i="3"/>
  <c r="N170" i="3"/>
  <c r="L170" i="3"/>
  <c r="B170" i="3"/>
  <c r="Z169" i="3"/>
  <c r="X169" i="3"/>
  <c r="L169" i="3"/>
  <c r="N169" i="3" s="1"/>
  <c r="B169" i="3"/>
  <c r="Z168" i="3"/>
  <c r="X168" i="3"/>
  <c r="N168" i="3"/>
  <c r="L168" i="3"/>
  <c r="B168" i="3"/>
  <c r="X167" i="3"/>
  <c r="Z167" i="3" s="1"/>
  <c r="L167" i="3"/>
  <c r="N167" i="3" s="1"/>
  <c r="B167" i="3"/>
  <c r="Z166" i="3"/>
  <c r="X166" i="3"/>
  <c r="L166" i="3"/>
  <c r="N166" i="3" s="1"/>
  <c r="B166" i="3"/>
  <c r="Z165" i="3"/>
  <c r="X165" i="3"/>
  <c r="L165" i="3"/>
  <c r="N165" i="3" s="1"/>
  <c r="B165" i="3"/>
  <c r="Z164" i="3"/>
  <c r="X164" i="3"/>
  <c r="N164" i="3"/>
  <c r="L164" i="3"/>
  <c r="B164" i="3"/>
  <c r="X163" i="3"/>
  <c r="Z163" i="3" s="1"/>
  <c r="L163" i="3"/>
  <c r="N163" i="3" s="1"/>
  <c r="B163" i="3"/>
  <c r="Z162" i="3"/>
  <c r="X162" i="3"/>
  <c r="L162" i="3"/>
  <c r="N162" i="3" s="1"/>
  <c r="B162" i="3"/>
  <c r="Z161" i="3"/>
  <c r="X161" i="3"/>
  <c r="L161" i="3"/>
  <c r="N161" i="3" s="1"/>
  <c r="B161" i="3"/>
  <c r="Z160" i="3"/>
  <c r="X160" i="3"/>
  <c r="N160" i="3"/>
  <c r="L160" i="3"/>
  <c r="B160" i="3"/>
  <c r="X159" i="3"/>
  <c r="Z159" i="3" s="1"/>
  <c r="L159" i="3"/>
  <c r="N159" i="3" s="1"/>
  <c r="B159" i="3"/>
  <c r="Z158" i="3"/>
  <c r="X158" i="3"/>
  <c r="L158" i="3"/>
  <c r="N158" i="3" s="1"/>
  <c r="B158" i="3"/>
  <c r="Z157" i="3"/>
  <c r="X157" i="3"/>
  <c r="L157" i="3"/>
  <c r="N157" i="3" s="1"/>
  <c r="B157" i="3"/>
  <c r="Z156" i="3"/>
  <c r="X156" i="3"/>
  <c r="N156" i="3"/>
  <c r="L156" i="3"/>
  <c r="B156" i="3"/>
  <c r="X155" i="3"/>
  <c r="Z155" i="3" s="1"/>
  <c r="L155" i="3"/>
  <c r="N155" i="3" s="1"/>
  <c r="B155" i="3"/>
  <c r="Z154" i="3"/>
  <c r="X154" i="3"/>
  <c r="L154" i="3"/>
  <c r="N154" i="3" s="1"/>
  <c r="B154" i="3"/>
  <c r="Z153" i="3"/>
  <c r="X153" i="3"/>
  <c r="L153" i="3"/>
  <c r="N153" i="3" s="1"/>
  <c r="B153" i="3"/>
  <c r="Z152" i="3"/>
  <c r="X152" i="3"/>
  <c r="N152" i="3"/>
  <c r="L152" i="3"/>
  <c r="B152" i="3"/>
  <c r="X151" i="3"/>
  <c r="Z151" i="3" s="1"/>
  <c r="L151" i="3"/>
  <c r="N151" i="3" s="1"/>
  <c r="B151" i="3"/>
  <c r="Z150" i="3"/>
  <c r="X150" i="3"/>
  <c r="L150" i="3"/>
  <c r="N150" i="3" s="1"/>
  <c r="B150" i="3"/>
  <c r="Z149" i="3"/>
  <c r="X149" i="3"/>
  <c r="L149" i="3"/>
  <c r="N149" i="3" s="1"/>
  <c r="B149" i="3"/>
  <c r="Z148" i="3"/>
  <c r="X148" i="3"/>
  <c r="N148" i="3"/>
  <c r="L148" i="3"/>
  <c r="B148" i="3"/>
  <c r="X147" i="3"/>
  <c r="Z147" i="3" s="1"/>
  <c r="L147" i="3"/>
  <c r="N147" i="3" s="1"/>
  <c r="B147" i="3"/>
  <c r="Z146" i="3"/>
  <c r="X146" i="3"/>
  <c r="L146" i="3"/>
  <c r="N146" i="3" s="1"/>
  <c r="B146" i="3"/>
  <c r="Z145" i="3"/>
  <c r="X145" i="3"/>
  <c r="N145" i="3"/>
  <c r="L145" i="3"/>
  <c r="B145" i="3"/>
  <c r="Z144" i="3"/>
  <c r="X144" i="3"/>
  <c r="N144" i="3"/>
  <c r="L144" i="3"/>
  <c r="B144" i="3"/>
  <c r="X143" i="3"/>
  <c r="Z143" i="3" s="1"/>
  <c r="L143" i="3"/>
  <c r="N143" i="3" s="1"/>
  <c r="B143" i="3"/>
  <c r="Z142" i="3"/>
  <c r="X142" i="3"/>
  <c r="L142" i="3"/>
  <c r="N142" i="3" s="1"/>
  <c r="B142" i="3"/>
  <c r="Z141" i="3"/>
  <c r="X141" i="3"/>
  <c r="L141" i="3"/>
  <c r="N141" i="3" s="1"/>
  <c r="B141" i="3"/>
  <c r="Z140" i="3"/>
  <c r="X140" i="3"/>
  <c r="N140" i="3"/>
  <c r="L140" i="3"/>
  <c r="B140" i="3"/>
  <c r="X139" i="3"/>
  <c r="Z139" i="3" s="1"/>
  <c r="L139" i="3"/>
  <c r="N139" i="3" s="1"/>
  <c r="B139" i="3"/>
  <c r="Z138" i="3"/>
  <c r="X138" i="3"/>
  <c r="L138" i="3"/>
  <c r="N138" i="3" s="1"/>
  <c r="B138" i="3"/>
  <c r="Z137" i="3"/>
  <c r="X137" i="3"/>
  <c r="L137" i="3"/>
  <c r="N137" i="3" s="1"/>
  <c r="B137" i="3"/>
  <c r="T136" i="3"/>
  <c r="X136" i="3" s="1"/>
  <c r="Z136" i="3" s="1"/>
  <c r="P136" i="3"/>
  <c r="N136" i="3"/>
  <c r="H136" i="3"/>
  <c r="D136" i="3"/>
  <c r="L136" i="3" s="1"/>
  <c r="Z134" i="3"/>
  <c r="T134" i="3"/>
  <c r="P134" i="3"/>
  <c r="X134" i="3" s="1"/>
  <c r="H134" i="3"/>
  <c r="N134" i="3" s="1"/>
  <c r="D134" i="3"/>
  <c r="B134" i="3"/>
  <c r="T133" i="3"/>
  <c r="Z133" i="3" s="1"/>
  <c r="P133" i="3"/>
  <c r="X133" i="3" s="1"/>
  <c r="H133" i="3"/>
  <c r="N133" i="3" s="1"/>
  <c r="D133" i="3"/>
  <c r="B133" i="3"/>
  <c r="Z132" i="3"/>
  <c r="T132" i="3"/>
  <c r="X132" i="3" s="1"/>
  <c r="P132" i="3"/>
  <c r="H132" i="3"/>
  <c r="N132" i="3" s="1"/>
  <c r="D132" i="3"/>
  <c r="B132" i="3"/>
  <c r="Z131" i="3"/>
  <c r="T131" i="3"/>
  <c r="P131" i="3"/>
  <c r="X131" i="3" s="1"/>
  <c r="N131" i="3"/>
  <c r="L131" i="3"/>
  <c r="H131" i="3"/>
  <c r="D131" i="3"/>
  <c r="B131" i="3"/>
  <c r="Z130" i="3"/>
  <c r="T130" i="3"/>
  <c r="P130" i="3"/>
  <c r="X130" i="3" s="1"/>
  <c r="H130" i="3"/>
  <c r="N130" i="3" s="1"/>
  <c r="D130" i="3"/>
  <c r="B130" i="3"/>
  <c r="T129" i="3"/>
  <c r="Z129" i="3" s="1"/>
  <c r="P129" i="3"/>
  <c r="X129" i="3" s="1"/>
  <c r="H129" i="3"/>
  <c r="N129" i="3" s="1"/>
  <c r="D129" i="3"/>
  <c r="B129" i="3"/>
  <c r="T128" i="3"/>
  <c r="X128" i="3" s="1"/>
  <c r="Z128" i="3" s="1"/>
  <c r="P128" i="3"/>
  <c r="H128" i="3"/>
  <c r="D128" i="3"/>
  <c r="B128" i="3"/>
  <c r="Z127" i="3"/>
  <c r="T127" i="3"/>
  <c r="P127" i="3"/>
  <c r="X127" i="3" s="1"/>
  <c r="N127" i="3"/>
  <c r="L127" i="3"/>
  <c r="H127" i="3"/>
  <c r="D127" i="3"/>
  <c r="B127" i="3"/>
  <c r="T126" i="3"/>
  <c r="P126" i="3"/>
  <c r="X126" i="3" s="1"/>
  <c r="Z126" i="3" s="1"/>
  <c r="H126" i="3"/>
  <c r="N126" i="3" s="1"/>
  <c r="D126" i="3"/>
  <c r="B126" i="3"/>
  <c r="T125" i="3"/>
  <c r="Z125" i="3" s="1"/>
  <c r="P125" i="3"/>
  <c r="X125" i="3" s="1"/>
  <c r="H125" i="3"/>
  <c r="N125" i="3" s="1"/>
  <c r="D125" i="3"/>
  <c r="B125" i="3"/>
  <c r="T124" i="3"/>
  <c r="X124" i="3" s="1"/>
  <c r="Z124" i="3" s="1"/>
  <c r="P124" i="3"/>
  <c r="H124" i="3"/>
  <c r="N124" i="3" s="1"/>
  <c r="D124" i="3"/>
  <c r="B124" i="3"/>
  <c r="T123" i="3"/>
  <c r="P123" i="3"/>
  <c r="X123" i="3" s="1"/>
  <c r="Z123" i="3" s="1"/>
  <c r="N123" i="3"/>
  <c r="L123" i="3"/>
  <c r="H123" i="3"/>
  <c r="D123" i="3"/>
  <c r="B123" i="3"/>
  <c r="T122" i="3"/>
  <c r="P122" i="3"/>
  <c r="X122" i="3" s="1"/>
  <c r="Z122" i="3" s="1"/>
  <c r="H122" i="3"/>
  <c r="D122" i="3"/>
  <c r="B122" i="3"/>
  <c r="T121" i="3"/>
  <c r="Z121" i="3" s="1"/>
  <c r="P121" i="3"/>
  <c r="X121" i="3" s="1"/>
  <c r="H121" i="3"/>
  <c r="D121" i="3"/>
  <c r="B121" i="3"/>
  <c r="T120" i="3"/>
  <c r="X120" i="3" s="1"/>
  <c r="Z120" i="3" s="1"/>
  <c r="P120" i="3"/>
  <c r="H120" i="3"/>
  <c r="D120" i="3"/>
  <c r="B120" i="3"/>
  <c r="T119" i="3"/>
  <c r="P119" i="3"/>
  <c r="X119" i="3" s="1"/>
  <c r="Z119" i="3" s="1"/>
  <c r="L119" i="3"/>
  <c r="N119" i="3" s="1"/>
  <c r="H119" i="3"/>
  <c r="D119" i="3"/>
  <c r="B119" i="3"/>
  <c r="Z118" i="3"/>
  <c r="T118" i="3"/>
  <c r="P118" i="3"/>
  <c r="X118" i="3" s="1"/>
  <c r="H118" i="3"/>
  <c r="N118" i="3" s="1"/>
  <c r="D118" i="3"/>
  <c r="L118" i="3" s="1"/>
  <c r="B118" i="3"/>
  <c r="T117" i="3"/>
  <c r="P117" i="3"/>
  <c r="X117" i="3" s="1"/>
  <c r="H117" i="3"/>
  <c r="D117" i="3"/>
  <c r="B117" i="3"/>
  <c r="Z116" i="3"/>
  <c r="T116" i="3"/>
  <c r="X116" i="3" s="1"/>
  <c r="P116" i="3"/>
  <c r="H116" i="3"/>
  <c r="N116" i="3" s="1"/>
  <c r="D116" i="3"/>
  <c r="B116" i="3"/>
  <c r="Z115" i="3"/>
  <c r="T115" i="3"/>
  <c r="P115" i="3"/>
  <c r="X115" i="3" s="1"/>
  <c r="N115" i="3"/>
  <c r="L115" i="3"/>
  <c r="H115" i="3"/>
  <c r="D115" i="3"/>
  <c r="B115" i="3"/>
  <c r="T114" i="3"/>
  <c r="P114" i="3"/>
  <c r="X114" i="3" s="1"/>
  <c r="Z114" i="3" s="1"/>
  <c r="H114" i="3"/>
  <c r="D114" i="3"/>
  <c r="L114" i="3" s="1"/>
  <c r="B114" i="3"/>
  <c r="T113" i="3"/>
  <c r="P113" i="3"/>
  <c r="X113" i="3" s="1"/>
  <c r="H113" i="3"/>
  <c r="D113" i="3"/>
  <c r="B113" i="3"/>
  <c r="Z112" i="3"/>
  <c r="T112" i="3"/>
  <c r="X112" i="3" s="1"/>
  <c r="P112" i="3"/>
  <c r="H112" i="3"/>
  <c r="D112" i="3"/>
  <c r="B112" i="3"/>
  <c r="T111" i="3"/>
  <c r="P111" i="3"/>
  <c r="X111" i="3" s="1"/>
  <c r="Z111" i="3" s="1"/>
  <c r="L111" i="3"/>
  <c r="N111" i="3" s="1"/>
  <c r="H111" i="3"/>
  <c r="D111" i="3"/>
  <c r="B111" i="3"/>
  <c r="T110" i="3"/>
  <c r="P110" i="3"/>
  <c r="X110" i="3" s="1"/>
  <c r="Z110" i="3" s="1"/>
  <c r="H110" i="3"/>
  <c r="D110" i="3"/>
  <c r="L110" i="3" s="1"/>
  <c r="B110" i="3"/>
  <c r="T109" i="3"/>
  <c r="Z109" i="3" s="1"/>
  <c r="P109" i="3"/>
  <c r="X109" i="3" s="1"/>
  <c r="H109" i="3"/>
  <c r="D109" i="3"/>
  <c r="B109" i="3"/>
  <c r="T108" i="3"/>
  <c r="X108" i="3" s="1"/>
  <c r="Z108" i="3" s="1"/>
  <c r="P108" i="3"/>
  <c r="H108" i="3"/>
  <c r="D108" i="3"/>
  <c r="B108" i="3"/>
  <c r="T107" i="3"/>
  <c r="P107" i="3"/>
  <c r="X107" i="3" s="1"/>
  <c r="Z107" i="3" s="1"/>
  <c r="L107" i="3"/>
  <c r="N107" i="3" s="1"/>
  <c r="H107" i="3"/>
  <c r="D107" i="3"/>
  <c r="B107" i="3"/>
  <c r="T106" i="3"/>
  <c r="P106" i="3"/>
  <c r="X106" i="3" s="1"/>
  <c r="Z106" i="3" s="1"/>
  <c r="H106" i="3"/>
  <c r="D106" i="3"/>
  <c r="L106" i="3" s="1"/>
  <c r="B106" i="3"/>
  <c r="T105" i="3"/>
  <c r="Z105" i="3" s="1"/>
  <c r="P105" i="3"/>
  <c r="X105" i="3" s="1"/>
  <c r="H105" i="3"/>
  <c r="N105" i="3" s="1"/>
  <c r="D105" i="3"/>
  <c r="B105" i="3"/>
  <c r="Z104" i="3"/>
  <c r="T104" i="3"/>
  <c r="X104" i="3" s="1"/>
  <c r="P104" i="3"/>
  <c r="H104" i="3"/>
  <c r="D104" i="3"/>
  <c r="B104" i="3"/>
  <c r="T103" i="3"/>
  <c r="P103" i="3"/>
  <c r="X103" i="3" s="1"/>
  <c r="Z103" i="3" s="1"/>
  <c r="L103" i="3"/>
  <c r="N103" i="3" s="1"/>
  <c r="H103" i="3"/>
  <c r="D103" i="3"/>
  <c r="B103" i="3"/>
  <c r="T102" i="3"/>
  <c r="P102" i="3"/>
  <c r="X102" i="3" s="1"/>
  <c r="Z102" i="3" s="1"/>
  <c r="H102" i="3"/>
  <c r="D102" i="3"/>
  <c r="L102" i="3" s="1"/>
  <c r="B102" i="3"/>
  <c r="T101" i="3"/>
  <c r="P101" i="3"/>
  <c r="X101" i="3" s="1"/>
  <c r="H101" i="3"/>
  <c r="D101" i="3"/>
  <c r="B101" i="3"/>
  <c r="Z100" i="3"/>
  <c r="T100" i="3"/>
  <c r="X100" i="3" s="1"/>
  <c r="P100" i="3"/>
  <c r="H100" i="3"/>
  <c r="N100" i="3" s="1"/>
  <c r="D100" i="3"/>
  <c r="B100" i="3"/>
  <c r="T99" i="3"/>
  <c r="P99" i="3"/>
  <c r="X99" i="3" s="1"/>
  <c r="Z99" i="3" s="1"/>
  <c r="N99" i="3"/>
  <c r="L99" i="3"/>
  <c r="H99" i="3"/>
  <c r="D99" i="3"/>
  <c r="B99" i="3"/>
  <c r="T98" i="3"/>
  <c r="P98" i="3"/>
  <c r="X98" i="3" s="1"/>
  <c r="Z98" i="3" s="1"/>
  <c r="H98" i="3"/>
  <c r="D98" i="3"/>
  <c r="B98" i="3"/>
  <c r="T97" i="3"/>
  <c r="P97" i="3"/>
  <c r="X97" i="3" s="1"/>
  <c r="H97" i="3"/>
  <c r="D97" i="3"/>
  <c r="B97" i="3"/>
  <c r="Z96" i="3"/>
  <c r="T96" i="3"/>
  <c r="X96" i="3" s="1"/>
  <c r="P96" i="3"/>
  <c r="H96" i="3"/>
  <c r="D96" i="3"/>
  <c r="B96" i="3"/>
  <c r="T95" i="3"/>
  <c r="P95" i="3"/>
  <c r="X95" i="3" s="1"/>
  <c r="Z95" i="3" s="1"/>
  <c r="L95" i="3"/>
  <c r="N95" i="3" s="1"/>
  <c r="H95" i="3"/>
  <c r="D95" i="3"/>
  <c r="B95" i="3"/>
  <c r="T94" i="3"/>
  <c r="P94" i="3"/>
  <c r="X94" i="3" s="1"/>
  <c r="Z94" i="3" s="1"/>
  <c r="H94" i="3"/>
  <c r="D94" i="3"/>
  <c r="L94" i="3" s="1"/>
  <c r="B94" i="3"/>
  <c r="T93" i="3"/>
  <c r="P93" i="3"/>
  <c r="X93" i="3" s="1"/>
  <c r="H93" i="3"/>
  <c r="D93" i="3"/>
  <c r="B93" i="3"/>
  <c r="Z92" i="3"/>
  <c r="T92" i="3"/>
  <c r="X92" i="3" s="1"/>
  <c r="P92" i="3"/>
  <c r="H92" i="3"/>
  <c r="N92" i="3" s="1"/>
  <c r="D92" i="3"/>
  <c r="B92" i="3"/>
  <c r="T91" i="3"/>
  <c r="P91" i="3"/>
  <c r="X91" i="3" s="1"/>
  <c r="Z91" i="3" s="1"/>
  <c r="L91" i="3"/>
  <c r="N91" i="3" s="1"/>
  <c r="H91" i="3"/>
  <c r="D91" i="3"/>
  <c r="B91" i="3"/>
  <c r="T90" i="3"/>
  <c r="P90" i="3"/>
  <c r="X90" i="3" s="1"/>
  <c r="Z90" i="3" s="1"/>
  <c r="H90" i="3"/>
  <c r="D90" i="3"/>
  <c r="B90" i="3"/>
  <c r="T89" i="3"/>
  <c r="Z89" i="3" s="1"/>
  <c r="P89" i="3"/>
  <c r="X89" i="3" s="1"/>
  <c r="H89" i="3"/>
  <c r="D89" i="3"/>
  <c r="B89" i="3"/>
  <c r="T88" i="3"/>
  <c r="X88" i="3" s="1"/>
  <c r="Z88" i="3" s="1"/>
  <c r="P88" i="3"/>
  <c r="H88" i="3"/>
  <c r="D88" i="3"/>
  <c r="B88" i="3"/>
  <c r="T87" i="3"/>
  <c r="P87" i="3"/>
  <c r="X87" i="3" s="1"/>
  <c r="Z87" i="3" s="1"/>
  <c r="L87" i="3"/>
  <c r="N87" i="3" s="1"/>
  <c r="H87" i="3"/>
  <c r="D87" i="3"/>
  <c r="B87" i="3"/>
  <c r="T86" i="3"/>
  <c r="P86" i="3"/>
  <c r="X86" i="3" s="1"/>
  <c r="Z86" i="3" s="1"/>
  <c r="H86" i="3"/>
  <c r="D86" i="3"/>
  <c r="B86" i="3"/>
  <c r="T85" i="3"/>
  <c r="Z85" i="3" s="1"/>
  <c r="P85" i="3"/>
  <c r="X85" i="3" s="1"/>
  <c r="H85" i="3"/>
  <c r="N85" i="3" s="1"/>
  <c r="D85" i="3"/>
  <c r="B85" i="3"/>
  <c r="Z84" i="3"/>
  <c r="T84" i="3"/>
  <c r="X84" i="3" s="1"/>
  <c r="P84" i="3"/>
  <c r="H84" i="3"/>
  <c r="D84" i="3"/>
  <c r="B84" i="3"/>
  <c r="T83" i="3"/>
  <c r="P83" i="3"/>
  <c r="X83" i="3" s="1"/>
  <c r="Z83" i="3" s="1"/>
  <c r="L83" i="3"/>
  <c r="N83" i="3" s="1"/>
  <c r="H83" i="3"/>
  <c r="D83" i="3"/>
  <c r="B83" i="3"/>
  <c r="T82" i="3"/>
  <c r="P82" i="3"/>
  <c r="X82" i="3" s="1"/>
  <c r="Z82" i="3" s="1"/>
  <c r="H82" i="3"/>
  <c r="D82" i="3"/>
  <c r="L82" i="3" s="1"/>
  <c r="B82" i="3"/>
  <c r="T81" i="3"/>
  <c r="P81" i="3"/>
  <c r="X81" i="3" s="1"/>
  <c r="H81" i="3"/>
  <c r="D81" i="3"/>
  <c r="B81" i="3"/>
  <c r="Z80" i="3"/>
  <c r="T80" i="3"/>
  <c r="X80" i="3" s="1"/>
  <c r="P80" i="3"/>
  <c r="H80" i="3"/>
  <c r="D80" i="3"/>
  <c r="B80" i="3"/>
  <c r="T79" i="3"/>
  <c r="P79" i="3"/>
  <c r="X79" i="3" s="1"/>
  <c r="Z79" i="3" s="1"/>
  <c r="L79" i="3"/>
  <c r="N79" i="3" s="1"/>
  <c r="H79" i="3"/>
  <c r="D79" i="3"/>
  <c r="B79" i="3"/>
  <c r="T78" i="3"/>
  <c r="P78" i="3"/>
  <c r="X78" i="3" s="1"/>
  <c r="Z78" i="3" s="1"/>
  <c r="H78" i="3"/>
  <c r="D78" i="3"/>
  <c r="B78" i="3"/>
  <c r="T77" i="3"/>
  <c r="P77" i="3"/>
  <c r="X77" i="3" s="1"/>
  <c r="H77" i="3"/>
  <c r="D77" i="3"/>
  <c r="B77" i="3"/>
  <c r="T76" i="3"/>
  <c r="X76" i="3" s="1"/>
  <c r="Z76" i="3" s="1"/>
  <c r="P76" i="3"/>
  <c r="H76" i="3"/>
  <c r="N76" i="3" s="1"/>
  <c r="D76" i="3"/>
  <c r="B76" i="3"/>
  <c r="T75" i="3"/>
  <c r="P75" i="3"/>
  <c r="X75" i="3" s="1"/>
  <c r="Z75" i="3" s="1"/>
  <c r="L75" i="3"/>
  <c r="N75" i="3" s="1"/>
  <c r="H75" i="3"/>
  <c r="D75" i="3"/>
  <c r="B75" i="3"/>
  <c r="T74" i="3"/>
  <c r="P74" i="3"/>
  <c r="X74" i="3" s="1"/>
  <c r="Z74" i="3" s="1"/>
  <c r="H74" i="3"/>
  <c r="D74" i="3"/>
  <c r="B74" i="3"/>
  <c r="T73" i="3"/>
  <c r="P73" i="3"/>
  <c r="X73" i="3" s="1"/>
  <c r="H73" i="3"/>
  <c r="D73" i="3"/>
  <c r="B73" i="3"/>
  <c r="Z72" i="3"/>
  <c r="T72" i="3"/>
  <c r="X72" i="3" s="1"/>
  <c r="P72" i="3"/>
  <c r="H72" i="3"/>
  <c r="D72" i="3"/>
  <c r="B72" i="3"/>
  <c r="T71" i="3"/>
  <c r="P71" i="3"/>
  <c r="X71" i="3" s="1"/>
  <c r="Z71" i="3" s="1"/>
  <c r="L71" i="3"/>
  <c r="N71" i="3" s="1"/>
  <c r="H71" i="3"/>
  <c r="D71" i="3"/>
  <c r="B71" i="3"/>
  <c r="T70" i="3"/>
  <c r="P70" i="3"/>
  <c r="X70" i="3" s="1"/>
  <c r="Z70" i="3" s="1"/>
  <c r="H70" i="3"/>
  <c r="N70" i="3" s="1"/>
  <c r="D70" i="3"/>
  <c r="L70" i="3" s="1"/>
  <c r="B70" i="3"/>
  <c r="T69" i="3"/>
  <c r="P69" i="3"/>
  <c r="X69" i="3" s="1"/>
  <c r="H69" i="3"/>
  <c r="D69" i="3"/>
  <c r="B69" i="3"/>
  <c r="Z68" i="3"/>
  <c r="T68" i="3"/>
  <c r="X68" i="3" s="1"/>
  <c r="P68" i="3"/>
  <c r="H68" i="3"/>
  <c r="D68" i="3"/>
  <c r="B68" i="3"/>
  <c r="T67" i="3"/>
  <c r="P67" i="3"/>
  <c r="X67" i="3" s="1"/>
  <c r="Z67" i="3" s="1"/>
  <c r="L67" i="3"/>
  <c r="N67" i="3" s="1"/>
  <c r="H67" i="3"/>
  <c r="D67" i="3"/>
  <c r="B67" i="3"/>
  <c r="T66" i="3"/>
  <c r="P66" i="3"/>
  <c r="X66" i="3" s="1"/>
  <c r="Z66" i="3" s="1"/>
  <c r="H66" i="3"/>
  <c r="D66" i="3"/>
  <c r="B66" i="3"/>
  <c r="T65" i="3"/>
  <c r="Z65" i="3" s="1"/>
  <c r="P65" i="3"/>
  <c r="X65" i="3" s="1"/>
  <c r="H65" i="3"/>
  <c r="D65" i="3"/>
  <c r="B65" i="3"/>
  <c r="T64" i="3"/>
  <c r="X64" i="3" s="1"/>
  <c r="Z64" i="3" s="1"/>
  <c r="P64" i="3"/>
  <c r="H64" i="3"/>
  <c r="D64" i="3"/>
  <c r="B64" i="3"/>
  <c r="T63" i="3"/>
  <c r="P63" i="3"/>
  <c r="X63" i="3" s="1"/>
  <c r="Z63" i="3" s="1"/>
  <c r="N63" i="3"/>
  <c r="L63" i="3"/>
  <c r="H63" i="3"/>
  <c r="D63" i="3"/>
  <c r="B63" i="3"/>
  <c r="T62" i="3"/>
  <c r="P62" i="3"/>
  <c r="X62" i="3" s="1"/>
  <c r="Z62" i="3" s="1"/>
  <c r="H62" i="3"/>
  <c r="D62" i="3"/>
  <c r="L62" i="3" s="1"/>
  <c r="B62" i="3"/>
  <c r="T61" i="3"/>
  <c r="P61" i="3"/>
  <c r="X61" i="3" s="1"/>
  <c r="H61" i="3"/>
  <c r="N61" i="3" s="1"/>
  <c r="D61" i="3"/>
  <c r="B61" i="3"/>
  <c r="T60" i="3"/>
  <c r="X60" i="3" s="1"/>
  <c r="Z60" i="3" s="1"/>
  <c r="P60" i="3"/>
  <c r="H60" i="3"/>
  <c r="D60" i="3"/>
  <c r="B60" i="3"/>
  <c r="T59" i="3"/>
  <c r="P59" i="3"/>
  <c r="X59" i="3" s="1"/>
  <c r="Z59" i="3" s="1"/>
  <c r="L59" i="3"/>
  <c r="N59" i="3" s="1"/>
  <c r="H59" i="3"/>
  <c r="D59" i="3"/>
  <c r="B59" i="3"/>
  <c r="T58" i="3"/>
  <c r="P58" i="3"/>
  <c r="X58" i="3" s="1"/>
  <c r="Z58" i="3" s="1"/>
  <c r="H58" i="3"/>
  <c r="N58" i="3" s="1"/>
  <c r="D58" i="3"/>
  <c r="L58" i="3" s="1"/>
  <c r="B58" i="3"/>
  <c r="T57" i="3"/>
  <c r="Z57" i="3" s="1"/>
  <c r="P57" i="3"/>
  <c r="X57" i="3" s="1"/>
  <c r="H57" i="3"/>
  <c r="D57" i="3"/>
  <c r="B57" i="3"/>
  <c r="T56" i="3"/>
  <c r="X56" i="3" s="1"/>
  <c r="Z56" i="3" s="1"/>
  <c r="P56" i="3"/>
  <c r="H56" i="3"/>
  <c r="D56" i="3"/>
  <c r="B56" i="3"/>
  <c r="T55" i="3"/>
  <c r="P55" i="3"/>
  <c r="X55" i="3" s="1"/>
  <c r="Z55" i="3" s="1"/>
  <c r="L55" i="3"/>
  <c r="N55" i="3" s="1"/>
  <c r="H55" i="3"/>
  <c r="D55" i="3"/>
  <c r="B55" i="3"/>
  <c r="T54" i="3"/>
  <c r="P54" i="3"/>
  <c r="X54" i="3" s="1"/>
  <c r="Z54" i="3" s="1"/>
  <c r="H54" i="3"/>
  <c r="D54" i="3"/>
  <c r="B54" i="3"/>
  <c r="T53" i="3"/>
  <c r="Z53" i="3" s="1"/>
  <c r="P53" i="3"/>
  <c r="X53" i="3" s="1"/>
  <c r="L53" i="3"/>
  <c r="H53" i="3"/>
  <c r="N53" i="3" s="1"/>
  <c r="D53" i="3"/>
  <c r="B53" i="3"/>
  <c r="Z52" i="3"/>
  <c r="T52" i="3"/>
  <c r="X52" i="3" s="1"/>
  <c r="P52" i="3"/>
  <c r="H52" i="3"/>
  <c r="D52" i="3"/>
  <c r="B52" i="3"/>
  <c r="T51" i="3"/>
  <c r="P51" i="3"/>
  <c r="X51" i="3" s="1"/>
  <c r="Z51" i="3" s="1"/>
  <c r="L51" i="3"/>
  <c r="N51" i="3" s="1"/>
  <c r="H51" i="3"/>
  <c r="D51" i="3"/>
  <c r="B51" i="3"/>
  <c r="T50" i="3"/>
  <c r="P50" i="3"/>
  <c r="X50" i="3" s="1"/>
  <c r="Z50" i="3" s="1"/>
  <c r="H50" i="3"/>
  <c r="D50" i="3"/>
  <c r="B50" i="3"/>
  <c r="T49" i="3"/>
  <c r="P49" i="3"/>
  <c r="X49" i="3" s="1"/>
  <c r="L49" i="3"/>
  <c r="H49" i="3"/>
  <c r="N49" i="3" s="1"/>
  <c r="D49" i="3"/>
  <c r="B49" i="3"/>
  <c r="Z48" i="3"/>
  <c r="T48" i="3"/>
  <c r="X48" i="3" s="1"/>
  <c r="P48" i="3"/>
  <c r="H48" i="3"/>
  <c r="D48" i="3"/>
  <c r="B48" i="3"/>
  <c r="T47" i="3"/>
  <c r="P47" i="3"/>
  <c r="X47" i="3" s="1"/>
  <c r="Z47" i="3" s="1"/>
  <c r="L47" i="3"/>
  <c r="N47" i="3" s="1"/>
  <c r="H47" i="3"/>
  <c r="D47" i="3"/>
  <c r="B47" i="3"/>
  <c r="T46" i="3"/>
  <c r="P46" i="3"/>
  <c r="X46" i="3" s="1"/>
  <c r="Z46" i="3" s="1"/>
  <c r="H46" i="3"/>
  <c r="D46" i="3"/>
  <c r="B46" i="3"/>
  <c r="T45" i="3"/>
  <c r="P45" i="3"/>
  <c r="X45" i="3" s="1"/>
  <c r="L45" i="3"/>
  <c r="H45" i="3"/>
  <c r="N45" i="3" s="1"/>
  <c r="D45" i="3"/>
  <c r="B45" i="3"/>
  <c r="T44" i="3"/>
  <c r="X44" i="3" s="1"/>
  <c r="Z44" i="3" s="1"/>
  <c r="P44" i="3"/>
  <c r="H44" i="3"/>
  <c r="N44" i="3" s="1"/>
  <c r="D44" i="3"/>
  <c r="B44" i="3"/>
  <c r="T43" i="3"/>
  <c r="P43" i="3"/>
  <c r="X43" i="3" s="1"/>
  <c r="Z43" i="3" s="1"/>
  <c r="L43" i="3"/>
  <c r="N43" i="3" s="1"/>
  <c r="H43" i="3"/>
  <c r="D43" i="3"/>
  <c r="B43" i="3"/>
  <c r="T42" i="3"/>
  <c r="P42" i="3"/>
  <c r="X42" i="3" s="1"/>
  <c r="Z42" i="3" s="1"/>
  <c r="H42" i="3"/>
  <c r="D42" i="3"/>
  <c r="B42" i="3"/>
  <c r="T41" i="3"/>
  <c r="P41" i="3"/>
  <c r="X41" i="3" s="1"/>
  <c r="H41" i="3"/>
  <c r="D41" i="3"/>
  <c r="B41" i="3"/>
  <c r="Z40" i="3"/>
  <c r="T40" i="3"/>
  <c r="X40" i="3" s="1"/>
  <c r="P40" i="3"/>
  <c r="H40" i="3"/>
  <c r="D40" i="3"/>
  <c r="B40" i="3"/>
  <c r="T39" i="3"/>
  <c r="P39" i="3"/>
  <c r="X39" i="3" s="1"/>
  <c r="Z39" i="3" s="1"/>
  <c r="L39" i="3"/>
  <c r="N39" i="3" s="1"/>
  <c r="H39" i="3"/>
  <c r="D39" i="3"/>
  <c r="B39" i="3"/>
  <c r="T38" i="3"/>
  <c r="P38" i="3"/>
  <c r="X38" i="3" s="1"/>
  <c r="Z38" i="3" s="1"/>
  <c r="H38" i="3"/>
  <c r="D38" i="3"/>
  <c r="B38" i="3"/>
  <c r="T37" i="3"/>
  <c r="P37" i="3"/>
  <c r="X37" i="3" s="1"/>
  <c r="H37" i="3"/>
  <c r="D37" i="3"/>
  <c r="B37" i="3"/>
  <c r="Z36" i="3"/>
  <c r="T36" i="3"/>
  <c r="X36" i="3" s="1"/>
  <c r="P36" i="3"/>
  <c r="H36" i="3"/>
  <c r="L36" i="3" s="1"/>
  <c r="D36" i="3"/>
  <c r="B36" i="3"/>
  <c r="T35" i="3"/>
  <c r="P35" i="3"/>
  <c r="X35" i="3" s="1"/>
  <c r="Z35" i="3" s="1"/>
  <c r="L35" i="3"/>
  <c r="N35" i="3" s="1"/>
  <c r="H35" i="3"/>
  <c r="D35" i="3"/>
  <c r="B35" i="3"/>
  <c r="T34" i="3"/>
  <c r="P34" i="3"/>
  <c r="X34" i="3" s="1"/>
  <c r="Z34" i="3" s="1"/>
  <c r="H34" i="3"/>
  <c r="D34" i="3"/>
  <c r="B34" i="3"/>
  <c r="T33" i="3"/>
  <c r="Z33" i="3" s="1"/>
  <c r="P33" i="3"/>
  <c r="X33" i="3" s="1"/>
  <c r="H33" i="3"/>
  <c r="D33" i="3"/>
  <c r="B33" i="3"/>
  <c r="T32" i="3"/>
  <c r="X32" i="3" s="1"/>
  <c r="Z32" i="3" s="1"/>
  <c r="P32" i="3"/>
  <c r="H32" i="3"/>
  <c r="L32" i="3" s="1"/>
  <c r="D32" i="3"/>
  <c r="B32" i="3"/>
  <c r="T31" i="3"/>
  <c r="P31" i="3"/>
  <c r="X31" i="3" s="1"/>
  <c r="Z31" i="3" s="1"/>
  <c r="L31" i="3"/>
  <c r="N31" i="3" s="1"/>
  <c r="H31" i="3"/>
  <c r="D31" i="3"/>
  <c r="B31" i="3"/>
  <c r="T30" i="3"/>
  <c r="P30" i="3"/>
  <c r="X30" i="3" s="1"/>
  <c r="Z30" i="3" s="1"/>
  <c r="H30" i="3"/>
  <c r="D30" i="3"/>
  <c r="B30" i="3"/>
  <c r="T29" i="3"/>
  <c r="Z29" i="3" s="1"/>
  <c r="P29" i="3"/>
  <c r="X29" i="3" s="1"/>
  <c r="L29" i="3"/>
  <c r="H29" i="3"/>
  <c r="N29" i="3" s="1"/>
  <c r="D29" i="3"/>
  <c r="B29" i="3"/>
  <c r="T28" i="3"/>
  <c r="X28" i="3" s="1"/>
  <c r="Z28" i="3" s="1"/>
  <c r="P28" i="3"/>
  <c r="H28" i="3"/>
  <c r="D28" i="3"/>
  <c r="B28" i="3"/>
  <c r="T27" i="3"/>
  <c r="P27" i="3"/>
  <c r="X27" i="3" s="1"/>
  <c r="Z27" i="3" s="1"/>
  <c r="L27" i="3"/>
  <c r="N27" i="3" s="1"/>
  <c r="H27" i="3"/>
  <c r="D27" i="3"/>
  <c r="B27" i="3"/>
  <c r="T26" i="3"/>
  <c r="P26" i="3"/>
  <c r="X26" i="3" s="1"/>
  <c r="Z26" i="3" s="1"/>
  <c r="H26" i="3"/>
  <c r="D26" i="3"/>
  <c r="B26" i="3"/>
  <c r="T25" i="3"/>
  <c r="Z25" i="3" s="1"/>
  <c r="P25" i="3"/>
  <c r="X25" i="3" s="1"/>
  <c r="L25" i="3"/>
  <c r="H25" i="3"/>
  <c r="N25" i="3" s="1"/>
  <c r="D25" i="3"/>
  <c r="B25" i="3"/>
  <c r="Z24" i="3"/>
  <c r="T24" i="3"/>
  <c r="X24" i="3" s="1"/>
  <c r="P24" i="3"/>
  <c r="H24" i="3"/>
  <c r="L24" i="3" s="1"/>
  <c r="D24" i="3"/>
  <c r="B24" i="3"/>
  <c r="T23" i="3"/>
  <c r="P23" i="3"/>
  <c r="X23" i="3" s="1"/>
  <c r="Z23" i="3" s="1"/>
  <c r="L23" i="3"/>
  <c r="N23" i="3" s="1"/>
  <c r="H23" i="3"/>
  <c r="D23" i="3"/>
  <c r="B23" i="3"/>
  <c r="T22" i="3"/>
  <c r="P22" i="3"/>
  <c r="X22" i="3" s="1"/>
  <c r="Z22" i="3" s="1"/>
  <c r="H22" i="3"/>
  <c r="D22" i="3"/>
  <c r="B22" i="3"/>
  <c r="T21" i="3"/>
  <c r="P21" i="3"/>
  <c r="X21" i="3" s="1"/>
  <c r="L21" i="3"/>
  <c r="H21" i="3"/>
  <c r="N21" i="3" s="1"/>
  <c r="D21" i="3"/>
  <c r="B21" i="3"/>
  <c r="T20" i="3"/>
  <c r="X20" i="3" s="1"/>
  <c r="Z20" i="3" s="1"/>
  <c r="P20" i="3"/>
  <c r="H20" i="3"/>
  <c r="L20" i="3" s="1"/>
  <c r="D20" i="3"/>
  <c r="B20" i="3"/>
  <c r="T19" i="3"/>
  <c r="P19" i="3"/>
  <c r="X19" i="3" s="1"/>
  <c r="Z19" i="3" s="1"/>
  <c r="L19" i="3"/>
  <c r="N19" i="3" s="1"/>
  <c r="H19" i="3"/>
  <c r="D19" i="3"/>
  <c r="B19" i="3"/>
  <c r="T18" i="3"/>
  <c r="P18" i="3"/>
  <c r="X18" i="3" s="1"/>
  <c r="Z18" i="3" s="1"/>
  <c r="H18" i="3"/>
  <c r="D18" i="3"/>
  <c r="B18" i="3"/>
  <c r="T17" i="3"/>
  <c r="Z17" i="3" s="1"/>
  <c r="P17" i="3"/>
  <c r="X17" i="3" s="1"/>
  <c r="L17" i="3"/>
  <c r="H17" i="3"/>
  <c r="N17" i="3" s="1"/>
  <c r="D17" i="3"/>
  <c r="B17" i="3"/>
  <c r="Z16" i="3"/>
  <c r="T16" i="3"/>
  <c r="X16" i="3" s="1"/>
  <c r="P16" i="3"/>
  <c r="H16" i="3"/>
  <c r="L16" i="3" s="1"/>
  <c r="D16" i="3"/>
  <c r="B16" i="3"/>
  <c r="T15" i="3"/>
  <c r="P15" i="3"/>
  <c r="X15" i="3" s="1"/>
  <c r="Z15" i="3" s="1"/>
  <c r="N15" i="3"/>
  <c r="L15" i="3"/>
  <c r="H15" i="3"/>
  <c r="D15" i="3"/>
  <c r="B15" i="3"/>
  <c r="T14" i="3"/>
  <c r="P14" i="3"/>
  <c r="X14" i="3" s="1"/>
  <c r="Z14" i="3" s="1"/>
  <c r="H14" i="3"/>
  <c r="D14" i="3"/>
  <c r="B14" i="3"/>
  <c r="T13" i="3"/>
  <c r="T12" i="3" s="1"/>
  <c r="V216" i="3" s="1"/>
  <c r="P13" i="3"/>
  <c r="L13" i="3"/>
  <c r="H13" i="3"/>
  <c r="N13" i="3" s="1"/>
  <c r="D13" i="3"/>
  <c r="D12" i="3" s="1"/>
  <c r="F220" i="3" s="1"/>
  <c r="B13" i="3"/>
  <c r="D4" i="3"/>
  <c r="B39" i="113"/>
  <c r="H24" i="113"/>
  <c r="H22" i="113"/>
  <c r="H13" i="113"/>
  <c r="D5" i="113"/>
  <c r="P20" i="112"/>
  <c r="P16" i="112"/>
  <c r="D12" i="112"/>
  <c r="P24" i="111"/>
  <c r="P22" i="111"/>
  <c r="T20" i="111"/>
  <c r="T16" i="111"/>
  <c r="T13" i="111"/>
  <c r="B38" i="113"/>
  <c r="D34" i="113"/>
  <c r="D33" i="113"/>
  <c r="D29" i="113"/>
  <c r="D25" i="113"/>
  <c r="H21" i="113"/>
  <c r="D13" i="113"/>
  <c r="D4" i="113"/>
  <c r="H34" i="112"/>
  <c r="H33" i="112"/>
  <c r="H29" i="112"/>
  <c r="H25" i="112"/>
  <c r="P15" i="112"/>
  <c r="D6" i="112"/>
  <c r="P21" i="111"/>
  <c r="T15" i="111"/>
  <c r="P13" i="111"/>
  <c r="H12" i="111"/>
  <c r="B25" i="113"/>
  <c r="D24" i="113"/>
  <c r="D22" i="113"/>
  <c r="H20" i="113"/>
  <c r="H16" i="113"/>
  <c r="B13" i="113"/>
  <c r="B39" i="112"/>
  <c r="H24" i="112"/>
  <c r="H22" i="112"/>
  <c r="H13" i="112"/>
  <c r="D5" i="112"/>
  <c r="P20" i="111"/>
  <c r="P16" i="111"/>
  <c r="D12" i="111"/>
  <c r="B22" i="113"/>
  <c r="D21" i="113"/>
  <c r="H15" i="113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B21" i="113"/>
  <c r="D20" i="113"/>
  <c r="D16" i="113"/>
  <c r="B25" i="112"/>
  <c r="D24" i="112"/>
  <c r="D22" i="112"/>
  <c r="H20" i="112"/>
  <c r="H16" i="112"/>
  <c r="B13" i="112"/>
  <c r="B39" i="111"/>
  <c r="H24" i="111"/>
  <c r="H22" i="111"/>
  <c r="H13" i="111"/>
  <c r="D5" i="111"/>
  <c r="T34" i="113"/>
  <c r="T33" i="113"/>
  <c r="T29" i="113"/>
  <c r="T25" i="113"/>
  <c r="B16" i="113"/>
  <c r="D15" i="113"/>
  <c r="T12" i="113"/>
  <c r="B22" i="112"/>
  <c r="D21" i="112"/>
  <c r="H15" i="112"/>
  <c r="B38" i="111"/>
  <c r="D34" i="111"/>
  <c r="D33" i="111"/>
  <c r="D29" i="111"/>
  <c r="D25" i="111"/>
  <c r="H21" i="111"/>
  <c r="D13" i="111"/>
  <c r="D4" i="111"/>
  <c r="P24" i="113"/>
  <c r="P22" i="113"/>
  <c r="T20" i="113"/>
  <c r="T16" i="113"/>
  <c r="T13" i="113"/>
  <c r="T24" i="112"/>
  <c r="T22" i="112"/>
  <c r="P12" i="112"/>
  <c r="B21" i="111"/>
  <c r="D20" i="111"/>
  <c r="D16" i="111"/>
  <c r="P20" i="113"/>
  <c r="P16" i="113"/>
  <c r="D12" i="113"/>
  <c r="P24" i="112"/>
  <c r="P22" i="112"/>
  <c r="T20" i="112"/>
  <c r="T16" i="112"/>
  <c r="T13" i="112"/>
  <c r="T24" i="111"/>
  <c r="T22" i="111"/>
  <c r="P12" i="111"/>
  <c r="P12" i="113"/>
  <c r="D20" i="112"/>
  <c r="B25" i="111"/>
  <c r="H16" i="111"/>
  <c r="P25" i="113"/>
  <c r="T21" i="113"/>
  <c r="T33" i="112"/>
  <c r="D15" i="112"/>
  <c r="D21" i="111"/>
  <c r="P21" i="113"/>
  <c r="H12" i="113"/>
  <c r="P33" i="112"/>
  <c r="T34" i="111"/>
  <c r="T29" i="111"/>
  <c r="B16" i="111"/>
  <c r="H25" i="113"/>
  <c r="D6" i="113"/>
  <c r="P13" i="112"/>
  <c r="P34" i="111"/>
  <c r="P29" i="111"/>
  <c r="T24" i="113"/>
  <c r="D24" i="111"/>
  <c r="H20" i="111"/>
  <c r="P34" i="113"/>
  <c r="P29" i="113"/>
  <c r="T25" i="112"/>
  <c r="T12" i="112"/>
  <c r="H15" i="111"/>
  <c r="T15" i="113"/>
  <c r="P25" i="112"/>
  <c r="T21" i="112"/>
  <c r="T33" i="111"/>
  <c r="D15" i="111"/>
  <c r="H34" i="113"/>
  <c r="H29" i="113"/>
  <c r="P15" i="113"/>
  <c r="P21" i="112"/>
  <c r="H12" i="112"/>
  <c r="P33" i="111"/>
  <c r="T22" i="113"/>
  <c r="B21" i="112"/>
  <c r="D16" i="112"/>
  <c r="D22" i="111"/>
  <c r="B13" i="111"/>
  <c r="P13" i="113"/>
  <c r="P34" i="112"/>
  <c r="P29" i="112"/>
  <c r="T25" i="111"/>
  <c r="T12" i="111"/>
  <c r="P33" i="113"/>
  <c r="T29" i="112"/>
  <c r="H33" i="113"/>
  <c r="P25" i="111"/>
  <c r="B22" i="111"/>
  <c r="T21" i="111"/>
  <c r="B16" i="112"/>
  <c r="T15" i="112"/>
  <c r="T34" i="112"/>
  <c r="P24" i="53"/>
  <c r="P22" i="53"/>
  <c r="T20" i="53"/>
  <c r="T16" i="53"/>
  <c r="T13" i="53"/>
  <c r="P34" i="52"/>
  <c r="P33" i="52"/>
  <c r="P29" i="52"/>
  <c r="P25" i="52"/>
  <c r="T21" i="52"/>
  <c r="P20" i="53"/>
  <c r="P16" i="53"/>
  <c r="D12" i="53"/>
  <c r="P21" i="52"/>
  <c r="T15" i="52"/>
  <c r="P13" i="52"/>
  <c r="H12" i="52"/>
  <c r="B39" i="53"/>
  <c r="H24" i="53"/>
  <c r="H22" i="53"/>
  <c r="H13" i="53"/>
  <c r="D4" i="53"/>
  <c r="H34" i="52"/>
  <c r="H33" i="52"/>
  <c r="H29" i="52"/>
  <c r="H25" i="52"/>
  <c r="P15" i="52"/>
  <c r="D5" i="52"/>
  <c r="P20" i="50"/>
  <c r="P16" i="50"/>
  <c r="B38" i="53"/>
  <c r="D34" i="53"/>
  <c r="D33" i="53"/>
  <c r="D29" i="53"/>
  <c r="B25" i="53"/>
  <c r="D24" i="53"/>
  <c r="D22" i="53"/>
  <c r="H20" i="53"/>
  <c r="H16" i="53"/>
  <c r="B13" i="53"/>
  <c r="B38" i="52"/>
  <c r="D34" i="52"/>
  <c r="D33" i="52"/>
  <c r="D29" i="52"/>
  <c r="D25" i="52"/>
  <c r="H21" i="52"/>
  <c r="D13" i="52"/>
  <c r="T24" i="53"/>
  <c r="T22" i="53"/>
  <c r="P12" i="53"/>
  <c r="T34" i="52"/>
  <c r="T33" i="52"/>
  <c r="T29" i="52"/>
  <c r="T25" i="52"/>
  <c r="B16" i="52"/>
  <c r="D15" i="52"/>
  <c r="T12" i="52"/>
  <c r="B21" i="50"/>
  <c r="D20" i="50"/>
  <c r="D16" i="50"/>
  <c r="P34" i="53"/>
  <c r="D15" i="53"/>
  <c r="P22" i="52"/>
  <c r="B21" i="52"/>
  <c r="P12" i="52"/>
  <c r="H34" i="53"/>
  <c r="B25" i="52"/>
  <c r="T21" i="53"/>
  <c r="D20" i="53"/>
  <c r="P13" i="53"/>
  <c r="H22" i="52"/>
  <c r="T20" i="52"/>
  <c r="T29" i="53"/>
  <c r="P21" i="53"/>
  <c r="D22" i="52"/>
  <c r="P20" i="52"/>
  <c r="H15" i="52"/>
  <c r="D12" i="52"/>
  <c r="T33" i="53"/>
  <c r="P29" i="53"/>
  <c r="T25" i="53"/>
  <c r="D16" i="53"/>
  <c r="D13" i="53"/>
  <c r="T24" i="52"/>
  <c r="B22" i="52"/>
  <c r="T16" i="52"/>
  <c r="D4" i="52"/>
  <c r="H33" i="50"/>
  <c r="P24" i="50"/>
  <c r="H21" i="50"/>
  <c r="T13" i="50"/>
  <c r="P34" i="49"/>
  <c r="P33" i="49"/>
  <c r="P29" i="49"/>
  <c r="P25" i="49"/>
  <c r="T21" i="49"/>
  <c r="P33" i="53"/>
  <c r="P25" i="53"/>
  <c r="H21" i="53"/>
  <c r="B16" i="53"/>
  <c r="P24" i="52"/>
  <c r="H20" i="52"/>
  <c r="P16" i="52"/>
  <c r="H33" i="53"/>
  <c r="H29" i="53"/>
  <c r="D21" i="53"/>
  <c r="T13" i="52"/>
  <c r="H25" i="53"/>
  <c r="B21" i="53"/>
  <c r="T15" i="53"/>
  <c r="T12" i="53"/>
  <c r="H24" i="52"/>
  <c r="D20" i="52"/>
  <c r="H16" i="52"/>
  <c r="D25" i="53"/>
  <c r="P15" i="53"/>
  <c r="D24" i="52"/>
  <c r="H13" i="52"/>
  <c r="H12" i="53"/>
  <c r="D16" i="52"/>
  <c r="B13" i="52"/>
  <c r="P29" i="50"/>
  <c r="D24" i="50"/>
  <c r="D13" i="50"/>
  <c r="B39" i="49"/>
  <c r="H15" i="53"/>
  <c r="D5" i="53"/>
  <c r="D25" i="50"/>
  <c r="T20" i="50"/>
  <c r="B13" i="50"/>
  <c r="B38" i="49"/>
  <c r="D34" i="49"/>
  <c r="D33" i="49"/>
  <c r="D29" i="49"/>
  <c r="D25" i="49"/>
  <c r="H21" i="49"/>
  <c r="D13" i="49"/>
  <c r="T34" i="53"/>
  <c r="B22" i="53"/>
  <c r="B39" i="52"/>
  <c r="T22" i="52"/>
  <c r="D21" i="52"/>
  <c r="B39" i="50"/>
  <c r="T33" i="50"/>
  <c r="B25" i="50"/>
  <c r="T21" i="50"/>
  <c r="H16" i="50"/>
  <c r="H15" i="50"/>
  <c r="B25" i="49"/>
  <c r="D24" i="49"/>
  <c r="D22" i="49"/>
  <c r="H20" i="49"/>
  <c r="H16" i="49"/>
  <c r="B13" i="49"/>
  <c r="P33" i="50"/>
  <c r="P21" i="50"/>
  <c r="B16" i="50"/>
  <c r="T29" i="49"/>
  <c r="P21" i="49"/>
  <c r="T15" i="49"/>
  <c r="H13" i="49"/>
  <c r="B38" i="47"/>
  <c r="D34" i="47"/>
  <c r="D33" i="47"/>
  <c r="D29" i="47"/>
  <c r="D25" i="47"/>
  <c r="H21" i="47"/>
  <c r="D13" i="47"/>
  <c r="B39" i="46"/>
  <c r="H24" i="46"/>
  <c r="H22" i="46"/>
  <c r="H13" i="46"/>
  <c r="D4" i="46"/>
  <c r="T29" i="50"/>
  <c r="H24" i="50"/>
  <c r="T22" i="49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B38" i="44"/>
  <c r="D34" i="44"/>
  <c r="D33" i="44"/>
  <c r="D29" i="44"/>
  <c r="D25" i="44"/>
  <c r="H21" i="44"/>
  <c r="D13" i="44"/>
  <c r="B39" i="43"/>
  <c r="T25" i="50"/>
  <c r="H13" i="50"/>
  <c r="H34" i="49"/>
  <c r="P22" i="49"/>
  <c r="D20" i="49"/>
  <c r="T16" i="49"/>
  <c r="P15" i="49"/>
  <c r="B22" i="47"/>
  <c r="D21" i="47"/>
  <c r="H15" i="47"/>
  <c r="B25" i="46"/>
  <c r="D24" i="46"/>
  <c r="D22" i="46"/>
  <c r="H20" i="46"/>
  <c r="H16" i="46"/>
  <c r="B13" i="46"/>
  <c r="B25" i="44"/>
  <c r="D24" i="44"/>
  <c r="D22" i="44"/>
  <c r="H20" i="44"/>
  <c r="H29" i="50"/>
  <c r="P25" i="50"/>
  <c r="T22" i="50"/>
  <c r="T15" i="50"/>
  <c r="T12" i="49"/>
  <c r="B21" i="47"/>
  <c r="D20" i="47"/>
  <c r="D16" i="47"/>
  <c r="B22" i="46"/>
  <c r="D21" i="46"/>
  <c r="H15" i="46"/>
  <c r="B22" i="44"/>
  <c r="D21" i="44"/>
  <c r="H15" i="44"/>
  <c r="B25" i="43"/>
  <c r="D24" i="43"/>
  <c r="D22" i="43"/>
  <c r="H20" i="43"/>
  <c r="H16" i="43"/>
  <c r="B13" i="43"/>
  <c r="T34" i="50"/>
  <c r="D33" i="50"/>
  <c r="D21" i="50"/>
  <c r="T12" i="50"/>
  <c r="T24" i="49"/>
  <c r="D21" i="49"/>
  <c r="P16" i="49"/>
  <c r="H15" i="49"/>
  <c r="P12" i="49"/>
  <c r="T34" i="47"/>
  <c r="T33" i="47"/>
  <c r="T29" i="47"/>
  <c r="T25" i="47"/>
  <c r="B16" i="47"/>
  <c r="D15" i="47"/>
  <c r="T12" i="47"/>
  <c r="B21" i="46"/>
  <c r="D20" i="46"/>
  <c r="D16" i="46"/>
  <c r="B21" i="44"/>
  <c r="D20" i="44"/>
  <c r="D16" i="44"/>
  <c r="D29" i="50"/>
  <c r="P22" i="50"/>
  <c r="P15" i="50"/>
  <c r="P12" i="50"/>
  <c r="H29" i="49"/>
  <c r="P24" i="49"/>
  <c r="B21" i="49"/>
  <c r="T24" i="47"/>
  <c r="T22" i="47"/>
  <c r="P12" i="47"/>
  <c r="T34" i="46"/>
  <c r="T33" i="46"/>
  <c r="T29" i="46"/>
  <c r="T25" i="46"/>
  <c r="B16" i="46"/>
  <c r="D15" i="46"/>
  <c r="T12" i="46"/>
  <c r="T34" i="44"/>
  <c r="T33" i="44"/>
  <c r="T29" i="44"/>
  <c r="T25" i="44"/>
  <c r="B16" i="44"/>
  <c r="D15" i="44"/>
  <c r="T12" i="44"/>
  <c r="B21" i="43"/>
  <c r="D20" i="43"/>
  <c r="D16" i="43"/>
  <c r="P34" i="50"/>
  <c r="H25" i="50"/>
  <c r="T33" i="49"/>
  <c r="T25" i="49"/>
  <c r="H22" i="49"/>
  <c r="D15" i="49"/>
  <c r="H12" i="49"/>
  <c r="P34" i="47"/>
  <c r="P33" i="47"/>
  <c r="P29" i="47"/>
  <c r="P25" i="47"/>
  <c r="T21" i="47"/>
  <c r="T24" i="46"/>
  <c r="T22" i="46"/>
  <c r="P12" i="46"/>
  <c r="B38" i="50"/>
  <c r="H22" i="50"/>
  <c r="H12" i="50"/>
  <c r="B22" i="49"/>
  <c r="D12" i="49"/>
  <c r="P24" i="47"/>
  <c r="P22" i="47"/>
  <c r="T20" i="47"/>
  <c r="T16" i="47"/>
  <c r="T13" i="47"/>
  <c r="P34" i="46"/>
  <c r="P33" i="46"/>
  <c r="P29" i="46"/>
  <c r="P25" i="46"/>
  <c r="T21" i="46"/>
  <c r="P34" i="44"/>
  <c r="P33" i="44"/>
  <c r="P29" i="44"/>
  <c r="H34" i="50"/>
  <c r="T16" i="50"/>
  <c r="D15" i="50"/>
  <c r="D12" i="50"/>
  <c r="T20" i="49"/>
  <c r="D16" i="49"/>
  <c r="T13" i="49"/>
  <c r="D5" i="49"/>
  <c r="P21" i="47"/>
  <c r="T15" i="47"/>
  <c r="P13" i="47"/>
  <c r="H12" i="47"/>
  <c r="P24" i="46"/>
  <c r="P22" i="46"/>
  <c r="T20" i="46"/>
  <c r="T16" i="46"/>
  <c r="T13" i="46"/>
  <c r="T24" i="50"/>
  <c r="D22" i="50"/>
  <c r="D5" i="50"/>
  <c r="T34" i="49"/>
  <c r="H24" i="49"/>
  <c r="B16" i="49"/>
  <c r="P13" i="49"/>
  <c r="D4" i="49"/>
  <c r="P20" i="47"/>
  <c r="P16" i="47"/>
  <c r="D12" i="47"/>
  <c r="P21" i="46"/>
  <c r="T15" i="46"/>
  <c r="P13" i="46"/>
  <c r="H12" i="46"/>
  <c r="P21" i="44"/>
  <c r="T15" i="44"/>
  <c r="P13" i="44"/>
  <c r="H12" i="44"/>
  <c r="P24" i="43"/>
  <c r="P22" i="43"/>
  <c r="T20" i="43"/>
  <c r="T16" i="43"/>
  <c r="T13" i="43"/>
  <c r="D34" i="50"/>
  <c r="B22" i="50"/>
  <c r="H20" i="50"/>
  <c r="D4" i="50"/>
  <c r="P20" i="49"/>
  <c r="H34" i="47"/>
  <c r="H33" i="47"/>
  <c r="H29" i="47"/>
  <c r="H25" i="47"/>
  <c r="P15" i="47"/>
  <c r="D5" i="47"/>
  <c r="P20" i="46"/>
  <c r="P16" i="46"/>
  <c r="D12" i="46"/>
  <c r="P20" i="44"/>
  <c r="P16" i="44"/>
  <c r="D12" i="44"/>
  <c r="P21" i="43"/>
  <c r="T15" i="43"/>
  <c r="P13" i="43"/>
  <c r="H12" i="43"/>
  <c r="H25" i="49"/>
  <c r="H34" i="46"/>
  <c r="P15" i="46"/>
  <c r="B22" i="43"/>
  <c r="P20" i="43"/>
  <c r="B21" i="41"/>
  <c r="D20" i="41"/>
  <c r="D16" i="41"/>
  <c r="B22" i="40"/>
  <c r="D21" i="40"/>
  <c r="H15" i="40"/>
  <c r="H33" i="46"/>
  <c r="H24" i="44"/>
  <c r="T16" i="44"/>
  <c r="T13" i="44"/>
  <c r="P33" i="43"/>
  <c r="T29" i="43"/>
  <c r="P15" i="43"/>
  <c r="T12" i="43"/>
  <c r="T34" i="41"/>
  <c r="T33" i="41"/>
  <c r="T29" i="41"/>
  <c r="T25" i="41"/>
  <c r="B16" i="41"/>
  <c r="D15" i="41"/>
  <c r="T12" i="41"/>
  <c r="H24" i="47"/>
  <c r="D5" i="46"/>
  <c r="H33" i="44"/>
  <c r="T22" i="44"/>
  <c r="T20" i="44"/>
  <c r="P12" i="43"/>
  <c r="T24" i="41"/>
  <c r="T22" i="41"/>
  <c r="P12" i="41"/>
  <c r="T34" i="40"/>
  <c r="T33" i="40"/>
  <c r="T29" i="40"/>
  <c r="T25" i="40"/>
  <c r="B16" i="40"/>
  <c r="D15" i="40"/>
  <c r="T12" i="40"/>
  <c r="H22" i="47"/>
  <c r="H29" i="46"/>
  <c r="B39" i="44"/>
  <c r="H13" i="44"/>
  <c r="H33" i="43"/>
  <c r="P29" i="43"/>
  <c r="T25" i="43"/>
  <c r="H24" i="43"/>
  <c r="T21" i="43"/>
  <c r="P34" i="41"/>
  <c r="P33" i="41"/>
  <c r="P29" i="41"/>
  <c r="P25" i="41"/>
  <c r="T21" i="41"/>
  <c r="T24" i="40"/>
  <c r="T22" i="40"/>
  <c r="P12" i="40"/>
  <c r="P22" i="44"/>
  <c r="H16" i="44"/>
  <c r="B13" i="44"/>
  <c r="P16" i="43"/>
  <c r="H15" i="43"/>
  <c r="P24" i="41"/>
  <c r="P22" i="41"/>
  <c r="T20" i="41"/>
  <c r="T16" i="41"/>
  <c r="T13" i="41"/>
  <c r="P34" i="40"/>
  <c r="P33" i="40"/>
  <c r="P29" i="40"/>
  <c r="P25" i="40"/>
  <c r="T21" i="40"/>
  <c r="H25" i="46"/>
  <c r="P25" i="44"/>
  <c r="P12" i="44"/>
  <c r="T34" i="43"/>
  <c r="D33" i="43"/>
  <c r="H29" i="43"/>
  <c r="P25" i="43"/>
  <c r="D15" i="43"/>
  <c r="D12" i="43"/>
  <c r="P21" i="41"/>
  <c r="T15" i="41"/>
  <c r="P13" i="41"/>
  <c r="H12" i="41"/>
  <c r="P24" i="40"/>
  <c r="P22" i="40"/>
  <c r="T20" i="40"/>
  <c r="T16" i="40"/>
  <c r="T13" i="40"/>
  <c r="P13" i="50"/>
  <c r="B39" i="47"/>
  <c r="H22" i="44"/>
  <c r="T22" i="43"/>
  <c r="D5" i="43"/>
  <c r="P20" i="41"/>
  <c r="P16" i="41"/>
  <c r="D12" i="41"/>
  <c r="P21" i="40"/>
  <c r="T15" i="40"/>
  <c r="P13" i="40"/>
  <c r="H12" i="40"/>
  <c r="H25" i="44"/>
  <c r="P34" i="43"/>
  <c r="D29" i="43"/>
  <c r="H25" i="43"/>
  <c r="H21" i="43"/>
  <c r="D4" i="43"/>
  <c r="T21" i="44"/>
  <c r="P15" i="44"/>
  <c r="D5" i="44"/>
  <c r="D21" i="43"/>
  <c r="B39" i="41"/>
  <c r="H24" i="41"/>
  <c r="H22" i="41"/>
  <c r="H13" i="41"/>
  <c r="D4" i="41"/>
  <c r="H34" i="40"/>
  <c r="H33" i="40"/>
  <c r="H29" i="40"/>
  <c r="H25" i="40"/>
  <c r="P15" i="40"/>
  <c r="D5" i="40"/>
  <c r="H33" i="49"/>
  <c r="H13" i="47"/>
  <c r="T24" i="44"/>
  <c r="D4" i="44"/>
  <c r="H34" i="43"/>
  <c r="D25" i="43"/>
  <c r="B16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D4" i="47"/>
  <c r="H34" i="44"/>
  <c r="H29" i="44"/>
  <c r="B38" i="43"/>
  <c r="D34" i="43"/>
  <c r="H22" i="43"/>
  <c r="H13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P24" i="44"/>
  <c r="T33" i="43"/>
  <c r="T24" i="43"/>
  <c r="D13" i="43"/>
  <c r="B22" i="41"/>
  <c r="D21" i="41"/>
  <c r="H15" i="41"/>
  <c r="B25" i="40"/>
  <c r="D24" i="40"/>
  <c r="D22" i="40"/>
  <c r="H20" i="40"/>
  <c r="H16" i="40"/>
  <c r="B13" i="40"/>
  <c r="D16" i="40"/>
  <c r="P24" i="38"/>
  <c r="P22" i="38"/>
  <c r="T20" i="38"/>
  <c r="T16" i="38"/>
  <c r="T13" i="38"/>
  <c r="P34" i="37"/>
  <c r="P33" i="37"/>
  <c r="P29" i="37"/>
  <c r="P25" i="37"/>
  <c r="T21" i="37"/>
  <c r="P21" i="35"/>
  <c r="T15" i="35"/>
  <c r="P13" i="35"/>
  <c r="H12" i="35"/>
  <c r="P24" i="34"/>
  <c r="P22" i="34"/>
  <c r="T20" i="34"/>
  <c r="T16" i="34"/>
  <c r="T13" i="34"/>
  <c r="P21" i="38"/>
  <c r="T15" i="38"/>
  <c r="P13" i="38"/>
  <c r="H12" i="38"/>
  <c r="P24" i="37"/>
  <c r="P22" i="37"/>
  <c r="T20" i="37"/>
  <c r="T16" i="37"/>
  <c r="T13" i="37"/>
  <c r="P20" i="35"/>
  <c r="P16" i="35"/>
  <c r="D12" i="35"/>
  <c r="P21" i="34"/>
  <c r="T15" i="34"/>
  <c r="P13" i="34"/>
  <c r="H12" i="34"/>
  <c r="P20" i="38"/>
  <c r="P16" i="38"/>
  <c r="D12" i="38"/>
  <c r="P21" i="37"/>
  <c r="T15" i="37"/>
  <c r="P13" i="37"/>
  <c r="H12" i="37"/>
  <c r="H34" i="35"/>
  <c r="H33" i="35"/>
  <c r="H29" i="35"/>
  <c r="H25" i="35"/>
  <c r="P15" i="35"/>
  <c r="D5" i="35"/>
  <c r="P20" i="34"/>
  <c r="P16" i="34"/>
  <c r="D12" i="34"/>
  <c r="H34" i="41"/>
  <c r="P15" i="41"/>
  <c r="H34" i="38"/>
  <c r="H33" i="38"/>
  <c r="H29" i="38"/>
  <c r="H25" i="38"/>
  <c r="P15" i="38"/>
  <c r="D5" i="38"/>
  <c r="P20" i="37"/>
  <c r="P16" i="37"/>
  <c r="D12" i="37"/>
  <c r="H33" i="41"/>
  <c r="B39" i="38"/>
  <c r="H24" i="38"/>
  <c r="H22" i="38"/>
  <c r="H13" i="38"/>
  <c r="D4" i="38"/>
  <c r="H34" i="37"/>
  <c r="H33" i="37"/>
  <c r="H29" i="37"/>
  <c r="H25" i="37"/>
  <c r="P15" i="37"/>
  <c r="D5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D5" i="41"/>
  <c r="D12" i="40"/>
  <c r="B38" i="38"/>
  <c r="D34" i="38"/>
  <c r="D33" i="38"/>
  <c r="D29" i="38"/>
  <c r="D25" i="38"/>
  <c r="H21" i="38"/>
  <c r="D13" i="38"/>
  <c r="B39" i="37"/>
  <c r="H24" i="37"/>
  <c r="H22" i="37"/>
  <c r="H13" i="37"/>
  <c r="D4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H29" i="41"/>
  <c r="B21" i="40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B22" i="35"/>
  <c r="D21" i="35"/>
  <c r="H15" i="35"/>
  <c r="B25" i="34"/>
  <c r="D24" i="34"/>
  <c r="D22" i="34"/>
  <c r="H20" i="34"/>
  <c r="H16" i="34"/>
  <c r="B13" i="34"/>
  <c r="P20" i="40"/>
  <c r="B22" i="38"/>
  <c r="D21" i="38"/>
  <c r="H15" i="38"/>
  <c r="B25" i="37"/>
  <c r="D24" i="37"/>
  <c r="D22" i="37"/>
  <c r="H20" i="37"/>
  <c r="H16" i="37"/>
  <c r="B13" i="37"/>
  <c r="B21" i="35"/>
  <c r="D20" i="35"/>
  <c r="D16" i="35"/>
  <c r="B22" i="34"/>
  <c r="D21" i="34"/>
  <c r="H15" i="34"/>
  <c r="H25" i="41"/>
  <c r="D20" i="40"/>
  <c r="B21" i="38"/>
  <c r="D20" i="38"/>
  <c r="D16" i="38"/>
  <c r="B22" i="37"/>
  <c r="D21" i="37"/>
  <c r="H15" i="37"/>
  <c r="T34" i="38"/>
  <c r="T33" i="38"/>
  <c r="T29" i="38"/>
  <c r="T25" i="38"/>
  <c r="B16" i="38"/>
  <c r="D15" i="38"/>
  <c r="T12" i="38"/>
  <c r="B21" i="37"/>
  <c r="D20" i="37"/>
  <c r="D16" i="37"/>
  <c r="T24" i="38"/>
  <c r="T22" i="38"/>
  <c r="P12" i="38"/>
  <c r="T34" i="37"/>
  <c r="T33" i="37"/>
  <c r="T29" i="37"/>
  <c r="T25" i="37"/>
  <c r="B16" i="37"/>
  <c r="D15" i="37"/>
  <c r="T12" i="37"/>
  <c r="P16" i="40"/>
  <c r="P34" i="38"/>
  <c r="P33" i="38"/>
  <c r="P29" i="38"/>
  <c r="P25" i="38"/>
  <c r="T21" i="38"/>
  <c r="T24" i="37"/>
  <c r="T22" i="37"/>
  <c r="P12" i="37"/>
  <c r="P24" i="35"/>
  <c r="P22" i="35"/>
  <c r="T20" i="35"/>
  <c r="T16" i="35"/>
  <c r="T13" i="35"/>
  <c r="P34" i="34"/>
  <c r="P33" i="34"/>
  <c r="P29" i="34"/>
  <c r="P25" i="34"/>
  <c r="T21" i="34"/>
  <c r="T22" i="35"/>
  <c r="T34" i="34"/>
  <c r="T29" i="34"/>
  <c r="B16" i="34"/>
  <c r="B39" i="32"/>
  <c r="H24" i="32"/>
  <c r="H22" i="32"/>
  <c r="H13" i="32"/>
  <c r="D4" i="32"/>
  <c r="H34" i="31"/>
  <c r="H33" i="31"/>
  <c r="H29" i="31"/>
  <c r="H25" i="31"/>
  <c r="P15" i="31"/>
  <c r="D5" i="31"/>
  <c r="P33" i="35"/>
  <c r="T24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B39" i="29"/>
  <c r="H24" i="29"/>
  <c r="H22" i="29"/>
  <c r="H13" i="29"/>
  <c r="D4" i="29"/>
  <c r="H34" i="28"/>
  <c r="H33" i="28"/>
  <c r="H29" i="28"/>
  <c r="H25" i="28"/>
  <c r="P15" i="28"/>
  <c r="D5" i="28"/>
  <c r="B39" i="35"/>
  <c r="H22" i="35"/>
  <c r="H13" i="35"/>
  <c r="H34" i="34"/>
  <c r="H29" i="34"/>
  <c r="P15" i="34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T25" i="35"/>
  <c r="T12" i="35"/>
  <c r="D20" i="34"/>
  <c r="B22" i="32"/>
  <c r="D21" i="32"/>
  <c r="H15" i="32"/>
  <c r="B25" i="31"/>
  <c r="D24" i="31"/>
  <c r="D22" i="31"/>
  <c r="H20" i="31"/>
  <c r="H16" i="31"/>
  <c r="B13" i="31"/>
  <c r="B25" i="29"/>
  <c r="P12" i="35"/>
  <c r="T33" i="34"/>
  <c r="D15" i="34"/>
  <c r="B21" i="32"/>
  <c r="D20" i="32"/>
  <c r="D16" i="32"/>
  <c r="B22" i="31"/>
  <c r="D21" i="31"/>
  <c r="H15" i="31"/>
  <c r="B22" i="29"/>
  <c r="D21" i="29"/>
  <c r="H15" i="29"/>
  <c r="P25" i="35"/>
  <c r="T21" i="35"/>
  <c r="T22" i="34"/>
  <c r="T34" i="32"/>
  <c r="T33" i="32"/>
  <c r="T29" i="32"/>
  <c r="T25" i="32"/>
  <c r="B16" i="32"/>
  <c r="D15" i="32"/>
  <c r="T12" i="32"/>
  <c r="B21" i="31"/>
  <c r="D20" i="31"/>
  <c r="D16" i="31"/>
  <c r="B21" i="29"/>
  <c r="D20" i="29"/>
  <c r="D16" i="29"/>
  <c r="B22" i="28"/>
  <c r="D21" i="28"/>
  <c r="H15" i="28"/>
  <c r="D4" i="35"/>
  <c r="H33" i="34"/>
  <c r="T24" i="32"/>
  <c r="T22" i="32"/>
  <c r="P12" i="32"/>
  <c r="T34" i="31"/>
  <c r="T33" i="31"/>
  <c r="T29" i="31"/>
  <c r="T25" i="31"/>
  <c r="B16" i="31"/>
  <c r="D15" i="31"/>
  <c r="T12" i="31"/>
  <c r="T34" i="35"/>
  <c r="T29" i="35"/>
  <c r="B16" i="35"/>
  <c r="P34" i="32"/>
  <c r="P33" i="32"/>
  <c r="P29" i="32"/>
  <c r="P25" i="32"/>
  <c r="T21" i="32"/>
  <c r="T24" i="31"/>
  <c r="T22" i="31"/>
  <c r="P12" i="31"/>
  <c r="T24" i="29"/>
  <c r="T22" i="29"/>
  <c r="P12" i="29"/>
  <c r="T34" i="28"/>
  <c r="T33" i="28"/>
  <c r="T29" i="28"/>
  <c r="T25" i="28"/>
  <c r="B16" i="28"/>
  <c r="D15" i="28"/>
  <c r="T12" i="28"/>
  <c r="T24" i="35"/>
  <c r="T25" i="34"/>
  <c r="T12" i="34"/>
  <c r="P24" i="32"/>
  <c r="P22" i="32"/>
  <c r="T20" i="32"/>
  <c r="T16" i="32"/>
  <c r="T13" i="32"/>
  <c r="P34" i="31"/>
  <c r="P33" i="31"/>
  <c r="P29" i="31"/>
  <c r="P25" i="31"/>
  <c r="T21" i="31"/>
  <c r="P34" i="29"/>
  <c r="P33" i="29"/>
  <c r="P29" i="29"/>
  <c r="P25" i="29"/>
  <c r="T21" i="29"/>
  <c r="T24" i="28"/>
  <c r="T22" i="28"/>
  <c r="P34" i="35"/>
  <c r="P29" i="35"/>
  <c r="P12" i="34"/>
  <c r="P21" i="32"/>
  <c r="T15" i="32"/>
  <c r="P13" i="32"/>
  <c r="H12" i="32"/>
  <c r="P24" i="31"/>
  <c r="P22" i="31"/>
  <c r="T20" i="31"/>
  <c r="T16" i="31"/>
  <c r="T13" i="31"/>
  <c r="P24" i="29"/>
  <c r="P22" i="29"/>
  <c r="T20" i="29"/>
  <c r="T16" i="29"/>
  <c r="T13" i="29"/>
  <c r="P34" i="28"/>
  <c r="H24" i="35"/>
  <c r="H25" i="34"/>
  <c r="D5" i="34"/>
  <c r="P20" i="32"/>
  <c r="P16" i="32"/>
  <c r="D12" i="32"/>
  <c r="P21" i="31"/>
  <c r="T15" i="31"/>
  <c r="P13" i="31"/>
  <c r="H12" i="31"/>
  <c r="P21" i="29"/>
  <c r="T15" i="29"/>
  <c r="P13" i="29"/>
  <c r="H12" i="29"/>
  <c r="P24" i="28"/>
  <c r="P22" i="28"/>
  <c r="T20" i="28"/>
  <c r="T33" i="35"/>
  <c r="D15" i="35"/>
  <c r="B21" i="34"/>
  <c r="D16" i="34"/>
  <c r="H34" i="32"/>
  <c r="H33" i="32"/>
  <c r="H29" i="32"/>
  <c r="H25" i="32"/>
  <c r="P15" i="32"/>
  <c r="D5" i="32"/>
  <c r="P20" i="31"/>
  <c r="P16" i="31"/>
  <c r="D12" i="31"/>
  <c r="P20" i="29"/>
  <c r="P16" i="29"/>
  <c r="D12" i="29"/>
  <c r="P21" i="28"/>
  <c r="T15" i="28"/>
  <c r="P13" i="28"/>
  <c r="H12" i="28"/>
  <c r="T34" i="29"/>
  <c r="P29" i="28"/>
  <c r="D25" i="28"/>
  <c r="P24" i="26"/>
  <c r="P22" i="26"/>
  <c r="T20" i="26"/>
  <c r="T16" i="26"/>
  <c r="T13" i="26"/>
  <c r="P34" i="25"/>
  <c r="P33" i="25"/>
  <c r="P29" i="25"/>
  <c r="P25" i="25"/>
  <c r="T21" i="25"/>
  <c r="H34" i="29"/>
  <c r="T12" i="29"/>
  <c r="B25" i="28"/>
  <c r="T21" i="28"/>
  <c r="P21" i="26"/>
  <c r="T15" i="26"/>
  <c r="P13" i="26"/>
  <c r="H12" i="26"/>
  <c r="P24" i="25"/>
  <c r="P22" i="25"/>
  <c r="T20" i="25"/>
  <c r="T16" i="25"/>
  <c r="T13" i="25"/>
  <c r="B22" i="23"/>
  <c r="D21" i="23"/>
  <c r="H15" i="23"/>
  <c r="B25" i="22"/>
  <c r="D24" i="22"/>
  <c r="D22" i="22"/>
  <c r="H20" i="22"/>
  <c r="H16" i="22"/>
  <c r="B13" i="22"/>
  <c r="T33" i="29"/>
  <c r="D24" i="29"/>
  <c r="D5" i="29"/>
  <c r="P33" i="28"/>
  <c r="D29" i="28"/>
  <c r="D12" i="28"/>
  <c r="P20" i="26"/>
  <c r="P16" i="26"/>
  <c r="D12" i="26"/>
  <c r="P21" i="25"/>
  <c r="T15" i="25"/>
  <c r="P13" i="25"/>
  <c r="H12" i="25"/>
  <c r="B21" i="23"/>
  <c r="D20" i="23"/>
  <c r="D16" i="23"/>
  <c r="B22" i="22"/>
  <c r="D21" i="22"/>
  <c r="H15" i="22"/>
  <c r="H33" i="29"/>
  <c r="B38" i="28"/>
  <c r="H21" i="28"/>
  <c r="H34" i="26"/>
  <c r="H33" i="26"/>
  <c r="H29" i="26"/>
  <c r="H25" i="26"/>
  <c r="P15" i="26"/>
  <c r="D5" i="26"/>
  <c r="P20" i="25"/>
  <c r="P16" i="25"/>
  <c r="D12" i="25"/>
  <c r="T34" i="23"/>
  <c r="T33" i="23"/>
  <c r="T29" i="23"/>
  <c r="T25" i="23"/>
  <c r="B16" i="23"/>
  <c r="D15" i="23"/>
  <c r="T12" i="23"/>
  <c r="B21" i="22"/>
  <c r="D20" i="22"/>
  <c r="D16" i="22"/>
  <c r="D33" i="28"/>
  <c r="B39" i="26"/>
  <c r="H24" i="26"/>
  <c r="H22" i="26"/>
  <c r="H13" i="26"/>
  <c r="D4" i="26"/>
  <c r="H34" i="25"/>
  <c r="H33" i="25"/>
  <c r="H29" i="25"/>
  <c r="H25" i="25"/>
  <c r="P15" i="25"/>
  <c r="D5" i="25"/>
  <c r="T24" i="23"/>
  <c r="T22" i="23"/>
  <c r="P12" i="23"/>
  <c r="T34" i="22"/>
  <c r="T33" i="22"/>
  <c r="T29" i="22"/>
  <c r="T25" i="22"/>
  <c r="B16" i="22"/>
  <c r="D15" i="22"/>
  <c r="T12" i="22"/>
  <c r="D22" i="29"/>
  <c r="H16" i="29"/>
  <c r="B21" i="28"/>
  <c r="B38" i="26"/>
  <c r="D34" i="26"/>
  <c r="D33" i="26"/>
  <c r="D29" i="26"/>
  <c r="D25" i="26"/>
  <c r="H21" i="26"/>
  <c r="D13" i="26"/>
  <c r="B39" i="25"/>
  <c r="H24" i="25"/>
  <c r="H22" i="25"/>
  <c r="H13" i="25"/>
  <c r="D4" i="25"/>
  <c r="P34" i="23"/>
  <c r="P33" i="23"/>
  <c r="P29" i="23"/>
  <c r="P25" i="23"/>
  <c r="T21" i="23"/>
  <c r="T24" i="22"/>
  <c r="T22" i="22"/>
  <c r="P12" i="22"/>
  <c r="T29" i="29"/>
  <c r="B16" i="29"/>
  <c r="D24" i="28"/>
  <c r="T16" i="28"/>
  <c r="T13" i="28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H29" i="29"/>
  <c r="P15" i="29"/>
  <c r="P20" i="28"/>
  <c r="P16" i="28"/>
  <c r="B22" i="26"/>
  <c r="D21" i="26"/>
  <c r="H15" i="26"/>
  <c r="B25" i="25"/>
  <c r="D24" i="25"/>
  <c r="D22" i="25"/>
  <c r="H20" i="25"/>
  <c r="H16" i="25"/>
  <c r="B13" i="25"/>
  <c r="P21" i="23"/>
  <c r="T15" i="23"/>
  <c r="P13" i="23"/>
  <c r="H12" i="23"/>
  <c r="P24" i="22"/>
  <c r="P22" i="22"/>
  <c r="T20" i="22"/>
  <c r="T16" i="22"/>
  <c r="T13" i="22"/>
  <c r="D13" i="28"/>
  <c r="B21" i="26"/>
  <c r="D20" i="26"/>
  <c r="D16" i="26"/>
  <c r="B22" i="25"/>
  <c r="D21" i="25"/>
  <c r="H15" i="25"/>
  <c r="P20" i="23"/>
  <c r="P16" i="23"/>
  <c r="D12" i="23"/>
  <c r="P21" i="22"/>
  <c r="T15" i="22"/>
  <c r="P13" i="22"/>
  <c r="H12" i="22"/>
  <c r="D15" i="29"/>
  <c r="H20" i="28"/>
  <c r="H16" i="28"/>
  <c r="B13" i="28"/>
  <c r="T34" i="26"/>
  <c r="T33" i="26"/>
  <c r="T29" i="26"/>
  <c r="T25" i="26"/>
  <c r="B16" i="26"/>
  <c r="D15" i="26"/>
  <c r="T12" i="26"/>
  <c r="B21" i="25"/>
  <c r="D20" i="25"/>
  <c r="D16" i="25"/>
  <c r="H34" i="23"/>
  <c r="H33" i="23"/>
  <c r="H29" i="23"/>
  <c r="H25" i="23"/>
  <c r="P15" i="23"/>
  <c r="D5" i="23"/>
  <c r="P20" i="22"/>
  <c r="P16" i="22"/>
  <c r="D12" i="22"/>
  <c r="T25" i="29"/>
  <c r="P25" i="28"/>
  <c r="D20" i="28"/>
  <c r="D16" i="28"/>
  <c r="T24" i="26"/>
  <c r="T22" i="26"/>
  <c r="P12" i="26"/>
  <c r="T34" i="25"/>
  <c r="T33" i="25"/>
  <c r="T29" i="25"/>
  <c r="T25" i="25"/>
  <c r="B16" i="25"/>
  <c r="D15" i="25"/>
  <c r="T12" i="25"/>
  <c r="B39" i="23"/>
  <c r="H24" i="23"/>
  <c r="H22" i="23"/>
  <c r="H13" i="23"/>
  <c r="D4" i="23"/>
  <c r="H34" i="22"/>
  <c r="H33" i="22"/>
  <c r="H29" i="22"/>
  <c r="H25" i="22"/>
  <c r="P15" i="22"/>
  <c r="D5" i="22"/>
  <c r="P12" i="28"/>
  <c r="P25" i="26"/>
  <c r="D33" i="23"/>
  <c r="D25" i="23"/>
  <c r="D13" i="23"/>
  <c r="H13" i="22"/>
  <c r="P34" i="20"/>
  <c r="P33" i="20"/>
  <c r="P29" i="20"/>
  <c r="P25" i="20"/>
  <c r="T21" i="20"/>
  <c r="T24" i="19"/>
  <c r="T22" i="19"/>
  <c r="P12" i="19"/>
  <c r="P21" i="17"/>
  <c r="T15" i="17"/>
  <c r="P13" i="17"/>
  <c r="H12" i="17"/>
  <c r="P24" i="16"/>
  <c r="P22" i="16"/>
  <c r="T20" i="16"/>
  <c r="T16" i="16"/>
  <c r="T13" i="16"/>
  <c r="P12" i="25"/>
  <c r="B25" i="23"/>
  <c r="H20" i="23"/>
  <c r="B13" i="23"/>
  <c r="D33" i="22"/>
  <c r="D25" i="22"/>
  <c r="D13" i="22"/>
  <c r="P24" i="20"/>
  <c r="P22" i="20"/>
  <c r="T20" i="20"/>
  <c r="T16" i="20"/>
  <c r="T13" i="20"/>
  <c r="P34" i="19"/>
  <c r="P33" i="19"/>
  <c r="P29" i="19"/>
  <c r="P25" i="19"/>
  <c r="T21" i="19"/>
  <c r="P20" i="17"/>
  <c r="P16" i="17"/>
  <c r="D12" i="17"/>
  <c r="P21" i="16"/>
  <c r="T15" i="16"/>
  <c r="P13" i="16"/>
  <c r="H12" i="16"/>
  <c r="P24" i="23"/>
  <c r="P21" i="20"/>
  <c r="T15" i="20"/>
  <c r="P13" i="20"/>
  <c r="H12" i="20"/>
  <c r="P24" i="19"/>
  <c r="P22" i="19"/>
  <c r="T20" i="19"/>
  <c r="T16" i="19"/>
  <c r="T13" i="19"/>
  <c r="H34" i="17"/>
  <c r="H33" i="17"/>
  <c r="H29" i="17"/>
  <c r="H25" i="17"/>
  <c r="P15" i="17"/>
  <c r="D5" i="17"/>
  <c r="P20" i="16"/>
  <c r="P16" i="16"/>
  <c r="D12" i="16"/>
  <c r="H25" i="29"/>
  <c r="T21" i="26"/>
  <c r="B38" i="23"/>
  <c r="B39" i="22"/>
  <c r="H24" i="22"/>
  <c r="D4" i="22"/>
  <c r="P20" i="20"/>
  <c r="P16" i="20"/>
  <c r="D12" i="20"/>
  <c r="P21" i="19"/>
  <c r="T15" i="19"/>
  <c r="P13" i="19"/>
  <c r="H12" i="19"/>
  <c r="B39" i="17"/>
  <c r="H24" i="17"/>
  <c r="H22" i="17"/>
  <c r="H13" i="17"/>
  <c r="D4" i="17"/>
  <c r="H34" i="16"/>
  <c r="H33" i="16"/>
  <c r="H29" i="16"/>
  <c r="H25" i="16"/>
  <c r="P15" i="16"/>
  <c r="D5" i="16"/>
  <c r="H20" i="29"/>
  <c r="D24" i="23"/>
  <c r="B38" i="22"/>
  <c r="H34" i="20"/>
  <c r="H33" i="20"/>
  <c r="H29" i="20"/>
  <c r="H25" i="20"/>
  <c r="P15" i="20"/>
  <c r="D5" i="20"/>
  <c r="P20" i="19"/>
  <c r="P16" i="19"/>
  <c r="D12" i="19"/>
  <c r="B38" i="17"/>
  <c r="D34" i="17"/>
  <c r="D33" i="17"/>
  <c r="D29" i="17"/>
  <c r="D25" i="17"/>
  <c r="H21" i="17"/>
  <c r="D13" i="17"/>
  <c r="B39" i="16"/>
  <c r="H24" i="16"/>
  <c r="H22" i="16"/>
  <c r="H13" i="16"/>
  <c r="D4" i="16"/>
  <c r="B13" i="29"/>
  <c r="T24" i="25"/>
  <c r="P22" i="23"/>
  <c r="T16" i="23"/>
  <c r="P29" i="22"/>
  <c r="B39" i="20"/>
  <c r="H24" i="20"/>
  <c r="H22" i="20"/>
  <c r="H13" i="20"/>
  <c r="D4" i="20"/>
  <c r="H34" i="19"/>
  <c r="H33" i="19"/>
  <c r="H29" i="19"/>
  <c r="H25" i="19"/>
  <c r="P15" i="19"/>
  <c r="D5" i="19"/>
  <c r="D34" i="28"/>
  <c r="T22" i="25"/>
  <c r="D29" i="23"/>
  <c r="H22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B22" i="17"/>
  <c r="D21" i="17"/>
  <c r="H15" i="17"/>
  <c r="B25" i="16"/>
  <c r="D24" i="16"/>
  <c r="D22" i="16"/>
  <c r="H20" i="16"/>
  <c r="H16" i="16"/>
  <c r="B13" i="16"/>
  <c r="P34" i="26"/>
  <c r="D22" i="23"/>
  <c r="H16" i="23"/>
  <c r="D29" i="22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B21" i="17"/>
  <c r="D20" i="17"/>
  <c r="D16" i="17"/>
  <c r="B22" i="16"/>
  <c r="D21" i="16"/>
  <c r="H15" i="16"/>
  <c r="P33" i="26"/>
  <c r="P34" i="22"/>
  <c r="T21" i="22"/>
  <c r="B22" i="20"/>
  <c r="D21" i="20"/>
  <c r="H15" i="20"/>
  <c r="B25" i="19"/>
  <c r="D24" i="19"/>
  <c r="D22" i="19"/>
  <c r="H20" i="19"/>
  <c r="H16" i="19"/>
  <c r="B13" i="19"/>
  <c r="D22" i="28"/>
  <c r="D34" i="23"/>
  <c r="H21" i="23"/>
  <c r="B21" i="20"/>
  <c r="D20" i="20"/>
  <c r="D16" i="20"/>
  <c r="B22" i="19"/>
  <c r="D21" i="19"/>
  <c r="H15" i="19"/>
  <c r="T24" i="17"/>
  <c r="T22" i="17"/>
  <c r="P12" i="17"/>
  <c r="T34" i="16"/>
  <c r="T33" i="16"/>
  <c r="T29" i="16"/>
  <c r="T25" i="16"/>
  <c r="B16" i="16"/>
  <c r="D15" i="16"/>
  <c r="T12" i="16"/>
  <c r="P29" i="26"/>
  <c r="D34" i="22"/>
  <c r="H21" i="22"/>
  <c r="T34" i="20"/>
  <c r="T33" i="20"/>
  <c r="T29" i="20"/>
  <c r="T25" i="20"/>
  <c r="B16" i="20"/>
  <c r="D15" i="20"/>
  <c r="T12" i="20"/>
  <c r="B21" i="19"/>
  <c r="D20" i="19"/>
  <c r="D16" i="19"/>
  <c r="P34" i="17"/>
  <c r="P33" i="17"/>
  <c r="P29" i="17"/>
  <c r="P25" i="17"/>
  <c r="T21" i="17"/>
  <c r="T24" i="16"/>
  <c r="T22" i="16"/>
  <c r="P12" i="16"/>
  <c r="T22" i="20"/>
  <c r="T29" i="19"/>
  <c r="T20" i="17"/>
  <c r="T13" i="17"/>
  <c r="P33" i="16"/>
  <c r="P25" i="16"/>
  <c r="H34" i="14"/>
  <c r="H33" i="14"/>
  <c r="H29" i="14"/>
  <c r="H25" i="14"/>
  <c r="P15" i="14"/>
  <c r="D5" i="14"/>
  <c r="P20" i="13"/>
  <c r="P16" i="13"/>
  <c r="D12" i="13"/>
  <c r="B25" i="17"/>
  <c r="H20" i="17"/>
  <c r="B13" i="17"/>
  <c r="D33" i="16"/>
  <c r="D25" i="16"/>
  <c r="D13" i="16"/>
  <c r="B39" i="14"/>
  <c r="H24" i="14"/>
  <c r="H22" i="14"/>
  <c r="H13" i="14"/>
  <c r="D4" i="14"/>
  <c r="H34" i="13"/>
  <c r="H33" i="13"/>
  <c r="H29" i="13"/>
  <c r="H25" i="13"/>
  <c r="P15" i="13"/>
  <c r="D5" i="13"/>
  <c r="P21" i="11"/>
  <c r="T15" i="11"/>
  <c r="P13" i="11"/>
  <c r="H12" i="11"/>
  <c r="P24" i="10"/>
  <c r="P22" i="10"/>
  <c r="T20" i="10"/>
  <c r="T16" i="10"/>
  <c r="T13" i="10"/>
  <c r="T25" i="19"/>
  <c r="T12" i="17"/>
  <c r="D20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P20" i="11"/>
  <c r="P16" i="11"/>
  <c r="D12" i="11"/>
  <c r="P21" i="10"/>
  <c r="T15" i="10"/>
  <c r="P13" i="10"/>
  <c r="H12" i="10"/>
  <c r="T20" i="23"/>
  <c r="P24" i="17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T13" i="23"/>
  <c r="D24" i="17"/>
  <c r="B38" i="16"/>
  <c r="B22" i="14"/>
  <c r="D21" i="14"/>
  <c r="H15" i="14"/>
  <c r="B25" i="13"/>
  <c r="D24" i="13"/>
  <c r="D22" i="13"/>
  <c r="H20" i="13"/>
  <c r="H16" i="13"/>
  <c r="B13" i="13"/>
  <c r="B39" i="11"/>
  <c r="H24" i="11"/>
  <c r="H22" i="11"/>
  <c r="H13" i="11"/>
  <c r="D4" i="11"/>
  <c r="H34" i="10"/>
  <c r="H33" i="10"/>
  <c r="H29" i="10"/>
  <c r="H25" i="10"/>
  <c r="P15" i="10"/>
  <c r="D5" i="10"/>
  <c r="P21" i="8"/>
  <c r="T15" i="8"/>
  <c r="P13" i="8"/>
  <c r="H12" i="8"/>
  <c r="P24" i="7"/>
  <c r="P22" i="7"/>
  <c r="T20" i="7"/>
  <c r="T16" i="7"/>
  <c r="P33" i="22"/>
  <c r="T29" i="17"/>
  <c r="B21" i="14"/>
  <c r="D20" i="14"/>
  <c r="D16" i="14"/>
  <c r="B22" i="13"/>
  <c r="D21" i="13"/>
  <c r="H15" i="13"/>
  <c r="P25" i="22"/>
  <c r="P22" i="17"/>
  <c r="T16" i="17"/>
  <c r="P29" i="16"/>
  <c r="T34" i="14"/>
  <c r="T33" i="14"/>
  <c r="T29" i="14"/>
  <c r="T25" i="14"/>
  <c r="B16" i="14"/>
  <c r="D15" i="14"/>
  <c r="T12" i="14"/>
  <c r="B21" i="13"/>
  <c r="D20" i="13"/>
  <c r="D16" i="13"/>
  <c r="P12" i="20"/>
  <c r="D22" i="17"/>
  <c r="H16" i="17"/>
  <c r="D29" i="16"/>
  <c r="T24" i="14"/>
  <c r="T22" i="14"/>
  <c r="P12" i="14"/>
  <c r="T34" i="13"/>
  <c r="T33" i="13"/>
  <c r="T29" i="13"/>
  <c r="T25" i="13"/>
  <c r="B16" i="13"/>
  <c r="D15" i="13"/>
  <c r="T12" i="13"/>
  <c r="B22" i="11"/>
  <c r="D21" i="11"/>
  <c r="H15" i="11"/>
  <c r="B25" i="10"/>
  <c r="D24" i="10"/>
  <c r="D22" i="10"/>
  <c r="H20" i="10"/>
  <c r="H16" i="10"/>
  <c r="B13" i="10"/>
  <c r="T34" i="17"/>
  <c r="B16" i="17"/>
  <c r="D16" i="16"/>
  <c r="P34" i="14"/>
  <c r="P33" i="14"/>
  <c r="P29" i="14"/>
  <c r="P25" i="14"/>
  <c r="T21" i="14"/>
  <c r="T24" i="13"/>
  <c r="T22" i="13"/>
  <c r="P12" i="13"/>
  <c r="T34" i="19"/>
  <c r="B16" i="19"/>
  <c r="P34" i="16"/>
  <c r="T21" i="16"/>
  <c r="P24" i="14"/>
  <c r="P22" i="14"/>
  <c r="T20" i="14"/>
  <c r="T16" i="14"/>
  <c r="T13" i="14"/>
  <c r="P34" i="13"/>
  <c r="P33" i="13"/>
  <c r="P29" i="13"/>
  <c r="P25" i="13"/>
  <c r="T21" i="13"/>
  <c r="T33" i="19"/>
  <c r="D15" i="19"/>
  <c r="D34" i="16"/>
  <c r="H21" i="16"/>
  <c r="P21" i="14"/>
  <c r="T15" i="14"/>
  <c r="P13" i="14"/>
  <c r="H12" i="14"/>
  <c r="P24" i="13"/>
  <c r="P22" i="13"/>
  <c r="T20" i="13"/>
  <c r="T16" i="13"/>
  <c r="T13" i="13"/>
  <c r="T24" i="11"/>
  <c r="T22" i="11"/>
  <c r="P12" i="11"/>
  <c r="T34" i="10"/>
  <c r="T33" i="10"/>
  <c r="T29" i="10"/>
  <c r="T25" i="10"/>
  <c r="B16" i="10"/>
  <c r="D15" i="10"/>
  <c r="T12" i="10"/>
  <c r="B22" i="8"/>
  <c r="D21" i="8"/>
  <c r="H15" i="8"/>
  <c r="B25" i="7"/>
  <c r="D24" i="7"/>
  <c r="D22" i="7"/>
  <c r="H20" i="7"/>
  <c r="H16" i="7"/>
  <c r="D12" i="14"/>
  <c r="T20" i="11"/>
  <c r="D5" i="11"/>
  <c r="P25" i="10"/>
  <c r="H21" i="10"/>
  <c r="D25" i="8"/>
  <c r="T20" i="8"/>
  <c r="P12" i="8"/>
  <c r="P25" i="7"/>
  <c r="H22" i="7"/>
  <c r="D21" i="7"/>
  <c r="D5" i="7"/>
  <c r="T34" i="5"/>
  <c r="T33" i="5"/>
  <c r="T29" i="5"/>
  <c r="T25" i="5"/>
  <c r="B16" i="5"/>
  <c r="D15" i="5"/>
  <c r="T12" i="5"/>
  <c r="B21" i="4"/>
  <c r="D20" i="4"/>
  <c r="D16" i="4"/>
  <c r="T12" i="8"/>
  <c r="D22" i="11"/>
  <c r="B39" i="10"/>
  <c r="P34" i="10"/>
  <c r="D29" i="10"/>
  <c r="T22" i="10"/>
  <c r="D21" i="10"/>
  <c r="B39" i="8"/>
  <c r="T33" i="8"/>
  <c r="B25" i="8"/>
  <c r="T21" i="8"/>
  <c r="P20" i="8"/>
  <c r="H16" i="8"/>
  <c r="D15" i="8"/>
  <c r="H34" i="7"/>
  <c r="D33" i="7"/>
  <c r="B21" i="7"/>
  <c r="P15" i="7"/>
  <c r="H13" i="7"/>
  <c r="D4" i="7"/>
  <c r="T24" i="5"/>
  <c r="T22" i="5"/>
  <c r="P12" i="5"/>
  <c r="T34" i="4"/>
  <c r="T33" i="4"/>
  <c r="T29" i="4"/>
  <c r="T25" i="4"/>
  <c r="B16" i="4"/>
  <c r="D15" i="4"/>
  <c r="T12" i="4"/>
  <c r="D20" i="7"/>
  <c r="D20" i="5"/>
  <c r="T15" i="13"/>
  <c r="T33" i="11"/>
  <c r="T16" i="11"/>
  <c r="D15" i="11"/>
  <c r="B38" i="10"/>
  <c r="B21" i="10"/>
  <c r="P12" i="10"/>
  <c r="B38" i="8"/>
  <c r="H29" i="8"/>
  <c r="T22" i="8"/>
  <c r="D16" i="8"/>
  <c r="T29" i="7"/>
  <c r="H24" i="7"/>
  <c r="B22" i="7"/>
  <c r="P16" i="7"/>
  <c r="D13" i="7"/>
  <c r="P34" i="5"/>
  <c r="P33" i="5"/>
  <c r="P29" i="5"/>
  <c r="P25" i="5"/>
  <c r="T21" i="5"/>
  <c r="T24" i="4"/>
  <c r="T22" i="4"/>
  <c r="P12" i="4"/>
  <c r="D34" i="11"/>
  <c r="D13" i="10"/>
  <c r="D12" i="7"/>
  <c r="T33" i="17"/>
  <c r="P13" i="13"/>
  <c r="P33" i="11"/>
  <c r="P24" i="11"/>
  <c r="H20" i="11"/>
  <c r="D25" i="10"/>
  <c r="T34" i="8"/>
  <c r="P33" i="8"/>
  <c r="B16" i="8"/>
  <c r="D12" i="8"/>
  <c r="D34" i="7"/>
  <c r="H25" i="7"/>
  <c r="B13" i="7"/>
  <c r="P24" i="5"/>
  <c r="P22" i="5"/>
  <c r="T20" i="5"/>
  <c r="T16" i="5"/>
  <c r="T13" i="5"/>
  <c r="P34" i="4"/>
  <c r="P33" i="4"/>
  <c r="P29" i="4"/>
  <c r="P25" i="4"/>
  <c r="T21" i="4"/>
  <c r="H33" i="7"/>
  <c r="T25" i="17"/>
  <c r="H12" i="13"/>
  <c r="T29" i="11"/>
  <c r="T21" i="11"/>
  <c r="D20" i="11"/>
  <c r="T13" i="11"/>
  <c r="D34" i="10"/>
  <c r="H22" i="10"/>
  <c r="D12" i="10"/>
  <c r="D29" i="8"/>
  <c r="T24" i="8"/>
  <c r="P22" i="8"/>
  <c r="T13" i="8"/>
  <c r="D5" i="8"/>
  <c r="P29" i="7"/>
  <c r="H15" i="7"/>
  <c r="P21" i="5"/>
  <c r="T15" i="5"/>
  <c r="P13" i="5"/>
  <c r="H12" i="5"/>
  <c r="P24" i="4"/>
  <c r="P22" i="4"/>
  <c r="T20" i="4"/>
  <c r="T16" i="4"/>
  <c r="T13" i="4"/>
  <c r="P29" i="8"/>
  <c r="H33" i="11"/>
  <c r="P29" i="11"/>
  <c r="H16" i="11"/>
  <c r="P20" i="10"/>
  <c r="H15" i="10"/>
  <c r="D4" i="10"/>
  <c r="P34" i="8"/>
  <c r="T25" i="8"/>
  <c r="H20" i="8"/>
  <c r="D4" i="8"/>
  <c r="D25" i="7"/>
  <c r="P20" i="5"/>
  <c r="P16" i="5"/>
  <c r="D12" i="5"/>
  <c r="P21" i="4"/>
  <c r="T15" i="4"/>
  <c r="P13" i="4"/>
  <c r="H12" i="4"/>
  <c r="D15" i="17"/>
  <c r="D33" i="11"/>
  <c r="T25" i="11"/>
  <c r="D24" i="11"/>
  <c r="D16" i="11"/>
  <c r="D13" i="11"/>
  <c r="T24" i="10"/>
  <c r="B22" i="10"/>
  <c r="H33" i="8"/>
  <c r="P24" i="8"/>
  <c r="H21" i="8"/>
  <c r="D20" i="8"/>
  <c r="B39" i="7"/>
  <c r="T33" i="7"/>
  <c r="T21" i="7"/>
  <c r="P20" i="7"/>
  <c r="D15" i="7"/>
  <c r="T12" i="7"/>
  <c r="H34" i="5"/>
  <c r="H33" i="5"/>
  <c r="H29" i="5"/>
  <c r="H25" i="5"/>
  <c r="P15" i="5"/>
  <c r="D5" i="5"/>
  <c r="P20" i="4"/>
  <c r="P16" i="4"/>
  <c r="D12" i="4"/>
  <c r="D16" i="10"/>
  <c r="D24" i="8"/>
  <c r="H21" i="7"/>
  <c r="D21" i="4"/>
  <c r="P20" i="14"/>
  <c r="T34" i="11"/>
  <c r="H29" i="11"/>
  <c r="P25" i="11"/>
  <c r="H21" i="11"/>
  <c r="B16" i="11"/>
  <c r="B13" i="11"/>
  <c r="P16" i="10"/>
  <c r="P25" i="8"/>
  <c r="H22" i="8"/>
  <c r="H13" i="8"/>
  <c r="B38" i="7"/>
  <c r="H29" i="7"/>
  <c r="T22" i="7"/>
  <c r="P21" i="7"/>
  <c r="D16" i="7"/>
  <c r="P12" i="7"/>
  <c r="B39" i="5"/>
  <c r="H24" i="5"/>
  <c r="H22" i="5"/>
  <c r="H13" i="5"/>
  <c r="D4" i="5"/>
  <c r="H34" i="4"/>
  <c r="H33" i="4"/>
  <c r="H29" i="4"/>
  <c r="H25" i="4"/>
  <c r="P15" i="4"/>
  <c r="D5" i="4"/>
  <c r="D33" i="10"/>
  <c r="T15" i="7"/>
  <c r="D16" i="5"/>
  <c r="P34" i="11"/>
  <c r="D29" i="11"/>
  <c r="P33" i="10"/>
  <c r="H34" i="8"/>
  <c r="D33" i="8"/>
  <c r="B21" i="8"/>
  <c r="T16" i="8"/>
  <c r="P15" i="8"/>
  <c r="D13" i="8"/>
  <c r="T34" i="7"/>
  <c r="P33" i="7"/>
  <c r="B16" i="7"/>
  <c r="B38" i="5"/>
  <c r="D34" i="5"/>
  <c r="D33" i="5"/>
  <c r="D29" i="5"/>
  <c r="D25" i="5"/>
  <c r="H21" i="5"/>
  <c r="D13" i="5"/>
  <c r="B39" i="4"/>
  <c r="H24" i="4"/>
  <c r="H22" i="4"/>
  <c r="H13" i="4"/>
  <c r="D4" i="4"/>
  <c r="B22" i="4"/>
  <c r="T24" i="20"/>
  <c r="B21" i="16"/>
  <c r="P16" i="14"/>
  <c r="B38" i="11"/>
  <c r="H25" i="11"/>
  <c r="B21" i="11"/>
  <c r="T12" i="11"/>
  <c r="H24" i="10"/>
  <c r="T21" i="10"/>
  <c r="D20" i="10"/>
  <c r="T29" i="8"/>
  <c r="H24" i="8"/>
  <c r="D22" i="8"/>
  <c r="P16" i="8"/>
  <c r="B13" i="8"/>
  <c r="D29" i="7"/>
  <c r="T24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T12" i="19"/>
  <c r="B21" i="5"/>
  <c r="H15" i="4"/>
  <c r="P21" i="13"/>
  <c r="H34" i="11"/>
  <c r="D25" i="11"/>
  <c r="P22" i="11"/>
  <c r="P15" i="11"/>
  <c r="P29" i="10"/>
  <c r="H13" i="10"/>
  <c r="D34" i="8"/>
  <c r="H25" i="8"/>
  <c r="P34" i="7"/>
  <c r="T25" i="7"/>
  <c r="P13" i="7"/>
  <c r="H12" i="7"/>
  <c r="B22" i="5"/>
  <c r="D21" i="5"/>
  <c r="H15" i="5"/>
  <c r="B25" i="4"/>
  <c r="D24" i="4"/>
  <c r="D22" i="4"/>
  <c r="H20" i="4"/>
  <c r="H16" i="4"/>
  <c r="B13" i="4"/>
  <c r="B25" i="11"/>
  <c r="N16" i="4" l="1"/>
  <c r="N20" i="4"/>
  <c r="L22" i="4"/>
  <c r="L24" i="4"/>
  <c r="N15" i="5"/>
  <c r="L21" i="5"/>
  <c r="H18" i="7"/>
  <c r="J15" i="7"/>
  <c r="J34" i="7"/>
  <c r="J22" i="7"/>
  <c r="J24" i="7"/>
  <c r="J36" i="7"/>
  <c r="J25" i="7"/>
  <c r="J27" i="7"/>
  <c r="J16" i="7"/>
  <c r="J29" i="7"/>
  <c r="J18" i="7"/>
  <c r="J31" i="7"/>
  <c r="N12" i="7"/>
  <c r="J20" i="7"/>
  <c r="J33" i="7"/>
  <c r="J21" i="7"/>
  <c r="X13" i="7"/>
  <c r="Z25" i="7"/>
  <c r="X34" i="7"/>
  <c r="N25" i="8"/>
  <c r="L34" i="8"/>
  <c r="N13" i="10"/>
  <c r="X29" i="10"/>
  <c r="X15" i="11"/>
  <c r="X22" i="11"/>
  <c r="L25" i="11"/>
  <c r="N34" i="11"/>
  <c r="X21" i="13"/>
  <c r="N15" i="4"/>
  <c r="V21" i="19"/>
  <c r="V20" i="19"/>
  <c r="V18" i="19"/>
  <c r="V16" i="19"/>
  <c r="T18" i="19"/>
  <c r="V15" i="19"/>
  <c r="Z12" i="19"/>
  <c r="V36" i="19"/>
  <c r="V34" i="19"/>
  <c r="V33" i="19"/>
  <c r="V31" i="19"/>
  <c r="V29" i="19"/>
  <c r="V27" i="19"/>
  <c r="V25" i="19"/>
  <c r="V24" i="19"/>
  <c r="V22" i="19"/>
  <c r="L13" i="4"/>
  <c r="N21" i="4"/>
  <c r="L25" i="4"/>
  <c r="L29" i="4"/>
  <c r="L33" i="4"/>
  <c r="L34" i="4"/>
  <c r="N16" i="5"/>
  <c r="N20" i="5"/>
  <c r="L22" i="5"/>
  <c r="L24" i="5"/>
  <c r="Z13" i="7"/>
  <c r="Z24" i="7"/>
  <c r="L29" i="7"/>
  <c r="X16" i="8"/>
  <c r="L22" i="8"/>
  <c r="N24" i="8"/>
  <c r="Z29" i="8"/>
  <c r="L20" i="10"/>
  <c r="Z21" i="10"/>
  <c r="N24" i="10"/>
  <c r="Z12" i="11"/>
  <c r="V21" i="11"/>
  <c r="V20" i="11"/>
  <c r="V33" i="11"/>
  <c r="V24" i="11"/>
  <c r="V16" i="11"/>
  <c r="V29" i="11"/>
  <c r="V25" i="11"/>
  <c r="V34" i="11"/>
  <c r="V18" i="11"/>
  <c r="V36" i="11"/>
  <c r="T18" i="11"/>
  <c r="V31" i="11"/>
  <c r="V22" i="11"/>
  <c r="V15" i="11"/>
  <c r="V27" i="11"/>
  <c r="N25" i="11"/>
  <c r="X16" i="14"/>
  <c r="Z24" i="20"/>
  <c r="N13" i="4"/>
  <c r="N22" i="4"/>
  <c r="N24" i="4"/>
  <c r="L13" i="5"/>
  <c r="N21" i="5"/>
  <c r="L25" i="5"/>
  <c r="L29" i="5"/>
  <c r="L33" i="5"/>
  <c r="L34" i="5"/>
  <c r="X33" i="7"/>
  <c r="Z34" i="7"/>
  <c r="L13" i="8"/>
  <c r="X15" i="8"/>
  <c r="Z16" i="8"/>
  <c r="L33" i="8"/>
  <c r="N34" i="8"/>
  <c r="X33" i="10"/>
  <c r="L29" i="11"/>
  <c r="X34" i="11"/>
  <c r="L16" i="5"/>
  <c r="Z15" i="7"/>
  <c r="L33" i="10"/>
  <c r="X15" i="4"/>
  <c r="N25" i="4"/>
  <c r="N29" i="4"/>
  <c r="N33" i="4"/>
  <c r="N34" i="4"/>
  <c r="N13" i="5"/>
  <c r="N22" i="5"/>
  <c r="N24" i="5"/>
  <c r="R21" i="7"/>
  <c r="R15" i="7"/>
  <c r="R27" i="7"/>
  <c r="R16" i="7"/>
  <c r="R29" i="7"/>
  <c r="R18" i="7"/>
  <c r="P18" i="7"/>
  <c r="R31" i="7"/>
  <c r="R20" i="7"/>
  <c r="X12" i="7"/>
  <c r="R33" i="7"/>
  <c r="R22" i="7"/>
  <c r="R34" i="7"/>
  <c r="R25" i="7"/>
  <c r="R24" i="7"/>
  <c r="R36" i="7"/>
  <c r="L16" i="7"/>
  <c r="X21" i="7"/>
  <c r="Z22" i="7"/>
  <c r="N29" i="7"/>
  <c r="N13" i="8"/>
  <c r="N22" i="8"/>
  <c r="X25" i="8"/>
  <c r="X16" i="10"/>
  <c r="N21" i="11"/>
  <c r="X25" i="11"/>
  <c r="N29" i="11"/>
  <c r="Z34" i="11"/>
  <c r="X20" i="14"/>
  <c r="L21" i="4"/>
  <c r="N21" i="7"/>
  <c r="L24" i="8"/>
  <c r="L16" i="10"/>
  <c r="D18" i="4"/>
  <c r="F15" i="4"/>
  <c r="F20" i="4"/>
  <c r="F18" i="4"/>
  <c r="F16" i="4"/>
  <c r="L12" i="4"/>
  <c r="F36" i="4"/>
  <c r="F34" i="4"/>
  <c r="F33" i="4"/>
  <c r="F31" i="4"/>
  <c r="F29" i="4"/>
  <c r="F27" i="4"/>
  <c r="F25" i="4"/>
  <c r="F24" i="4"/>
  <c r="F22" i="4"/>
  <c r="F21" i="4"/>
  <c r="X16" i="4"/>
  <c r="X20" i="4"/>
  <c r="X15" i="5"/>
  <c r="N25" i="5"/>
  <c r="N29" i="5"/>
  <c r="N33" i="5"/>
  <c r="N34" i="5"/>
  <c r="T18" i="7"/>
  <c r="V15" i="7"/>
  <c r="V16" i="7"/>
  <c r="V29" i="7"/>
  <c r="V18" i="7"/>
  <c r="V31" i="7"/>
  <c r="V20" i="7"/>
  <c r="Z12" i="7"/>
  <c r="V33" i="7"/>
  <c r="V21" i="7"/>
  <c r="V22" i="7"/>
  <c r="V34" i="7"/>
  <c r="V24" i="7"/>
  <c r="V27" i="7"/>
  <c r="V36" i="7"/>
  <c r="V25" i="7"/>
  <c r="L15" i="7"/>
  <c r="X20" i="7"/>
  <c r="Z21" i="7"/>
  <c r="Z33" i="7"/>
  <c r="L20" i="8"/>
  <c r="N21" i="8"/>
  <c r="X24" i="8"/>
  <c r="N33" i="8"/>
  <c r="Z24" i="10"/>
  <c r="L13" i="11"/>
  <c r="L16" i="11"/>
  <c r="L24" i="11"/>
  <c r="Z25" i="11"/>
  <c r="L33" i="11"/>
  <c r="L15" i="17"/>
  <c r="N12" i="4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H18" i="4"/>
  <c r="J15" i="4"/>
  <c r="X13" i="4"/>
  <c r="Z15" i="4"/>
  <c r="X21" i="4"/>
  <c r="L12" i="5"/>
  <c r="D18" i="5"/>
  <c r="F36" i="5"/>
  <c r="F34" i="5"/>
  <c r="F33" i="5"/>
  <c r="F31" i="5"/>
  <c r="F29" i="5"/>
  <c r="F27" i="5"/>
  <c r="F25" i="5"/>
  <c r="F24" i="5"/>
  <c r="F22" i="5"/>
  <c r="F21" i="5"/>
  <c r="F20" i="5"/>
  <c r="F18" i="5"/>
  <c r="F16" i="5"/>
  <c r="F15" i="5"/>
  <c r="X16" i="5"/>
  <c r="X20" i="5"/>
  <c r="L25" i="7"/>
  <c r="N20" i="8"/>
  <c r="Z25" i="8"/>
  <c r="X34" i="8"/>
  <c r="N15" i="10"/>
  <c r="X20" i="10"/>
  <c r="N16" i="11"/>
  <c r="X29" i="11"/>
  <c r="N33" i="11"/>
  <c r="X29" i="8"/>
  <c r="Z13" i="4"/>
  <c r="Z16" i="4"/>
  <c r="Z20" i="4"/>
  <c r="X22" i="4"/>
  <c r="X24" i="4"/>
  <c r="N12" i="5"/>
  <c r="J36" i="5"/>
  <c r="J34" i="5"/>
  <c r="J33" i="5"/>
  <c r="J31" i="5"/>
  <c r="J29" i="5"/>
  <c r="J27" i="5"/>
  <c r="J25" i="5"/>
  <c r="J24" i="5"/>
  <c r="J22" i="5"/>
  <c r="J21" i="5"/>
  <c r="J20" i="5"/>
  <c r="J18" i="5"/>
  <c r="J16" i="5"/>
  <c r="H18" i="5"/>
  <c r="J15" i="5"/>
  <c r="X13" i="5"/>
  <c r="Z15" i="5"/>
  <c r="X21" i="5"/>
  <c r="N15" i="7"/>
  <c r="X29" i="7"/>
  <c r="Z13" i="8"/>
  <c r="X22" i="8"/>
  <c r="Z24" i="8"/>
  <c r="L29" i="8"/>
  <c r="L12" i="10"/>
  <c r="F21" i="10"/>
  <c r="F29" i="10"/>
  <c r="F25" i="10"/>
  <c r="F34" i="10"/>
  <c r="F18" i="10"/>
  <c r="D18" i="10"/>
  <c r="F31" i="10"/>
  <c r="F22" i="10"/>
  <c r="F15" i="10"/>
  <c r="F27" i="10"/>
  <c r="F36" i="10"/>
  <c r="F20" i="10"/>
  <c r="F33" i="10"/>
  <c r="F24" i="10"/>
  <c r="F16" i="10"/>
  <c r="N22" i="10"/>
  <c r="L34" i="10"/>
  <c r="Z13" i="11"/>
  <c r="L20" i="11"/>
  <c r="Z21" i="11"/>
  <c r="Z29" i="11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H18" i="13"/>
  <c r="J15" i="13"/>
  <c r="N12" i="13"/>
  <c r="Z25" i="17"/>
  <c r="N33" i="7"/>
  <c r="Z21" i="4"/>
  <c r="X25" i="4"/>
  <c r="X29" i="4"/>
  <c r="X33" i="4"/>
  <c r="X34" i="4"/>
  <c r="Z13" i="5"/>
  <c r="Z16" i="5"/>
  <c r="Z20" i="5"/>
  <c r="X22" i="5"/>
  <c r="X24" i="5"/>
  <c r="N25" i="7"/>
  <c r="L34" i="7"/>
  <c r="F20" i="8"/>
  <c r="F18" i="8"/>
  <c r="F16" i="8"/>
  <c r="F15" i="8"/>
  <c r="F27" i="8"/>
  <c r="F25" i="8"/>
  <c r="L12" i="8"/>
  <c r="F29" i="8"/>
  <c r="D18" i="8"/>
  <c r="F31" i="8"/>
  <c r="F33" i="8"/>
  <c r="F21" i="8"/>
  <c r="F36" i="8"/>
  <c r="F22" i="8"/>
  <c r="F34" i="8"/>
  <c r="F24" i="8"/>
  <c r="X33" i="8"/>
  <c r="Z34" i="8"/>
  <c r="L25" i="10"/>
  <c r="N20" i="11"/>
  <c r="X24" i="11"/>
  <c r="X33" i="11"/>
  <c r="X13" i="13"/>
  <c r="Z33" i="17"/>
  <c r="F21" i="7"/>
  <c r="F33" i="7"/>
  <c r="F22" i="7"/>
  <c r="F34" i="7"/>
  <c r="F24" i="7"/>
  <c r="F36" i="7"/>
  <c r="F25" i="7"/>
  <c r="F15" i="7"/>
  <c r="F27" i="7"/>
  <c r="F16" i="7"/>
  <c r="F29" i="7"/>
  <c r="F18" i="7"/>
  <c r="D18" i="7"/>
  <c r="L12" i="7"/>
  <c r="F31" i="7"/>
  <c r="F20" i="7"/>
  <c r="L13" i="10"/>
  <c r="L34" i="11"/>
  <c r="X12" i="4"/>
  <c r="R36" i="4"/>
  <c r="R34" i="4"/>
  <c r="R33" i="4"/>
  <c r="R31" i="4"/>
  <c r="R29" i="4"/>
  <c r="R27" i="4"/>
  <c r="R25" i="4"/>
  <c r="R24" i="4"/>
  <c r="R22" i="4"/>
  <c r="R21" i="4"/>
  <c r="R20" i="4"/>
  <c r="R18" i="4"/>
  <c r="R16" i="4"/>
  <c r="P18" i="4"/>
  <c r="R15" i="4"/>
  <c r="Z22" i="4"/>
  <c r="Z24" i="4"/>
  <c r="Z21" i="5"/>
  <c r="X25" i="5"/>
  <c r="X29" i="5"/>
  <c r="X33" i="5"/>
  <c r="X34" i="5"/>
  <c r="L13" i="7"/>
  <c r="X16" i="7"/>
  <c r="N24" i="7"/>
  <c r="Z29" i="7"/>
  <c r="L16" i="8"/>
  <c r="Z22" i="8"/>
  <c r="N29" i="8"/>
  <c r="R21" i="10"/>
  <c r="R20" i="10"/>
  <c r="R18" i="10"/>
  <c r="R16" i="10"/>
  <c r="R34" i="10"/>
  <c r="P18" i="10"/>
  <c r="R25" i="10"/>
  <c r="X12" i="10"/>
  <c r="R31" i="10"/>
  <c r="R22" i="10"/>
  <c r="R15" i="10"/>
  <c r="R27" i="10"/>
  <c r="R36" i="10"/>
  <c r="R33" i="10"/>
  <c r="R24" i="10"/>
  <c r="R29" i="10"/>
  <c r="L15" i="11"/>
  <c r="Z16" i="11"/>
  <c r="Z33" i="11"/>
  <c r="Z15" i="13"/>
  <c r="L20" i="5"/>
  <c r="L20" i="7"/>
  <c r="V36" i="4"/>
  <c r="V34" i="4"/>
  <c r="V33" i="4"/>
  <c r="V31" i="4"/>
  <c r="V29" i="4"/>
  <c r="V27" i="4"/>
  <c r="V25" i="4"/>
  <c r="V24" i="4"/>
  <c r="V22" i="4"/>
  <c r="Z12" i="4"/>
  <c r="V21" i="4"/>
  <c r="V20" i="4"/>
  <c r="V18" i="4"/>
  <c r="V16" i="4"/>
  <c r="T18" i="4"/>
  <c r="V15" i="4"/>
  <c r="L15" i="4"/>
  <c r="Z25" i="4"/>
  <c r="Z29" i="4"/>
  <c r="Z33" i="4"/>
  <c r="Z34" i="4"/>
  <c r="R36" i="5"/>
  <c r="R34" i="5"/>
  <c r="R33" i="5"/>
  <c r="R31" i="5"/>
  <c r="R29" i="5"/>
  <c r="R27" i="5"/>
  <c r="R25" i="5"/>
  <c r="R24" i="5"/>
  <c r="R22" i="5"/>
  <c r="X12" i="5"/>
  <c r="R21" i="5"/>
  <c r="R20" i="5"/>
  <c r="R18" i="5"/>
  <c r="R16" i="5"/>
  <c r="P18" i="5"/>
  <c r="R15" i="5"/>
  <c r="Z22" i="5"/>
  <c r="Z24" i="5"/>
  <c r="N13" i="7"/>
  <c r="X15" i="7"/>
  <c r="L33" i="7"/>
  <c r="N34" i="7"/>
  <c r="L15" i="8"/>
  <c r="N16" i="8"/>
  <c r="X20" i="8"/>
  <c r="Z21" i="8"/>
  <c r="Z33" i="8"/>
  <c r="L21" i="10"/>
  <c r="Z22" i="10"/>
  <c r="L29" i="10"/>
  <c r="X34" i="10"/>
  <c r="L22" i="11"/>
  <c r="Z12" i="8"/>
  <c r="V33" i="8"/>
  <c r="V21" i="8"/>
  <c r="V20" i="8"/>
  <c r="V22" i="8"/>
  <c r="V34" i="8"/>
  <c r="V24" i="8"/>
  <c r="V36" i="8"/>
  <c r="V25" i="8"/>
  <c r="V27" i="8"/>
  <c r="V15" i="8"/>
  <c r="V16" i="8"/>
  <c r="V29" i="8"/>
  <c r="V18" i="8"/>
  <c r="V31" i="8"/>
  <c r="T18" i="8"/>
  <c r="L16" i="4"/>
  <c r="L20" i="4"/>
  <c r="V24" i="5"/>
  <c r="V22" i="5"/>
  <c r="V29" i="5"/>
  <c r="V21" i="5"/>
  <c r="V31" i="5"/>
  <c r="V20" i="5"/>
  <c r="V18" i="5"/>
  <c r="V16" i="5"/>
  <c r="T18" i="5"/>
  <c r="V15" i="5"/>
  <c r="V34" i="5"/>
  <c r="V25" i="5"/>
  <c r="V27" i="5"/>
  <c r="V33" i="5"/>
  <c r="Z12" i="5"/>
  <c r="V36" i="5"/>
  <c r="L15" i="5"/>
  <c r="Z25" i="5"/>
  <c r="Z29" i="5"/>
  <c r="Z33" i="5"/>
  <c r="Z34" i="5"/>
  <c r="L21" i="7"/>
  <c r="N22" i="7"/>
  <c r="X25" i="7"/>
  <c r="R20" i="8"/>
  <c r="R18" i="8"/>
  <c r="R16" i="8"/>
  <c r="R31" i="8"/>
  <c r="R33" i="8"/>
  <c r="R21" i="8"/>
  <c r="R22" i="8"/>
  <c r="R34" i="8"/>
  <c r="R24" i="8"/>
  <c r="R36" i="8"/>
  <c r="R25" i="8"/>
  <c r="R15" i="8"/>
  <c r="R27" i="8"/>
  <c r="P18" i="8"/>
  <c r="R29" i="8"/>
  <c r="X12" i="8"/>
  <c r="Z20" i="8"/>
  <c r="L25" i="8"/>
  <c r="N21" i="10"/>
  <c r="X25" i="10"/>
  <c r="Z20" i="11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D18" i="14"/>
  <c r="F15" i="14"/>
  <c r="L12" i="14"/>
  <c r="N16" i="7"/>
  <c r="N20" i="7"/>
  <c r="L22" i="7"/>
  <c r="L24" i="7"/>
  <c r="N15" i="8"/>
  <c r="L21" i="8"/>
  <c r="T18" i="10"/>
  <c r="V15" i="10"/>
  <c r="V24" i="10"/>
  <c r="V22" i="10"/>
  <c r="Z12" i="10"/>
  <c r="V31" i="10"/>
  <c r="V18" i="10"/>
  <c r="V27" i="10"/>
  <c r="V36" i="10"/>
  <c r="V20" i="10"/>
  <c r="V33" i="10"/>
  <c r="V16" i="10"/>
  <c r="V29" i="10"/>
  <c r="V21" i="10"/>
  <c r="V34" i="10"/>
  <c r="V25" i="10"/>
  <c r="L15" i="10"/>
  <c r="Z25" i="10"/>
  <c r="Z29" i="10"/>
  <c r="Z33" i="10"/>
  <c r="Z34" i="10"/>
  <c r="R20" i="11"/>
  <c r="R18" i="11"/>
  <c r="R16" i="11"/>
  <c r="P18" i="11"/>
  <c r="R15" i="11"/>
  <c r="R36" i="11"/>
  <c r="R34" i="11"/>
  <c r="R33" i="11"/>
  <c r="R31" i="11"/>
  <c r="R29" i="11"/>
  <c r="R27" i="11"/>
  <c r="R25" i="11"/>
  <c r="R24" i="11"/>
  <c r="R21" i="11"/>
  <c r="X12" i="11"/>
  <c r="R22" i="11"/>
  <c r="Z22" i="11"/>
  <c r="Z24" i="11"/>
  <c r="Z13" i="13"/>
  <c r="Z16" i="13"/>
  <c r="Z20" i="13"/>
  <c r="X22" i="13"/>
  <c r="X24" i="13"/>
  <c r="J24" i="14"/>
  <c r="J22" i="14"/>
  <c r="J21" i="14"/>
  <c r="J20" i="14"/>
  <c r="J18" i="14"/>
  <c r="J16" i="14"/>
  <c r="H18" i="14"/>
  <c r="J15" i="14"/>
  <c r="N12" i="14"/>
  <c r="J31" i="14"/>
  <c r="J29" i="14"/>
  <c r="J27" i="14"/>
  <c r="J25" i="14"/>
  <c r="J33" i="14"/>
  <c r="J36" i="14"/>
  <c r="J34" i="14"/>
  <c r="X13" i="14"/>
  <c r="Z15" i="14"/>
  <c r="X21" i="14"/>
  <c r="N21" i="16"/>
  <c r="L34" i="16"/>
  <c r="L15" i="19"/>
  <c r="Z33" i="19"/>
  <c r="Z21" i="13"/>
  <c r="X25" i="13"/>
  <c r="X29" i="13"/>
  <c r="X33" i="13"/>
  <c r="X34" i="13"/>
  <c r="Z13" i="14"/>
  <c r="Z16" i="14"/>
  <c r="Z20" i="14"/>
  <c r="X22" i="14"/>
  <c r="X24" i="14"/>
  <c r="Z21" i="16"/>
  <c r="X34" i="16"/>
  <c r="Z34" i="19"/>
  <c r="P18" i="13"/>
  <c r="R15" i="13"/>
  <c r="X12" i="13"/>
  <c r="R36" i="13"/>
  <c r="R34" i="13"/>
  <c r="R33" i="13"/>
  <c r="R31" i="13"/>
  <c r="R29" i="13"/>
  <c r="R27" i="13"/>
  <c r="R25" i="13"/>
  <c r="R24" i="13"/>
  <c r="R22" i="13"/>
  <c r="R21" i="13"/>
  <c r="R18" i="13"/>
  <c r="R16" i="13"/>
  <c r="R20" i="13"/>
  <c r="Z22" i="13"/>
  <c r="Z24" i="13"/>
  <c r="Z21" i="14"/>
  <c r="X25" i="14"/>
  <c r="X29" i="14"/>
  <c r="X33" i="14"/>
  <c r="X34" i="14"/>
  <c r="L16" i="16"/>
  <c r="Z34" i="17"/>
  <c r="N16" i="10"/>
  <c r="N20" i="10"/>
  <c r="L22" i="10"/>
  <c r="L24" i="10"/>
  <c r="N15" i="11"/>
  <c r="L21" i="11"/>
  <c r="Z12" i="13"/>
  <c r="V36" i="13"/>
  <c r="V34" i="13"/>
  <c r="V33" i="13"/>
  <c r="V31" i="13"/>
  <c r="V29" i="13"/>
  <c r="V27" i="13"/>
  <c r="V25" i="13"/>
  <c r="V24" i="13"/>
  <c r="V22" i="13"/>
  <c r="V21" i="13"/>
  <c r="V20" i="13"/>
  <c r="V18" i="13"/>
  <c r="V16" i="13"/>
  <c r="T18" i="13"/>
  <c r="V15" i="13"/>
  <c r="L15" i="13"/>
  <c r="Z25" i="13"/>
  <c r="Z29" i="13"/>
  <c r="Z33" i="13"/>
  <c r="Z34" i="13"/>
  <c r="X12" i="14"/>
  <c r="R36" i="14"/>
  <c r="R34" i="14"/>
  <c r="R33" i="14"/>
  <c r="R31" i="14"/>
  <c r="R29" i="14"/>
  <c r="R27" i="14"/>
  <c r="R25" i="14"/>
  <c r="R24" i="14"/>
  <c r="R22" i="14"/>
  <c r="R21" i="14"/>
  <c r="R20" i="14"/>
  <c r="R18" i="14"/>
  <c r="R16" i="14"/>
  <c r="P18" i="14"/>
  <c r="R15" i="14"/>
  <c r="Z22" i="14"/>
  <c r="Z24" i="14"/>
  <c r="L29" i="16"/>
  <c r="N16" i="17"/>
  <c r="L22" i="17"/>
  <c r="R24" i="20"/>
  <c r="R22" i="20"/>
  <c r="R21" i="20"/>
  <c r="R20" i="20"/>
  <c r="R18" i="20"/>
  <c r="R16" i="20"/>
  <c r="P18" i="20"/>
  <c r="R15" i="20"/>
  <c r="X12" i="20"/>
  <c r="R36" i="20"/>
  <c r="R34" i="20"/>
  <c r="R33" i="20"/>
  <c r="R31" i="20"/>
  <c r="R29" i="20"/>
  <c r="R27" i="20"/>
  <c r="R25" i="20"/>
  <c r="L16" i="13"/>
  <c r="L20" i="13"/>
  <c r="Z12" i="14"/>
  <c r="V36" i="14"/>
  <c r="V34" i="14"/>
  <c r="V33" i="14"/>
  <c r="V31" i="14"/>
  <c r="V29" i="14"/>
  <c r="V27" i="14"/>
  <c r="V25" i="14"/>
  <c r="V24" i="14"/>
  <c r="V22" i="14"/>
  <c r="V21" i="14"/>
  <c r="V20" i="14"/>
  <c r="V18" i="14"/>
  <c r="V16" i="14"/>
  <c r="T18" i="14"/>
  <c r="V15" i="14"/>
  <c r="L15" i="14"/>
  <c r="Z25" i="14"/>
  <c r="Z29" i="14"/>
  <c r="Z33" i="14"/>
  <c r="Z34" i="14"/>
  <c r="X29" i="16"/>
  <c r="Z16" i="17"/>
  <c r="X22" i="17"/>
  <c r="X25" i="22"/>
  <c r="N15" i="13"/>
  <c r="L21" i="13"/>
  <c r="L16" i="14"/>
  <c r="L20" i="14"/>
  <c r="Z29" i="17"/>
  <c r="X33" i="22"/>
  <c r="Z16" i="7"/>
  <c r="Z20" i="7"/>
  <c r="X22" i="7"/>
  <c r="X24" i="7"/>
  <c r="J16" i="8"/>
  <c r="J27" i="8"/>
  <c r="J29" i="8"/>
  <c r="N12" i="8"/>
  <c r="J18" i="8"/>
  <c r="J31" i="8"/>
  <c r="H18" i="8"/>
  <c r="J20" i="8"/>
  <c r="J33" i="8"/>
  <c r="J21" i="8"/>
  <c r="J22" i="8"/>
  <c r="J34" i="8"/>
  <c r="J24" i="8"/>
  <c r="J15" i="8"/>
  <c r="J36" i="8"/>
  <c r="J25" i="8"/>
  <c r="X13" i="8"/>
  <c r="Z15" i="8"/>
  <c r="X21" i="8"/>
  <c r="X15" i="10"/>
  <c r="N25" i="10"/>
  <c r="N29" i="10"/>
  <c r="N33" i="10"/>
  <c r="N34" i="10"/>
  <c r="N13" i="11"/>
  <c r="N22" i="11"/>
  <c r="N24" i="11"/>
  <c r="N16" i="13"/>
  <c r="N20" i="13"/>
  <c r="L22" i="13"/>
  <c r="L24" i="13"/>
  <c r="N15" i="14"/>
  <c r="L21" i="14"/>
  <c r="L24" i="17"/>
  <c r="Z13" i="23"/>
  <c r="L13" i="13"/>
  <c r="N21" i="13"/>
  <c r="L25" i="13"/>
  <c r="L29" i="13"/>
  <c r="L33" i="13"/>
  <c r="L34" i="13"/>
  <c r="N16" i="14"/>
  <c r="N20" i="14"/>
  <c r="L22" i="14"/>
  <c r="L24" i="14"/>
  <c r="X24" i="17"/>
  <c r="Z20" i="23"/>
  <c r="J24" i="10"/>
  <c r="J22" i="10"/>
  <c r="H18" i="10"/>
  <c r="J15" i="10"/>
  <c r="J25" i="10"/>
  <c r="J34" i="10"/>
  <c r="J18" i="10"/>
  <c r="J29" i="10"/>
  <c r="N12" i="10"/>
  <c r="J31" i="10"/>
  <c r="J27" i="10"/>
  <c r="J36" i="10"/>
  <c r="J20" i="10"/>
  <c r="J21" i="10"/>
  <c r="J33" i="10"/>
  <c r="J16" i="10"/>
  <c r="X13" i="10"/>
  <c r="Z15" i="10"/>
  <c r="X21" i="10"/>
  <c r="F36" i="11"/>
  <c r="F34" i="11"/>
  <c r="F33" i="11"/>
  <c r="F31" i="11"/>
  <c r="F29" i="11"/>
  <c r="F27" i="11"/>
  <c r="F25" i="11"/>
  <c r="F20" i="11"/>
  <c r="F18" i="11"/>
  <c r="F16" i="11"/>
  <c r="F22" i="11"/>
  <c r="F15" i="11"/>
  <c r="D18" i="11"/>
  <c r="F24" i="11"/>
  <c r="L12" i="11"/>
  <c r="F21" i="11"/>
  <c r="X16" i="11"/>
  <c r="X20" i="11"/>
  <c r="N13" i="13"/>
  <c r="N22" i="13"/>
  <c r="N24" i="13"/>
  <c r="L13" i="14"/>
  <c r="N21" i="14"/>
  <c r="L25" i="14"/>
  <c r="L29" i="14"/>
  <c r="L33" i="14"/>
  <c r="L34" i="14"/>
  <c r="L20" i="16"/>
  <c r="Z12" i="17"/>
  <c r="V36" i="17"/>
  <c r="V34" i="17"/>
  <c r="V33" i="17"/>
  <c r="V31" i="17"/>
  <c r="V29" i="17"/>
  <c r="V27" i="17"/>
  <c r="V25" i="17"/>
  <c r="V21" i="17"/>
  <c r="V20" i="17"/>
  <c r="V18" i="17"/>
  <c r="V16" i="17"/>
  <c r="V24" i="17"/>
  <c r="T18" i="17"/>
  <c r="V22" i="17"/>
  <c r="V15" i="17"/>
  <c r="Z25" i="19"/>
  <c r="Z13" i="10"/>
  <c r="Z16" i="10"/>
  <c r="Z20" i="10"/>
  <c r="X22" i="10"/>
  <c r="X24" i="10"/>
  <c r="J36" i="11"/>
  <c r="J34" i="11"/>
  <c r="J33" i="11"/>
  <c r="J31" i="11"/>
  <c r="J29" i="11"/>
  <c r="J27" i="11"/>
  <c r="J25" i="11"/>
  <c r="J21" i="11"/>
  <c r="J15" i="11"/>
  <c r="J20" i="11"/>
  <c r="J22" i="11"/>
  <c r="J24" i="11"/>
  <c r="J16" i="11"/>
  <c r="J18" i="11"/>
  <c r="H18" i="11"/>
  <c r="N12" i="11"/>
  <c r="X13" i="11"/>
  <c r="Z15" i="11"/>
  <c r="X21" i="11"/>
  <c r="X15" i="13"/>
  <c r="N25" i="13"/>
  <c r="N29" i="13"/>
  <c r="N33" i="13"/>
  <c r="N34" i="13"/>
  <c r="N13" i="14"/>
  <c r="N22" i="14"/>
  <c r="N24" i="14"/>
  <c r="L13" i="16"/>
  <c r="L25" i="16"/>
  <c r="L33" i="16"/>
  <c r="N20" i="17"/>
  <c r="F36" i="13"/>
  <c r="F34" i="13"/>
  <c r="F33" i="13"/>
  <c r="F31" i="13"/>
  <c r="F29" i="13"/>
  <c r="F27" i="13"/>
  <c r="F25" i="13"/>
  <c r="F24" i="13"/>
  <c r="F22" i="13"/>
  <c r="F21" i="13"/>
  <c r="F20" i="13"/>
  <c r="F18" i="13"/>
  <c r="F16" i="13"/>
  <c r="D18" i="13"/>
  <c r="F15" i="13"/>
  <c r="L12" i="13"/>
  <c r="X16" i="13"/>
  <c r="X20" i="13"/>
  <c r="X15" i="14"/>
  <c r="N25" i="14"/>
  <c r="N29" i="14"/>
  <c r="N33" i="14"/>
  <c r="N34" i="14"/>
  <c r="X25" i="16"/>
  <c r="X33" i="16"/>
  <c r="Z13" i="17"/>
  <c r="Z20" i="17"/>
  <c r="Z29" i="19"/>
  <c r="Z22" i="20"/>
  <c r="R21" i="16"/>
  <c r="R20" i="16"/>
  <c r="R18" i="16"/>
  <c r="R16" i="16"/>
  <c r="P18" i="16"/>
  <c r="R15" i="16"/>
  <c r="R36" i="16"/>
  <c r="R34" i="16"/>
  <c r="R33" i="16"/>
  <c r="R31" i="16"/>
  <c r="R29" i="16"/>
  <c r="R27" i="16"/>
  <c r="R25" i="16"/>
  <c r="X12" i="16"/>
  <c r="R24" i="16"/>
  <c r="R22" i="16"/>
  <c r="Z22" i="16"/>
  <c r="Z24" i="16"/>
  <c r="Z21" i="17"/>
  <c r="X25" i="17"/>
  <c r="X29" i="17"/>
  <c r="X33" i="17"/>
  <c r="X34" i="17"/>
  <c r="L16" i="19"/>
  <c r="L20" i="19"/>
  <c r="V20" i="20"/>
  <c r="V18" i="20"/>
  <c r="V16" i="20"/>
  <c r="T18" i="20"/>
  <c r="V15" i="20"/>
  <c r="Z12" i="20"/>
  <c r="V36" i="20"/>
  <c r="V34" i="20"/>
  <c r="V33" i="20"/>
  <c r="V31" i="20"/>
  <c r="V29" i="20"/>
  <c r="V27" i="20"/>
  <c r="V25" i="20"/>
  <c r="V24" i="20"/>
  <c r="V22" i="20"/>
  <c r="V21" i="20"/>
  <c r="L15" i="20"/>
  <c r="Z25" i="20"/>
  <c r="Z29" i="20"/>
  <c r="Z33" i="20"/>
  <c r="Z34" i="20"/>
  <c r="N21" i="22"/>
  <c r="L34" i="22"/>
  <c r="X29" i="26"/>
  <c r="T18" i="16"/>
  <c r="V15" i="16"/>
  <c r="Z12" i="16"/>
  <c r="V24" i="16"/>
  <c r="V22" i="16"/>
  <c r="V21" i="16"/>
  <c r="V20" i="16"/>
  <c r="V31" i="16"/>
  <c r="V18" i="16"/>
  <c r="V36" i="16"/>
  <c r="V29" i="16"/>
  <c r="V16" i="16"/>
  <c r="V34" i="16"/>
  <c r="V27" i="16"/>
  <c r="V33" i="16"/>
  <c r="V25" i="16"/>
  <c r="L15" i="16"/>
  <c r="Z25" i="16"/>
  <c r="Z29" i="16"/>
  <c r="Z33" i="16"/>
  <c r="Z34" i="16"/>
  <c r="R20" i="17"/>
  <c r="R18" i="17"/>
  <c r="R16" i="17"/>
  <c r="P18" i="17"/>
  <c r="R15" i="17"/>
  <c r="X12" i="17"/>
  <c r="R36" i="17"/>
  <c r="R34" i="17"/>
  <c r="R33" i="17"/>
  <c r="R31" i="17"/>
  <c r="R29" i="17"/>
  <c r="R27" i="17"/>
  <c r="R25" i="17"/>
  <c r="R24" i="17"/>
  <c r="R22" i="17"/>
  <c r="R21" i="17"/>
  <c r="Z22" i="17"/>
  <c r="Z24" i="17"/>
  <c r="N15" i="19"/>
  <c r="L21" i="19"/>
  <c r="L16" i="20"/>
  <c r="L20" i="20"/>
  <c r="N21" i="23"/>
  <c r="L34" i="23"/>
  <c r="L22" i="28"/>
  <c r="N16" i="19"/>
  <c r="N20" i="19"/>
  <c r="L22" i="19"/>
  <c r="L24" i="19"/>
  <c r="N15" i="20"/>
  <c r="L21" i="20"/>
  <c r="Z21" i="22"/>
  <c r="X34" i="22"/>
  <c r="X33" i="26"/>
  <c r="N15" i="16"/>
  <c r="L21" i="16"/>
  <c r="L16" i="17"/>
  <c r="L20" i="17"/>
  <c r="L13" i="19"/>
  <c r="N21" i="19"/>
  <c r="L25" i="19"/>
  <c r="L29" i="19"/>
  <c r="L33" i="19"/>
  <c r="L34" i="19"/>
  <c r="N16" i="20"/>
  <c r="N20" i="20"/>
  <c r="L22" i="20"/>
  <c r="L24" i="20"/>
  <c r="L29" i="22"/>
  <c r="N16" i="23"/>
  <c r="L22" i="23"/>
  <c r="X34" i="26"/>
  <c r="N16" i="16"/>
  <c r="N20" i="16"/>
  <c r="L22" i="16"/>
  <c r="L24" i="16"/>
  <c r="N15" i="17"/>
  <c r="L21" i="17"/>
  <c r="N13" i="19"/>
  <c r="N22" i="19"/>
  <c r="N24" i="19"/>
  <c r="L13" i="20"/>
  <c r="N21" i="20"/>
  <c r="L25" i="20"/>
  <c r="L29" i="20"/>
  <c r="L33" i="20"/>
  <c r="L34" i="20"/>
  <c r="N22" i="22"/>
  <c r="L29" i="23"/>
  <c r="Z22" i="25"/>
  <c r="L34" i="28"/>
  <c r="X15" i="19"/>
  <c r="N25" i="19"/>
  <c r="N29" i="19"/>
  <c r="N33" i="19"/>
  <c r="N34" i="19"/>
  <c r="N13" i="20"/>
  <c r="N22" i="20"/>
  <c r="N24" i="20"/>
  <c r="X29" i="22"/>
  <c r="Z16" i="23"/>
  <c r="X22" i="23"/>
  <c r="Z24" i="25"/>
  <c r="N13" i="16"/>
  <c r="N22" i="16"/>
  <c r="N24" i="16"/>
  <c r="L13" i="17"/>
  <c r="N21" i="17"/>
  <c r="L25" i="17"/>
  <c r="L29" i="17"/>
  <c r="L33" i="17"/>
  <c r="L34" i="17"/>
  <c r="L12" i="19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D18" i="19"/>
  <c r="F15" i="19"/>
  <c r="X16" i="19"/>
  <c r="X20" i="19"/>
  <c r="X15" i="20"/>
  <c r="N25" i="20"/>
  <c r="N29" i="20"/>
  <c r="N33" i="20"/>
  <c r="N34" i="20"/>
  <c r="L24" i="23"/>
  <c r="N20" i="29"/>
  <c r="X15" i="16"/>
  <c r="N25" i="16"/>
  <c r="N29" i="16"/>
  <c r="N33" i="16"/>
  <c r="N34" i="16"/>
  <c r="N13" i="17"/>
  <c r="N22" i="17"/>
  <c r="N24" i="17"/>
  <c r="N12" i="19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H18" i="19"/>
  <c r="J15" i="19"/>
  <c r="X13" i="19"/>
  <c r="Z15" i="19"/>
  <c r="X21" i="19"/>
  <c r="L12" i="20"/>
  <c r="F36" i="20"/>
  <c r="F34" i="20"/>
  <c r="F33" i="20"/>
  <c r="F31" i="20"/>
  <c r="F29" i="20"/>
  <c r="F27" i="20"/>
  <c r="F25" i="20"/>
  <c r="F24" i="20"/>
  <c r="F22" i="20"/>
  <c r="F21" i="20"/>
  <c r="F20" i="20"/>
  <c r="F18" i="20"/>
  <c r="F16" i="20"/>
  <c r="D18" i="20"/>
  <c r="F15" i="20"/>
  <c r="X16" i="20"/>
  <c r="X20" i="20"/>
  <c r="N24" i="22"/>
  <c r="Z21" i="26"/>
  <c r="N25" i="29"/>
  <c r="L12" i="16"/>
  <c r="F36" i="16"/>
  <c r="F34" i="16"/>
  <c r="F33" i="16"/>
  <c r="F31" i="16"/>
  <c r="F29" i="16"/>
  <c r="F27" i="16"/>
  <c r="F25" i="16"/>
  <c r="F21" i="16"/>
  <c r="F20" i="16"/>
  <c r="F18" i="16"/>
  <c r="F16" i="16"/>
  <c r="F24" i="16"/>
  <c r="D18" i="16"/>
  <c r="F22" i="16"/>
  <c r="F15" i="16"/>
  <c r="X16" i="16"/>
  <c r="X20" i="16"/>
  <c r="X15" i="17"/>
  <c r="N25" i="17"/>
  <c r="N29" i="17"/>
  <c r="N33" i="17"/>
  <c r="N34" i="17"/>
  <c r="Z13" i="19"/>
  <c r="Z16" i="19"/>
  <c r="Z20" i="19"/>
  <c r="X22" i="19"/>
  <c r="X24" i="19"/>
  <c r="N12" i="20"/>
  <c r="J36" i="20"/>
  <c r="J34" i="20"/>
  <c r="J33" i="20"/>
  <c r="J31" i="20"/>
  <c r="J29" i="20"/>
  <c r="J27" i="20"/>
  <c r="J25" i="20"/>
  <c r="J24" i="20"/>
  <c r="J22" i="20"/>
  <c r="J21" i="20"/>
  <c r="J20" i="20"/>
  <c r="J18" i="20"/>
  <c r="J16" i="20"/>
  <c r="H18" i="20"/>
  <c r="J15" i="20"/>
  <c r="X13" i="20"/>
  <c r="Z15" i="20"/>
  <c r="X21" i="20"/>
  <c r="X24" i="23"/>
  <c r="J36" i="16"/>
  <c r="J34" i="16"/>
  <c r="J33" i="16"/>
  <c r="J31" i="16"/>
  <c r="J29" i="16"/>
  <c r="J27" i="16"/>
  <c r="J25" i="16"/>
  <c r="J24" i="16"/>
  <c r="J22" i="16"/>
  <c r="J21" i="16"/>
  <c r="H18" i="16"/>
  <c r="J15" i="16"/>
  <c r="J20" i="16"/>
  <c r="N12" i="16"/>
  <c r="J18" i="16"/>
  <c r="J16" i="16"/>
  <c r="X13" i="16"/>
  <c r="Z15" i="16"/>
  <c r="X21" i="16"/>
  <c r="F36" i="17"/>
  <c r="F34" i="17"/>
  <c r="F33" i="17"/>
  <c r="F31" i="17"/>
  <c r="F29" i="17"/>
  <c r="F27" i="17"/>
  <c r="F25" i="17"/>
  <c r="F24" i="17"/>
  <c r="F22" i="17"/>
  <c r="F20" i="17"/>
  <c r="F18" i="17"/>
  <c r="F16" i="17"/>
  <c r="D18" i="17"/>
  <c r="F15" i="17"/>
  <c r="L12" i="17"/>
  <c r="F21" i="17"/>
  <c r="X16" i="17"/>
  <c r="X20" i="17"/>
  <c r="Z21" i="19"/>
  <c r="X25" i="19"/>
  <c r="X29" i="19"/>
  <c r="X33" i="19"/>
  <c r="X34" i="19"/>
  <c r="Z13" i="20"/>
  <c r="Z16" i="20"/>
  <c r="Z20" i="20"/>
  <c r="X22" i="20"/>
  <c r="X24" i="20"/>
  <c r="L13" i="22"/>
  <c r="L25" i="22"/>
  <c r="L33" i="22"/>
  <c r="N20" i="23"/>
  <c r="R24" i="25"/>
  <c r="R22" i="25"/>
  <c r="R21" i="25"/>
  <c r="R20" i="25"/>
  <c r="R18" i="25"/>
  <c r="R16" i="25"/>
  <c r="P18" i="25"/>
  <c r="R15" i="25"/>
  <c r="X12" i="25"/>
  <c r="R33" i="25"/>
  <c r="R31" i="25"/>
  <c r="R29" i="25"/>
  <c r="R27" i="25"/>
  <c r="R25" i="25"/>
  <c r="R36" i="25"/>
  <c r="R34" i="25"/>
  <c r="Z13" i="16"/>
  <c r="Z16" i="16"/>
  <c r="Z20" i="16"/>
  <c r="X22" i="16"/>
  <c r="X24" i="16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N12" i="17"/>
  <c r="H18" i="17"/>
  <c r="J15" i="17"/>
  <c r="X13" i="17"/>
  <c r="Z15" i="17"/>
  <c r="X21" i="17"/>
  <c r="R36" i="19"/>
  <c r="R34" i="19"/>
  <c r="R33" i="19"/>
  <c r="R31" i="19"/>
  <c r="R29" i="19"/>
  <c r="R27" i="19"/>
  <c r="R25" i="19"/>
  <c r="R24" i="19"/>
  <c r="R22" i="19"/>
  <c r="R21" i="19"/>
  <c r="R20" i="19"/>
  <c r="R18" i="19"/>
  <c r="R16" i="19"/>
  <c r="P18" i="19"/>
  <c r="R15" i="19"/>
  <c r="X12" i="19"/>
  <c r="Z22" i="19"/>
  <c r="Z24" i="19"/>
  <c r="Z21" i="20"/>
  <c r="X25" i="20"/>
  <c r="X29" i="20"/>
  <c r="X33" i="20"/>
  <c r="X34" i="20"/>
  <c r="N13" i="22"/>
  <c r="L13" i="23"/>
  <c r="L25" i="23"/>
  <c r="L33" i="23"/>
  <c r="X25" i="26"/>
  <c r="R36" i="28"/>
  <c r="R34" i="28"/>
  <c r="R33" i="28"/>
  <c r="R31" i="28"/>
  <c r="R29" i="28"/>
  <c r="R27" i="28"/>
  <c r="R25" i="28"/>
  <c r="R21" i="28"/>
  <c r="R20" i="28"/>
  <c r="R18" i="28"/>
  <c r="R16" i="28"/>
  <c r="P18" i="28"/>
  <c r="R15" i="28"/>
  <c r="R24" i="28"/>
  <c r="R22" i="28"/>
  <c r="X12" i="28"/>
  <c r="X15" i="22"/>
  <c r="N25" i="22"/>
  <c r="N29" i="22"/>
  <c r="N33" i="22"/>
  <c r="N34" i="22"/>
  <c r="N13" i="23"/>
  <c r="N22" i="23"/>
  <c r="N24" i="23"/>
  <c r="V20" i="25"/>
  <c r="V18" i="25"/>
  <c r="V16" i="25"/>
  <c r="T18" i="25"/>
  <c r="V15" i="25"/>
  <c r="Z12" i="25"/>
  <c r="V36" i="25"/>
  <c r="V34" i="25"/>
  <c r="V33" i="25"/>
  <c r="V31" i="25"/>
  <c r="V29" i="25"/>
  <c r="V27" i="25"/>
  <c r="V25" i="25"/>
  <c r="V24" i="25"/>
  <c r="V22" i="25"/>
  <c r="V21" i="25"/>
  <c r="L15" i="25"/>
  <c r="Z25" i="25"/>
  <c r="Z29" i="25"/>
  <c r="Z33" i="25"/>
  <c r="Z34" i="25"/>
  <c r="R21" i="26"/>
  <c r="R20" i="26"/>
  <c r="R18" i="26"/>
  <c r="R16" i="26"/>
  <c r="P18" i="26"/>
  <c r="R15" i="26"/>
  <c r="X12" i="26"/>
  <c r="R36" i="26"/>
  <c r="R34" i="26"/>
  <c r="R33" i="26"/>
  <c r="R31" i="26"/>
  <c r="R29" i="26"/>
  <c r="R27" i="26"/>
  <c r="R25" i="26"/>
  <c r="R24" i="26"/>
  <c r="R22" i="26"/>
  <c r="Z22" i="26"/>
  <c r="Z24" i="26"/>
  <c r="L16" i="28"/>
  <c r="L20" i="28"/>
  <c r="X25" i="28"/>
  <c r="Z25" i="29"/>
  <c r="F21" i="22"/>
  <c r="F20" i="22"/>
  <c r="F18" i="22"/>
  <c r="F16" i="22"/>
  <c r="D18" i="22"/>
  <c r="F15" i="22"/>
  <c r="L12" i="22"/>
  <c r="F33" i="22"/>
  <c r="F25" i="22"/>
  <c r="F31" i="22"/>
  <c r="F24" i="22"/>
  <c r="F36" i="22"/>
  <c r="F29" i="22"/>
  <c r="F22" i="22"/>
  <c r="F34" i="22"/>
  <c r="F27" i="22"/>
  <c r="X16" i="22"/>
  <c r="X20" i="22"/>
  <c r="X15" i="23"/>
  <c r="N25" i="23"/>
  <c r="N29" i="23"/>
  <c r="N33" i="23"/>
  <c r="N34" i="23"/>
  <c r="L16" i="25"/>
  <c r="L20" i="25"/>
  <c r="T18" i="26"/>
  <c r="V15" i="26"/>
  <c r="Z12" i="26"/>
  <c r="V36" i="26"/>
  <c r="V34" i="26"/>
  <c r="V33" i="26"/>
  <c r="V31" i="26"/>
  <c r="V29" i="26"/>
  <c r="V27" i="26"/>
  <c r="V25" i="26"/>
  <c r="V24" i="26"/>
  <c r="V22" i="26"/>
  <c r="V21" i="26"/>
  <c r="V20" i="26"/>
  <c r="V18" i="26"/>
  <c r="V16" i="26"/>
  <c r="L15" i="26"/>
  <c r="Z25" i="26"/>
  <c r="Z29" i="26"/>
  <c r="Z33" i="26"/>
  <c r="Z34" i="26"/>
  <c r="N16" i="28"/>
  <c r="N20" i="28"/>
  <c r="L15" i="29"/>
  <c r="H18" i="22"/>
  <c r="J15" i="22"/>
  <c r="J36" i="22"/>
  <c r="J34" i="22"/>
  <c r="J33" i="22"/>
  <c r="J31" i="22"/>
  <c r="J29" i="22"/>
  <c r="J27" i="22"/>
  <c r="J25" i="22"/>
  <c r="J24" i="22"/>
  <c r="J22" i="22"/>
  <c r="J20" i="22"/>
  <c r="N12" i="22"/>
  <c r="J18" i="22"/>
  <c r="J16" i="22"/>
  <c r="J21" i="22"/>
  <c r="X13" i="22"/>
  <c r="Z15" i="22"/>
  <c r="X21" i="22"/>
  <c r="F20" i="23"/>
  <c r="F18" i="23"/>
  <c r="F16" i="23"/>
  <c r="D18" i="23"/>
  <c r="F15" i="23"/>
  <c r="F36" i="23"/>
  <c r="F34" i="23"/>
  <c r="F33" i="23"/>
  <c r="F31" i="23"/>
  <c r="F29" i="23"/>
  <c r="F27" i="23"/>
  <c r="F25" i="23"/>
  <c r="L12" i="23"/>
  <c r="F24" i="23"/>
  <c r="F22" i="23"/>
  <c r="F21" i="23"/>
  <c r="X16" i="23"/>
  <c r="X20" i="23"/>
  <c r="N15" i="25"/>
  <c r="L21" i="25"/>
  <c r="L16" i="26"/>
  <c r="L20" i="26"/>
  <c r="L13" i="28"/>
  <c r="Z13" i="22"/>
  <c r="Z16" i="22"/>
  <c r="Z20" i="22"/>
  <c r="X22" i="22"/>
  <c r="X24" i="22"/>
  <c r="N12" i="23"/>
  <c r="J36" i="23"/>
  <c r="J34" i="23"/>
  <c r="J33" i="23"/>
  <c r="J31" i="23"/>
  <c r="J29" i="23"/>
  <c r="J27" i="23"/>
  <c r="J25" i="23"/>
  <c r="J24" i="23"/>
  <c r="J22" i="23"/>
  <c r="J21" i="23"/>
  <c r="J20" i="23"/>
  <c r="J18" i="23"/>
  <c r="H18" i="23"/>
  <c r="J16" i="23"/>
  <c r="J15" i="23"/>
  <c r="X13" i="23"/>
  <c r="Z15" i="23"/>
  <c r="X21" i="23"/>
  <c r="N16" i="25"/>
  <c r="N20" i="25"/>
  <c r="L22" i="25"/>
  <c r="L24" i="25"/>
  <c r="N15" i="26"/>
  <c r="L21" i="26"/>
  <c r="X16" i="28"/>
  <c r="X20" i="28"/>
  <c r="X15" i="29"/>
  <c r="N29" i="29"/>
  <c r="L13" i="25"/>
  <c r="N21" i="25"/>
  <c r="L25" i="25"/>
  <c r="L29" i="25"/>
  <c r="L33" i="25"/>
  <c r="L34" i="25"/>
  <c r="N16" i="26"/>
  <c r="N20" i="26"/>
  <c r="L22" i="26"/>
  <c r="L24" i="26"/>
  <c r="Z13" i="28"/>
  <c r="Z16" i="28"/>
  <c r="L24" i="28"/>
  <c r="Z29" i="29"/>
  <c r="X12" i="22"/>
  <c r="R36" i="22"/>
  <c r="R34" i="22"/>
  <c r="R33" i="22"/>
  <c r="R31" i="22"/>
  <c r="R29" i="22"/>
  <c r="R27" i="22"/>
  <c r="R25" i="22"/>
  <c r="R21" i="22"/>
  <c r="R20" i="22"/>
  <c r="R18" i="22"/>
  <c r="R16" i="22"/>
  <c r="P18" i="22"/>
  <c r="R15" i="22"/>
  <c r="R24" i="22"/>
  <c r="R22" i="22"/>
  <c r="Z22" i="22"/>
  <c r="Z24" i="22"/>
  <c r="Z21" i="23"/>
  <c r="X25" i="23"/>
  <c r="X29" i="23"/>
  <c r="X33" i="23"/>
  <c r="X34" i="23"/>
  <c r="N13" i="25"/>
  <c r="N22" i="25"/>
  <c r="N24" i="25"/>
  <c r="L13" i="26"/>
  <c r="N21" i="26"/>
  <c r="L25" i="26"/>
  <c r="L29" i="26"/>
  <c r="L33" i="26"/>
  <c r="L34" i="26"/>
  <c r="N16" i="29"/>
  <c r="L22" i="29"/>
  <c r="Z12" i="22"/>
  <c r="V36" i="22"/>
  <c r="V34" i="22"/>
  <c r="V33" i="22"/>
  <c r="V31" i="22"/>
  <c r="V29" i="22"/>
  <c r="V27" i="22"/>
  <c r="V25" i="22"/>
  <c r="V24" i="22"/>
  <c r="V22" i="22"/>
  <c r="V21" i="22"/>
  <c r="T18" i="22"/>
  <c r="V15" i="22"/>
  <c r="V18" i="22"/>
  <c r="V16" i="22"/>
  <c r="V20" i="22"/>
  <c r="L15" i="22"/>
  <c r="Z25" i="22"/>
  <c r="Z29" i="22"/>
  <c r="Z33" i="22"/>
  <c r="Z34" i="22"/>
  <c r="X12" i="23"/>
  <c r="R36" i="23"/>
  <c r="R34" i="23"/>
  <c r="R33" i="23"/>
  <c r="R31" i="23"/>
  <c r="R29" i="23"/>
  <c r="R27" i="23"/>
  <c r="R25" i="23"/>
  <c r="R24" i="23"/>
  <c r="R22" i="23"/>
  <c r="R20" i="23"/>
  <c r="R18" i="23"/>
  <c r="R16" i="23"/>
  <c r="P18" i="23"/>
  <c r="R15" i="23"/>
  <c r="R21" i="23"/>
  <c r="Z22" i="23"/>
  <c r="Z24" i="23"/>
  <c r="X15" i="25"/>
  <c r="N25" i="25"/>
  <c r="N29" i="25"/>
  <c r="N33" i="25"/>
  <c r="N34" i="25"/>
  <c r="N13" i="26"/>
  <c r="N22" i="26"/>
  <c r="N24" i="26"/>
  <c r="L33" i="28"/>
  <c r="L16" i="22"/>
  <c r="L20" i="22"/>
  <c r="Z12" i="23"/>
  <c r="V36" i="23"/>
  <c r="V34" i="23"/>
  <c r="V33" i="23"/>
  <c r="V31" i="23"/>
  <c r="V29" i="23"/>
  <c r="V27" i="23"/>
  <c r="V25" i="23"/>
  <c r="V24" i="23"/>
  <c r="V22" i="23"/>
  <c r="V21" i="23"/>
  <c r="V20" i="23"/>
  <c r="V18" i="23"/>
  <c r="V16" i="23"/>
  <c r="T18" i="23"/>
  <c r="V15" i="23"/>
  <c r="L15" i="23"/>
  <c r="Z25" i="23"/>
  <c r="Z29" i="23"/>
  <c r="Z33" i="23"/>
  <c r="Z34" i="23"/>
  <c r="L12" i="25"/>
  <c r="F36" i="25"/>
  <c r="F34" i="25"/>
  <c r="F33" i="25"/>
  <c r="F31" i="25"/>
  <c r="F29" i="25"/>
  <c r="F27" i="25"/>
  <c r="F25" i="25"/>
  <c r="F24" i="25"/>
  <c r="F22" i="25"/>
  <c r="F21" i="25"/>
  <c r="F20" i="25"/>
  <c r="F18" i="25"/>
  <c r="F16" i="25"/>
  <c r="D18" i="25"/>
  <c r="F15" i="25"/>
  <c r="X16" i="25"/>
  <c r="X20" i="25"/>
  <c r="X15" i="26"/>
  <c r="N25" i="26"/>
  <c r="N29" i="26"/>
  <c r="N33" i="26"/>
  <c r="N34" i="26"/>
  <c r="N21" i="28"/>
  <c r="N33" i="29"/>
  <c r="N15" i="22"/>
  <c r="L21" i="22"/>
  <c r="L16" i="23"/>
  <c r="L20" i="23"/>
  <c r="N12" i="25"/>
  <c r="J36" i="25"/>
  <c r="J34" i="25"/>
  <c r="J33" i="25"/>
  <c r="J31" i="25"/>
  <c r="J29" i="25"/>
  <c r="J27" i="25"/>
  <c r="J25" i="25"/>
  <c r="J24" i="25"/>
  <c r="J22" i="25"/>
  <c r="J21" i="25"/>
  <c r="J20" i="25"/>
  <c r="J18" i="25"/>
  <c r="J16" i="25"/>
  <c r="H18" i="25"/>
  <c r="J15" i="25"/>
  <c r="X13" i="25"/>
  <c r="Z15" i="25"/>
  <c r="X21" i="25"/>
  <c r="L12" i="26"/>
  <c r="F36" i="26"/>
  <c r="F34" i="26"/>
  <c r="F33" i="26"/>
  <c r="F31" i="26"/>
  <c r="F29" i="26"/>
  <c r="F27" i="26"/>
  <c r="F25" i="26"/>
  <c r="F24" i="26"/>
  <c r="F22" i="26"/>
  <c r="F21" i="26"/>
  <c r="F20" i="26"/>
  <c r="F18" i="26"/>
  <c r="F16" i="26"/>
  <c r="D18" i="26"/>
  <c r="F15" i="26"/>
  <c r="X16" i="26"/>
  <c r="X20" i="26"/>
  <c r="F36" i="28"/>
  <c r="F34" i="28"/>
  <c r="F33" i="28"/>
  <c r="F31" i="28"/>
  <c r="F29" i="28"/>
  <c r="F27" i="28"/>
  <c r="F25" i="28"/>
  <c r="F20" i="28"/>
  <c r="F18" i="28"/>
  <c r="F16" i="28"/>
  <c r="L12" i="28"/>
  <c r="F21" i="28"/>
  <c r="D18" i="28"/>
  <c r="F15" i="28"/>
  <c r="F24" i="28"/>
  <c r="F22" i="28"/>
  <c r="L29" i="28"/>
  <c r="X33" i="28"/>
  <c r="L24" i="29"/>
  <c r="Z33" i="29"/>
  <c r="N16" i="22"/>
  <c r="N20" i="22"/>
  <c r="L22" i="22"/>
  <c r="L24" i="22"/>
  <c r="N15" i="23"/>
  <c r="L21" i="23"/>
  <c r="Z13" i="25"/>
  <c r="Z16" i="25"/>
  <c r="Z20" i="25"/>
  <c r="X22" i="25"/>
  <c r="X24" i="25"/>
  <c r="J36" i="26"/>
  <c r="J34" i="26"/>
  <c r="J33" i="26"/>
  <c r="J31" i="26"/>
  <c r="J29" i="26"/>
  <c r="J27" i="26"/>
  <c r="J25" i="26"/>
  <c r="J24" i="26"/>
  <c r="J22" i="26"/>
  <c r="J21" i="26"/>
  <c r="J20" i="26"/>
  <c r="J18" i="26"/>
  <c r="J16" i="26"/>
  <c r="H18" i="26"/>
  <c r="J15" i="26"/>
  <c r="N12" i="26"/>
  <c r="X13" i="26"/>
  <c r="Z15" i="26"/>
  <c r="X21" i="26"/>
  <c r="Z21" i="28"/>
  <c r="V36" i="29"/>
  <c r="V34" i="29"/>
  <c r="V33" i="29"/>
  <c r="V31" i="29"/>
  <c r="V29" i="29"/>
  <c r="V27" i="29"/>
  <c r="V25" i="29"/>
  <c r="V21" i="29"/>
  <c r="V20" i="29"/>
  <c r="V18" i="29"/>
  <c r="V16" i="29"/>
  <c r="T18" i="29"/>
  <c r="V15" i="29"/>
  <c r="V24" i="29"/>
  <c r="Z12" i="29"/>
  <c r="V22" i="29"/>
  <c r="N34" i="29"/>
  <c r="Z21" i="25"/>
  <c r="X25" i="25"/>
  <c r="X29" i="25"/>
  <c r="X33" i="25"/>
  <c r="X34" i="25"/>
  <c r="Z13" i="26"/>
  <c r="Z16" i="26"/>
  <c r="Z20" i="26"/>
  <c r="X22" i="26"/>
  <c r="X24" i="26"/>
  <c r="L25" i="28"/>
  <c r="X29" i="28"/>
  <c r="Z34" i="29"/>
  <c r="J24" i="28"/>
  <c r="J22" i="28"/>
  <c r="J21" i="28"/>
  <c r="N12" i="28"/>
  <c r="J29" i="28"/>
  <c r="J18" i="28"/>
  <c r="J33" i="28"/>
  <c r="H18" i="28"/>
  <c r="J15" i="28"/>
  <c r="J36" i="28"/>
  <c r="J27" i="28"/>
  <c r="J31" i="28"/>
  <c r="J20" i="28"/>
  <c r="J16" i="28"/>
  <c r="J34" i="28"/>
  <c r="J25" i="28"/>
  <c r="X13" i="28"/>
  <c r="Z15" i="28"/>
  <c r="X21" i="28"/>
  <c r="F36" i="29"/>
  <c r="F34" i="29"/>
  <c r="F33" i="29"/>
  <c r="F31" i="29"/>
  <c r="F29" i="29"/>
  <c r="F27" i="29"/>
  <c r="F25" i="29"/>
  <c r="F24" i="29"/>
  <c r="F22" i="29"/>
  <c r="F20" i="29"/>
  <c r="F18" i="29"/>
  <c r="F16" i="29"/>
  <c r="D18" i="29"/>
  <c r="F15" i="29"/>
  <c r="L12" i="29"/>
  <c r="F21" i="29"/>
  <c r="X16" i="29"/>
  <c r="X20" i="29"/>
  <c r="F36" i="31"/>
  <c r="F34" i="31"/>
  <c r="F33" i="31"/>
  <c r="F31" i="31"/>
  <c r="F29" i="31"/>
  <c r="F27" i="31"/>
  <c r="F25" i="31"/>
  <c r="F24" i="31"/>
  <c r="F22" i="31"/>
  <c r="F21" i="31"/>
  <c r="F20" i="31"/>
  <c r="F18" i="31"/>
  <c r="F16" i="31"/>
  <c r="D18" i="31"/>
  <c r="F15" i="31"/>
  <c r="L12" i="31"/>
  <c r="X16" i="31"/>
  <c r="X20" i="31"/>
  <c r="X15" i="32"/>
  <c r="N25" i="32"/>
  <c r="N29" i="32"/>
  <c r="N33" i="32"/>
  <c r="N34" i="32"/>
  <c r="L16" i="34"/>
  <c r="L15" i="35"/>
  <c r="Z33" i="35"/>
  <c r="Z20" i="28"/>
  <c r="X22" i="28"/>
  <c r="X24" i="28"/>
  <c r="J21" i="29"/>
  <c r="J20" i="29"/>
  <c r="J18" i="29"/>
  <c r="J16" i="29"/>
  <c r="N12" i="29"/>
  <c r="J36" i="29"/>
  <c r="J34" i="29"/>
  <c r="J33" i="29"/>
  <c r="J31" i="29"/>
  <c r="J29" i="29"/>
  <c r="J27" i="29"/>
  <c r="J25" i="29"/>
  <c r="J24" i="29"/>
  <c r="H18" i="29"/>
  <c r="J22" i="29"/>
  <c r="J15" i="29"/>
  <c r="X13" i="29"/>
  <c r="Z15" i="29"/>
  <c r="X21" i="29"/>
  <c r="J24" i="31"/>
  <c r="J22" i="31"/>
  <c r="J21" i="31"/>
  <c r="J20" i="31"/>
  <c r="J18" i="31"/>
  <c r="J16" i="31"/>
  <c r="H18" i="31"/>
  <c r="J15" i="31"/>
  <c r="N12" i="31"/>
  <c r="J36" i="31"/>
  <c r="J34" i="31"/>
  <c r="J33" i="31"/>
  <c r="J31" i="31"/>
  <c r="J29" i="31"/>
  <c r="J27" i="31"/>
  <c r="J25" i="31"/>
  <c r="X13" i="31"/>
  <c r="Z15" i="31"/>
  <c r="X21" i="31"/>
  <c r="F36" i="32"/>
  <c r="F34" i="32"/>
  <c r="F33" i="32"/>
  <c r="F31" i="32"/>
  <c r="F29" i="32"/>
  <c r="F27" i="32"/>
  <c r="F25" i="32"/>
  <c r="F24" i="32"/>
  <c r="F22" i="32"/>
  <c r="F21" i="32"/>
  <c r="F20" i="32"/>
  <c r="F18" i="32"/>
  <c r="F16" i="32"/>
  <c r="D18" i="32"/>
  <c r="F15" i="32"/>
  <c r="L12" i="32"/>
  <c r="X16" i="32"/>
  <c r="X20" i="32"/>
  <c r="N25" i="34"/>
  <c r="N24" i="35"/>
  <c r="X34" i="28"/>
  <c r="Z13" i="29"/>
  <c r="Z16" i="29"/>
  <c r="Z20" i="29"/>
  <c r="X22" i="29"/>
  <c r="X24" i="29"/>
  <c r="Z13" i="31"/>
  <c r="Z16" i="31"/>
  <c r="Z20" i="31"/>
  <c r="X22" i="31"/>
  <c r="X24" i="31"/>
  <c r="J21" i="32"/>
  <c r="J20" i="32"/>
  <c r="J18" i="32"/>
  <c r="J16" i="32"/>
  <c r="H18" i="32"/>
  <c r="J15" i="32"/>
  <c r="N12" i="32"/>
  <c r="J36" i="32"/>
  <c r="J34" i="32"/>
  <c r="J33" i="32"/>
  <c r="J31" i="32"/>
  <c r="J29" i="32"/>
  <c r="J27" i="32"/>
  <c r="J25" i="32"/>
  <c r="J24" i="32"/>
  <c r="J22" i="32"/>
  <c r="X13" i="32"/>
  <c r="Z15" i="32"/>
  <c r="X21" i="32"/>
  <c r="R21" i="34"/>
  <c r="R20" i="34"/>
  <c r="R18" i="34"/>
  <c r="R16" i="34"/>
  <c r="P18" i="34"/>
  <c r="R15" i="34"/>
  <c r="R24" i="34"/>
  <c r="R22" i="34"/>
  <c r="R34" i="34"/>
  <c r="R29" i="34"/>
  <c r="R33" i="34"/>
  <c r="R27" i="34"/>
  <c r="X12" i="34"/>
  <c r="R36" i="34"/>
  <c r="R31" i="34"/>
  <c r="R25" i="34"/>
  <c r="X29" i="35"/>
  <c r="X34" i="35"/>
  <c r="Z22" i="28"/>
  <c r="Z24" i="28"/>
  <c r="Z21" i="29"/>
  <c r="X25" i="29"/>
  <c r="X29" i="29"/>
  <c r="X33" i="29"/>
  <c r="X34" i="29"/>
  <c r="Z21" i="31"/>
  <c r="X25" i="31"/>
  <c r="X29" i="31"/>
  <c r="X33" i="31"/>
  <c r="X34" i="31"/>
  <c r="Z13" i="32"/>
  <c r="Z16" i="32"/>
  <c r="Z20" i="32"/>
  <c r="X22" i="32"/>
  <c r="X24" i="32"/>
  <c r="T18" i="34"/>
  <c r="V15" i="34"/>
  <c r="Z12" i="34"/>
  <c r="V20" i="34"/>
  <c r="V18" i="34"/>
  <c r="V16" i="34"/>
  <c r="V24" i="34"/>
  <c r="V33" i="34"/>
  <c r="V27" i="34"/>
  <c r="V22" i="34"/>
  <c r="V36" i="34"/>
  <c r="V31" i="34"/>
  <c r="V25" i="34"/>
  <c r="V21" i="34"/>
  <c r="V34" i="34"/>
  <c r="V29" i="34"/>
  <c r="Z25" i="34"/>
  <c r="Z24" i="35"/>
  <c r="Z12" i="28"/>
  <c r="V24" i="28"/>
  <c r="V22" i="28"/>
  <c r="V21" i="28"/>
  <c r="T18" i="28"/>
  <c r="V15" i="28"/>
  <c r="V33" i="28"/>
  <c r="V27" i="28"/>
  <c r="V36" i="28"/>
  <c r="V16" i="28"/>
  <c r="V31" i="28"/>
  <c r="V20" i="28"/>
  <c r="V34" i="28"/>
  <c r="V25" i="28"/>
  <c r="V29" i="28"/>
  <c r="V18" i="28"/>
  <c r="L15" i="28"/>
  <c r="Z25" i="28"/>
  <c r="Z29" i="28"/>
  <c r="Z33" i="28"/>
  <c r="Z34" i="28"/>
  <c r="X12" i="29"/>
  <c r="R36" i="29"/>
  <c r="R34" i="29"/>
  <c r="R33" i="29"/>
  <c r="R31" i="29"/>
  <c r="R29" i="29"/>
  <c r="R27" i="29"/>
  <c r="R25" i="29"/>
  <c r="R24" i="29"/>
  <c r="R22" i="29"/>
  <c r="R21" i="29"/>
  <c r="R20" i="29"/>
  <c r="R18" i="29"/>
  <c r="R16" i="29"/>
  <c r="P18" i="29"/>
  <c r="R15" i="29"/>
  <c r="Z22" i="29"/>
  <c r="Z24" i="29"/>
  <c r="X12" i="31"/>
  <c r="R36" i="31"/>
  <c r="R34" i="31"/>
  <c r="R33" i="31"/>
  <c r="R31" i="31"/>
  <c r="R29" i="31"/>
  <c r="R27" i="31"/>
  <c r="R25" i="31"/>
  <c r="R24" i="31"/>
  <c r="R22" i="31"/>
  <c r="R21" i="31"/>
  <c r="R20" i="31"/>
  <c r="R18" i="31"/>
  <c r="R16" i="31"/>
  <c r="P18" i="31"/>
  <c r="R15" i="31"/>
  <c r="Z22" i="31"/>
  <c r="Z24" i="31"/>
  <c r="Z21" i="32"/>
  <c r="X25" i="32"/>
  <c r="X29" i="32"/>
  <c r="X33" i="32"/>
  <c r="X34" i="32"/>
  <c r="Z29" i="35"/>
  <c r="Z34" i="35"/>
  <c r="Z12" i="31"/>
  <c r="V36" i="31"/>
  <c r="V34" i="31"/>
  <c r="V33" i="31"/>
  <c r="V31" i="31"/>
  <c r="V29" i="31"/>
  <c r="V27" i="31"/>
  <c r="V25" i="31"/>
  <c r="V24" i="31"/>
  <c r="V22" i="31"/>
  <c r="V21" i="31"/>
  <c r="V20" i="31"/>
  <c r="V18" i="31"/>
  <c r="V16" i="31"/>
  <c r="T18" i="31"/>
  <c r="V15" i="31"/>
  <c r="L15" i="31"/>
  <c r="Z25" i="31"/>
  <c r="Z29" i="31"/>
  <c r="Z33" i="31"/>
  <c r="Z34" i="31"/>
  <c r="X12" i="32"/>
  <c r="R36" i="32"/>
  <c r="R34" i="32"/>
  <c r="R33" i="32"/>
  <c r="R31" i="32"/>
  <c r="R29" i="32"/>
  <c r="R27" i="32"/>
  <c r="R25" i="32"/>
  <c r="R24" i="32"/>
  <c r="R22" i="32"/>
  <c r="R21" i="32"/>
  <c r="R20" i="32"/>
  <c r="R18" i="32"/>
  <c r="R16" i="32"/>
  <c r="P18" i="32"/>
  <c r="R15" i="32"/>
  <c r="Z22" i="32"/>
  <c r="Z24" i="32"/>
  <c r="N33" i="34"/>
  <c r="N15" i="28"/>
  <c r="L21" i="28"/>
  <c r="L16" i="29"/>
  <c r="L20" i="29"/>
  <c r="L16" i="31"/>
  <c r="L20" i="31"/>
  <c r="Z12" i="32"/>
  <c r="V36" i="32"/>
  <c r="V34" i="32"/>
  <c r="V33" i="32"/>
  <c r="V31" i="32"/>
  <c r="V29" i="32"/>
  <c r="V27" i="32"/>
  <c r="V25" i="32"/>
  <c r="V24" i="32"/>
  <c r="V22" i="32"/>
  <c r="V21" i="32"/>
  <c r="V20" i="32"/>
  <c r="V18" i="32"/>
  <c r="V16" i="32"/>
  <c r="T18" i="32"/>
  <c r="V15" i="32"/>
  <c r="L15" i="32"/>
  <c r="Z25" i="32"/>
  <c r="Z29" i="32"/>
  <c r="Z33" i="32"/>
  <c r="Z34" i="32"/>
  <c r="Z22" i="34"/>
  <c r="Z21" i="35"/>
  <c r="X25" i="35"/>
  <c r="N15" i="29"/>
  <c r="L21" i="29"/>
  <c r="N15" i="31"/>
  <c r="L21" i="31"/>
  <c r="L16" i="32"/>
  <c r="L20" i="32"/>
  <c r="L15" i="34"/>
  <c r="Z33" i="34"/>
  <c r="R20" i="35"/>
  <c r="R18" i="35"/>
  <c r="R16" i="35"/>
  <c r="P18" i="35"/>
  <c r="R15" i="35"/>
  <c r="X12" i="35"/>
  <c r="R21" i="35"/>
  <c r="R33" i="35"/>
  <c r="R27" i="35"/>
  <c r="R22" i="35"/>
  <c r="R36" i="35"/>
  <c r="R31" i="35"/>
  <c r="R25" i="35"/>
  <c r="R34" i="35"/>
  <c r="R29" i="35"/>
  <c r="R24" i="35"/>
  <c r="N16" i="31"/>
  <c r="N20" i="31"/>
  <c r="L22" i="31"/>
  <c r="L24" i="31"/>
  <c r="N15" i="32"/>
  <c r="L21" i="32"/>
  <c r="L20" i="34"/>
  <c r="Z12" i="35"/>
  <c r="V36" i="35"/>
  <c r="V34" i="35"/>
  <c r="V33" i="35"/>
  <c r="V31" i="35"/>
  <c r="V29" i="35"/>
  <c r="V27" i="35"/>
  <c r="V25" i="35"/>
  <c r="T18" i="35"/>
  <c r="V15" i="35"/>
  <c r="V18" i="35"/>
  <c r="V21" i="35"/>
  <c r="V16" i="35"/>
  <c r="V24" i="35"/>
  <c r="V20" i="35"/>
  <c r="V22" i="35"/>
  <c r="Z25" i="35"/>
  <c r="N13" i="28"/>
  <c r="N22" i="28"/>
  <c r="N24" i="28"/>
  <c r="L13" i="29"/>
  <c r="N21" i="29"/>
  <c r="L25" i="29"/>
  <c r="L29" i="29"/>
  <c r="L33" i="29"/>
  <c r="L34" i="29"/>
  <c r="L13" i="31"/>
  <c r="N21" i="31"/>
  <c r="L25" i="31"/>
  <c r="L29" i="31"/>
  <c r="L33" i="31"/>
  <c r="L34" i="31"/>
  <c r="N16" i="32"/>
  <c r="N20" i="32"/>
  <c r="L22" i="32"/>
  <c r="L24" i="32"/>
  <c r="X15" i="34"/>
  <c r="N29" i="34"/>
  <c r="N34" i="34"/>
  <c r="N13" i="35"/>
  <c r="N22" i="35"/>
  <c r="X15" i="28"/>
  <c r="N25" i="28"/>
  <c r="N29" i="28"/>
  <c r="N33" i="28"/>
  <c r="N34" i="28"/>
  <c r="N13" i="29"/>
  <c r="N22" i="29"/>
  <c r="N24" i="29"/>
  <c r="N13" i="31"/>
  <c r="N22" i="31"/>
  <c r="N24" i="31"/>
  <c r="L13" i="32"/>
  <c r="N21" i="32"/>
  <c r="L25" i="32"/>
  <c r="L29" i="32"/>
  <c r="L33" i="32"/>
  <c r="L34" i="32"/>
  <c r="Z24" i="34"/>
  <c r="X33" i="35"/>
  <c r="X15" i="31"/>
  <c r="N25" i="31"/>
  <c r="N29" i="31"/>
  <c r="N33" i="31"/>
  <c r="N34" i="31"/>
  <c r="N13" i="32"/>
  <c r="N22" i="32"/>
  <c r="N24" i="32"/>
  <c r="Z29" i="34"/>
  <c r="Z34" i="34"/>
  <c r="Z22" i="35"/>
  <c r="Z21" i="34"/>
  <c r="X25" i="34"/>
  <c r="X29" i="34"/>
  <c r="X33" i="34"/>
  <c r="X34" i="34"/>
  <c r="Z13" i="35"/>
  <c r="Z16" i="35"/>
  <c r="Z20" i="35"/>
  <c r="X22" i="35"/>
  <c r="X24" i="35"/>
  <c r="R24" i="37"/>
  <c r="R22" i="37"/>
  <c r="R21" i="37"/>
  <c r="R20" i="37"/>
  <c r="R18" i="37"/>
  <c r="R16" i="37"/>
  <c r="P18" i="37"/>
  <c r="R15" i="37"/>
  <c r="X12" i="37"/>
  <c r="R36" i="37"/>
  <c r="R34" i="37"/>
  <c r="R33" i="37"/>
  <c r="R31" i="37"/>
  <c r="R29" i="37"/>
  <c r="R27" i="37"/>
  <c r="R25" i="37"/>
  <c r="Z22" i="37"/>
  <c r="Z24" i="37"/>
  <c r="Z21" i="38"/>
  <c r="X25" i="38"/>
  <c r="X29" i="38"/>
  <c r="X33" i="38"/>
  <c r="X34" i="38"/>
  <c r="X16" i="40"/>
  <c r="V20" i="37"/>
  <c r="V18" i="37"/>
  <c r="V16" i="37"/>
  <c r="T18" i="37"/>
  <c r="V15" i="37"/>
  <c r="Z12" i="37"/>
  <c r="V36" i="37"/>
  <c r="V34" i="37"/>
  <c r="V33" i="37"/>
  <c r="V31" i="37"/>
  <c r="V29" i="37"/>
  <c r="V27" i="37"/>
  <c r="V25" i="37"/>
  <c r="V24" i="37"/>
  <c r="V22" i="37"/>
  <c r="V21" i="37"/>
  <c r="L15" i="37"/>
  <c r="Z25" i="37"/>
  <c r="Z29" i="37"/>
  <c r="Z33" i="37"/>
  <c r="Z34" i="37"/>
  <c r="R21" i="38"/>
  <c r="R20" i="38"/>
  <c r="R18" i="38"/>
  <c r="R16" i="38"/>
  <c r="P18" i="38"/>
  <c r="R15" i="38"/>
  <c r="X12" i="38"/>
  <c r="R36" i="38"/>
  <c r="R34" i="38"/>
  <c r="R33" i="38"/>
  <c r="R31" i="38"/>
  <c r="R29" i="38"/>
  <c r="R27" i="38"/>
  <c r="R25" i="38"/>
  <c r="R24" i="38"/>
  <c r="R22" i="38"/>
  <c r="Z22" i="38"/>
  <c r="Z24" i="38"/>
  <c r="L16" i="37"/>
  <c r="L20" i="37"/>
  <c r="T18" i="38"/>
  <c r="V15" i="38"/>
  <c r="Z12" i="38"/>
  <c r="V36" i="38"/>
  <c r="V34" i="38"/>
  <c r="V33" i="38"/>
  <c r="V31" i="38"/>
  <c r="V29" i="38"/>
  <c r="V27" i="38"/>
  <c r="V25" i="38"/>
  <c r="V24" i="38"/>
  <c r="V22" i="38"/>
  <c r="V21" i="38"/>
  <c r="V20" i="38"/>
  <c r="V18" i="38"/>
  <c r="V16" i="38"/>
  <c r="L15" i="38"/>
  <c r="Z25" i="38"/>
  <c r="Z29" i="38"/>
  <c r="Z33" i="38"/>
  <c r="Z34" i="38"/>
  <c r="N15" i="37"/>
  <c r="L21" i="37"/>
  <c r="L16" i="38"/>
  <c r="L20" i="38"/>
  <c r="L20" i="40"/>
  <c r="N25" i="41"/>
  <c r="N15" i="34"/>
  <c r="L21" i="34"/>
  <c r="L16" i="35"/>
  <c r="L20" i="35"/>
  <c r="N16" i="37"/>
  <c r="N20" i="37"/>
  <c r="L22" i="37"/>
  <c r="L24" i="37"/>
  <c r="N15" i="38"/>
  <c r="L21" i="38"/>
  <c r="X20" i="40"/>
  <c r="N16" i="34"/>
  <c r="N20" i="34"/>
  <c r="L22" i="34"/>
  <c r="L24" i="34"/>
  <c r="N15" i="35"/>
  <c r="L21" i="35"/>
  <c r="L13" i="37"/>
  <c r="N21" i="37"/>
  <c r="L25" i="37"/>
  <c r="L29" i="37"/>
  <c r="L33" i="37"/>
  <c r="L34" i="37"/>
  <c r="N16" i="38"/>
  <c r="N20" i="38"/>
  <c r="L22" i="38"/>
  <c r="L24" i="38"/>
  <c r="N29" i="41"/>
  <c r="L13" i="34"/>
  <c r="N21" i="34"/>
  <c r="L25" i="34"/>
  <c r="L29" i="34"/>
  <c r="L33" i="34"/>
  <c r="L34" i="34"/>
  <c r="N16" i="35"/>
  <c r="N20" i="35"/>
  <c r="L22" i="35"/>
  <c r="L24" i="35"/>
  <c r="N13" i="37"/>
  <c r="N22" i="37"/>
  <c r="N24" i="37"/>
  <c r="L13" i="38"/>
  <c r="N21" i="38"/>
  <c r="L25" i="38"/>
  <c r="L29" i="38"/>
  <c r="L33" i="38"/>
  <c r="L34" i="38"/>
  <c r="F20" i="40"/>
  <c r="F18" i="40"/>
  <c r="F16" i="40"/>
  <c r="L12" i="40"/>
  <c r="F36" i="40"/>
  <c r="F34" i="40"/>
  <c r="F33" i="40"/>
  <c r="F31" i="40"/>
  <c r="F29" i="40"/>
  <c r="F27" i="40"/>
  <c r="F25" i="40"/>
  <c r="F24" i="40"/>
  <c r="F22" i="40"/>
  <c r="F21" i="40"/>
  <c r="F15" i="40"/>
  <c r="D18" i="40"/>
  <c r="N13" i="34"/>
  <c r="N22" i="34"/>
  <c r="N24" i="34"/>
  <c r="L13" i="35"/>
  <c r="N21" i="35"/>
  <c r="L25" i="35"/>
  <c r="L29" i="35"/>
  <c r="L33" i="35"/>
  <c r="L34" i="35"/>
  <c r="X15" i="37"/>
  <c r="N25" i="37"/>
  <c r="N29" i="37"/>
  <c r="N33" i="37"/>
  <c r="N34" i="37"/>
  <c r="N13" i="38"/>
  <c r="N22" i="38"/>
  <c r="N24" i="38"/>
  <c r="N33" i="41"/>
  <c r="L12" i="37"/>
  <c r="F36" i="37"/>
  <c r="F34" i="37"/>
  <c r="F33" i="37"/>
  <c r="F31" i="37"/>
  <c r="F29" i="37"/>
  <c r="F27" i="37"/>
  <c r="F25" i="37"/>
  <c r="F24" i="37"/>
  <c r="F22" i="37"/>
  <c r="F21" i="37"/>
  <c r="F20" i="37"/>
  <c r="F18" i="37"/>
  <c r="F16" i="37"/>
  <c r="D18" i="37"/>
  <c r="F15" i="37"/>
  <c r="X16" i="37"/>
  <c r="X20" i="37"/>
  <c r="X15" i="38"/>
  <c r="N25" i="38"/>
  <c r="N29" i="38"/>
  <c r="N33" i="38"/>
  <c r="N34" i="38"/>
  <c r="X15" i="41"/>
  <c r="N34" i="41"/>
  <c r="L12" i="34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F15" i="34"/>
  <c r="D18" i="34"/>
  <c r="X16" i="34"/>
  <c r="X20" i="34"/>
  <c r="X15" i="35"/>
  <c r="N25" i="35"/>
  <c r="N29" i="35"/>
  <c r="N33" i="35"/>
  <c r="N34" i="35"/>
  <c r="N12" i="37"/>
  <c r="J36" i="37"/>
  <c r="J34" i="37"/>
  <c r="J33" i="37"/>
  <c r="J31" i="37"/>
  <c r="J29" i="37"/>
  <c r="J27" i="37"/>
  <c r="J25" i="37"/>
  <c r="J24" i="37"/>
  <c r="J22" i="37"/>
  <c r="J21" i="37"/>
  <c r="J20" i="37"/>
  <c r="J18" i="37"/>
  <c r="J16" i="37"/>
  <c r="H18" i="37"/>
  <c r="J15" i="37"/>
  <c r="X13" i="37"/>
  <c r="Z15" i="37"/>
  <c r="X21" i="37"/>
  <c r="L12" i="38"/>
  <c r="F36" i="38"/>
  <c r="F34" i="38"/>
  <c r="F33" i="38"/>
  <c r="F31" i="38"/>
  <c r="F29" i="38"/>
  <c r="F27" i="38"/>
  <c r="F25" i="38"/>
  <c r="F24" i="38"/>
  <c r="F22" i="38"/>
  <c r="F21" i="38"/>
  <c r="F20" i="38"/>
  <c r="F18" i="38"/>
  <c r="F16" i="38"/>
  <c r="D18" i="38"/>
  <c r="F15" i="38"/>
  <c r="X16" i="38"/>
  <c r="X20" i="38"/>
  <c r="J36" i="34"/>
  <c r="J34" i="34"/>
  <c r="J33" i="34"/>
  <c r="J31" i="34"/>
  <c r="J29" i="34"/>
  <c r="J27" i="34"/>
  <c r="J25" i="34"/>
  <c r="J21" i="34"/>
  <c r="J20" i="34"/>
  <c r="J18" i="34"/>
  <c r="J16" i="34"/>
  <c r="H18" i="34"/>
  <c r="J15" i="34"/>
  <c r="N12" i="34"/>
  <c r="J24" i="34"/>
  <c r="J22" i="34"/>
  <c r="X13" i="34"/>
  <c r="Z15" i="34"/>
  <c r="X21" i="34"/>
  <c r="F24" i="35"/>
  <c r="F22" i="35"/>
  <c r="F21" i="35"/>
  <c r="F20" i="35"/>
  <c r="F18" i="35"/>
  <c r="F16" i="35"/>
  <c r="D18" i="35"/>
  <c r="F15" i="35"/>
  <c r="L12" i="35"/>
  <c r="F33" i="35"/>
  <c r="F27" i="35"/>
  <c r="F36" i="35"/>
  <c r="F31" i="35"/>
  <c r="F25" i="35"/>
  <c r="F34" i="35"/>
  <c r="F29" i="35"/>
  <c r="X16" i="35"/>
  <c r="X20" i="35"/>
  <c r="Z13" i="37"/>
  <c r="Z16" i="37"/>
  <c r="Z20" i="37"/>
  <c r="X22" i="37"/>
  <c r="X24" i="37"/>
  <c r="J36" i="38"/>
  <c r="J34" i="38"/>
  <c r="J33" i="38"/>
  <c r="J31" i="38"/>
  <c r="J29" i="38"/>
  <c r="J27" i="38"/>
  <c r="J25" i="38"/>
  <c r="J24" i="38"/>
  <c r="J22" i="38"/>
  <c r="J21" i="38"/>
  <c r="J20" i="38"/>
  <c r="J18" i="38"/>
  <c r="J16" i="38"/>
  <c r="H18" i="38"/>
  <c r="J15" i="38"/>
  <c r="N12" i="38"/>
  <c r="X13" i="38"/>
  <c r="Z15" i="38"/>
  <c r="X21" i="38"/>
  <c r="Z13" i="34"/>
  <c r="Z16" i="34"/>
  <c r="Z20" i="34"/>
  <c r="X22" i="34"/>
  <c r="X24" i="34"/>
  <c r="J36" i="35"/>
  <c r="J34" i="35"/>
  <c r="J33" i="35"/>
  <c r="J31" i="35"/>
  <c r="J29" i="35"/>
  <c r="J27" i="35"/>
  <c r="J25" i="35"/>
  <c r="J24" i="35"/>
  <c r="J22" i="35"/>
  <c r="J20" i="35"/>
  <c r="J18" i="35"/>
  <c r="J16" i="35"/>
  <c r="H18" i="35"/>
  <c r="J15" i="35"/>
  <c r="N12" i="35"/>
  <c r="J21" i="35"/>
  <c r="X13" i="35"/>
  <c r="Z15" i="35"/>
  <c r="X21" i="35"/>
  <c r="Z21" i="37"/>
  <c r="X25" i="37"/>
  <c r="X29" i="37"/>
  <c r="X33" i="37"/>
  <c r="X34" i="37"/>
  <c r="Z13" i="38"/>
  <c r="Z16" i="38"/>
  <c r="Z20" i="38"/>
  <c r="X22" i="38"/>
  <c r="X24" i="38"/>
  <c r="L16" i="40"/>
  <c r="N16" i="40"/>
  <c r="N20" i="40"/>
  <c r="L22" i="40"/>
  <c r="L24" i="40"/>
  <c r="N15" i="41"/>
  <c r="L21" i="41"/>
  <c r="L13" i="43"/>
  <c r="Z24" i="43"/>
  <c r="Z33" i="43"/>
  <c r="X24" i="44"/>
  <c r="L13" i="40"/>
  <c r="N21" i="40"/>
  <c r="L25" i="40"/>
  <c r="L29" i="40"/>
  <c r="L33" i="40"/>
  <c r="L34" i="40"/>
  <c r="N16" i="41"/>
  <c r="N20" i="41"/>
  <c r="L22" i="41"/>
  <c r="L24" i="41"/>
  <c r="N13" i="43"/>
  <c r="N22" i="43"/>
  <c r="L34" i="43"/>
  <c r="N29" i="44"/>
  <c r="N34" i="44"/>
  <c r="N13" i="40"/>
  <c r="N22" i="40"/>
  <c r="N24" i="40"/>
  <c r="L13" i="41"/>
  <c r="N21" i="41"/>
  <c r="L25" i="41"/>
  <c r="L29" i="41"/>
  <c r="L33" i="41"/>
  <c r="L34" i="41"/>
  <c r="L25" i="43"/>
  <c r="N34" i="43"/>
  <c r="Z24" i="44"/>
  <c r="N13" i="47"/>
  <c r="N33" i="49"/>
  <c r="X15" i="40"/>
  <c r="N25" i="40"/>
  <c r="N29" i="40"/>
  <c r="N33" i="40"/>
  <c r="N34" i="40"/>
  <c r="N13" i="41"/>
  <c r="N22" i="41"/>
  <c r="N24" i="41"/>
  <c r="L21" i="43"/>
  <c r="X15" i="44"/>
  <c r="Z21" i="44"/>
  <c r="N21" i="43"/>
  <c r="N25" i="43"/>
  <c r="L29" i="43"/>
  <c r="X34" i="43"/>
  <c r="N25" i="44"/>
  <c r="N12" i="40"/>
  <c r="J24" i="40"/>
  <c r="J22" i="40"/>
  <c r="J21" i="40"/>
  <c r="J20" i="40"/>
  <c r="J18" i="40"/>
  <c r="J16" i="40"/>
  <c r="H18" i="40"/>
  <c r="J15" i="40"/>
  <c r="J25" i="40"/>
  <c r="J36" i="40"/>
  <c r="J34" i="40"/>
  <c r="J33" i="40"/>
  <c r="J31" i="40"/>
  <c r="J29" i="40"/>
  <c r="J27" i="40"/>
  <c r="X13" i="40"/>
  <c r="Z15" i="40"/>
  <c r="X21" i="40"/>
  <c r="D18" i="41"/>
  <c r="F15" i="41"/>
  <c r="L12" i="41"/>
  <c r="F36" i="41"/>
  <c r="F34" i="41"/>
  <c r="F33" i="41"/>
  <c r="F31" i="41"/>
  <c r="F29" i="41"/>
  <c r="F27" i="41"/>
  <c r="F25" i="41"/>
  <c r="F24" i="41"/>
  <c r="F22" i="41"/>
  <c r="F21" i="41"/>
  <c r="F20" i="41"/>
  <c r="F18" i="41"/>
  <c r="F16" i="41"/>
  <c r="X16" i="41"/>
  <c r="X20" i="41"/>
  <c r="Z22" i="43"/>
  <c r="N22" i="44"/>
  <c r="X13" i="50"/>
  <c r="Z13" i="40"/>
  <c r="Z16" i="40"/>
  <c r="Z20" i="40"/>
  <c r="X22" i="40"/>
  <c r="X24" i="40"/>
  <c r="N12" i="41"/>
  <c r="J36" i="41"/>
  <c r="J34" i="41"/>
  <c r="J33" i="41"/>
  <c r="J31" i="41"/>
  <c r="J29" i="41"/>
  <c r="J27" i="41"/>
  <c r="J25" i="41"/>
  <c r="J21" i="41"/>
  <c r="J20" i="41"/>
  <c r="J18" i="41"/>
  <c r="J16" i="41"/>
  <c r="H18" i="41"/>
  <c r="J15" i="41"/>
  <c r="J24" i="41"/>
  <c r="J22" i="41"/>
  <c r="X13" i="41"/>
  <c r="Z15" i="41"/>
  <c r="X21" i="41"/>
  <c r="F36" i="43"/>
  <c r="F34" i="43"/>
  <c r="F21" i="43"/>
  <c r="D18" i="43"/>
  <c r="F15" i="43"/>
  <c r="F18" i="43"/>
  <c r="F27" i="43"/>
  <c r="F33" i="43"/>
  <c r="F24" i="43"/>
  <c r="F20" i="43"/>
  <c r="L12" i="43"/>
  <c r="F29" i="43"/>
  <c r="F25" i="43"/>
  <c r="F16" i="43"/>
  <c r="F31" i="43"/>
  <c r="F22" i="43"/>
  <c r="L15" i="43"/>
  <c r="X25" i="43"/>
  <c r="N29" i="43"/>
  <c r="L33" i="43"/>
  <c r="Z34" i="43"/>
  <c r="X12" i="44"/>
  <c r="R20" i="44"/>
  <c r="R18" i="44"/>
  <c r="R16" i="44"/>
  <c r="P18" i="44"/>
  <c r="R15" i="44"/>
  <c r="R33" i="44"/>
  <c r="R27" i="44"/>
  <c r="R22" i="44"/>
  <c r="R36" i="44"/>
  <c r="R31" i="44"/>
  <c r="R25" i="44"/>
  <c r="R34" i="44"/>
  <c r="R29" i="44"/>
  <c r="R21" i="44"/>
  <c r="R24" i="44"/>
  <c r="X25" i="44"/>
  <c r="N25" i="46"/>
  <c r="Z21" i="40"/>
  <c r="X25" i="40"/>
  <c r="X29" i="40"/>
  <c r="X33" i="40"/>
  <c r="X34" i="40"/>
  <c r="Z13" i="41"/>
  <c r="Z16" i="41"/>
  <c r="Z20" i="41"/>
  <c r="X22" i="41"/>
  <c r="X24" i="41"/>
  <c r="N15" i="43"/>
  <c r="X16" i="43"/>
  <c r="N16" i="44"/>
  <c r="X22" i="44"/>
  <c r="R36" i="40"/>
  <c r="R34" i="40"/>
  <c r="R33" i="40"/>
  <c r="R31" i="40"/>
  <c r="R29" i="40"/>
  <c r="R27" i="40"/>
  <c r="R25" i="40"/>
  <c r="R24" i="40"/>
  <c r="R22" i="40"/>
  <c r="R21" i="40"/>
  <c r="R20" i="40"/>
  <c r="R18" i="40"/>
  <c r="R16" i="40"/>
  <c r="R15" i="40"/>
  <c r="X12" i="40"/>
  <c r="P18" i="40"/>
  <c r="Z22" i="40"/>
  <c r="Z24" i="40"/>
  <c r="Z21" i="41"/>
  <c r="X25" i="41"/>
  <c r="X29" i="41"/>
  <c r="X33" i="41"/>
  <c r="X34" i="41"/>
  <c r="Z21" i="43"/>
  <c r="N24" i="43"/>
  <c r="Z25" i="43"/>
  <c r="X29" i="43"/>
  <c r="N33" i="43"/>
  <c r="N13" i="44"/>
  <c r="N29" i="46"/>
  <c r="N22" i="47"/>
  <c r="Z12" i="40"/>
  <c r="V36" i="40"/>
  <c r="V34" i="40"/>
  <c r="V33" i="40"/>
  <c r="V31" i="40"/>
  <c r="V29" i="40"/>
  <c r="V27" i="40"/>
  <c r="V25" i="40"/>
  <c r="V24" i="40"/>
  <c r="V22" i="40"/>
  <c r="V21" i="40"/>
  <c r="V20" i="40"/>
  <c r="V18" i="40"/>
  <c r="V16" i="40"/>
  <c r="T18" i="40"/>
  <c r="V15" i="40"/>
  <c r="L15" i="40"/>
  <c r="Z25" i="40"/>
  <c r="Z29" i="40"/>
  <c r="Z33" i="40"/>
  <c r="Z34" i="40"/>
  <c r="X12" i="41"/>
  <c r="R36" i="41"/>
  <c r="R34" i="41"/>
  <c r="R33" i="41"/>
  <c r="R31" i="41"/>
  <c r="R29" i="41"/>
  <c r="R27" i="41"/>
  <c r="R25" i="41"/>
  <c r="R24" i="41"/>
  <c r="R22" i="41"/>
  <c r="R21" i="41"/>
  <c r="R20" i="41"/>
  <c r="R18" i="41"/>
  <c r="R16" i="41"/>
  <c r="P18" i="41"/>
  <c r="R15" i="41"/>
  <c r="Z22" i="41"/>
  <c r="Z24" i="41"/>
  <c r="X12" i="43"/>
  <c r="R21" i="43"/>
  <c r="R20" i="43"/>
  <c r="R18" i="43"/>
  <c r="R16" i="43"/>
  <c r="R36" i="43"/>
  <c r="R33" i="43"/>
  <c r="R24" i="43"/>
  <c r="R15" i="43"/>
  <c r="R29" i="43"/>
  <c r="R25" i="43"/>
  <c r="R34" i="43"/>
  <c r="R31" i="43"/>
  <c r="R22" i="43"/>
  <c r="P18" i="43"/>
  <c r="R27" i="43"/>
  <c r="Z20" i="44"/>
  <c r="Z22" i="44"/>
  <c r="N33" i="44"/>
  <c r="N24" i="47"/>
  <c r="V36" i="41"/>
  <c r="V34" i="41"/>
  <c r="V33" i="41"/>
  <c r="V31" i="41"/>
  <c r="V29" i="41"/>
  <c r="V27" i="41"/>
  <c r="V25" i="41"/>
  <c r="V24" i="41"/>
  <c r="V22" i="41"/>
  <c r="V21" i="41"/>
  <c r="V20" i="41"/>
  <c r="V18" i="41"/>
  <c r="V16" i="41"/>
  <c r="T18" i="41"/>
  <c r="V15" i="41"/>
  <c r="Z12" i="41"/>
  <c r="L15" i="41"/>
  <c r="Z25" i="41"/>
  <c r="Z29" i="41"/>
  <c r="Z33" i="41"/>
  <c r="Z34" i="41"/>
  <c r="V36" i="43"/>
  <c r="V34" i="43"/>
  <c r="V33" i="43"/>
  <c r="V31" i="43"/>
  <c r="V29" i="43"/>
  <c r="V27" i="43"/>
  <c r="V25" i="43"/>
  <c r="T18" i="43"/>
  <c r="V15" i="43"/>
  <c r="Z12" i="43"/>
  <c r="V21" i="43"/>
  <c r="V16" i="43"/>
  <c r="V22" i="43"/>
  <c r="V18" i="43"/>
  <c r="V24" i="43"/>
  <c r="V20" i="43"/>
  <c r="X15" i="43"/>
  <c r="Z29" i="43"/>
  <c r="X33" i="43"/>
  <c r="Z13" i="44"/>
  <c r="Z16" i="44"/>
  <c r="N24" i="44"/>
  <c r="N33" i="46"/>
  <c r="N15" i="40"/>
  <c r="L21" i="40"/>
  <c r="L16" i="41"/>
  <c r="L20" i="41"/>
  <c r="X20" i="43"/>
  <c r="X15" i="46"/>
  <c r="N34" i="46"/>
  <c r="N25" i="49"/>
  <c r="H18" i="43"/>
  <c r="J15" i="43"/>
  <c r="J36" i="43"/>
  <c r="J33" i="43"/>
  <c r="J24" i="43"/>
  <c r="J20" i="43"/>
  <c r="N12" i="43"/>
  <c r="J29" i="43"/>
  <c r="J25" i="43"/>
  <c r="J21" i="43"/>
  <c r="J16" i="43"/>
  <c r="J34" i="43"/>
  <c r="J31" i="43"/>
  <c r="J22" i="43"/>
  <c r="J27" i="43"/>
  <c r="J18" i="43"/>
  <c r="X13" i="43"/>
  <c r="Z15" i="43"/>
  <c r="X21" i="43"/>
  <c r="F24" i="44"/>
  <c r="F22" i="44"/>
  <c r="F21" i="44"/>
  <c r="F20" i="44"/>
  <c r="F18" i="44"/>
  <c r="F16" i="44"/>
  <c r="D18" i="44"/>
  <c r="F15" i="44"/>
  <c r="F33" i="44"/>
  <c r="F27" i="44"/>
  <c r="F36" i="44"/>
  <c r="F31" i="44"/>
  <c r="L12" i="44"/>
  <c r="F25" i="44"/>
  <c r="F34" i="44"/>
  <c r="F29" i="44"/>
  <c r="X16" i="44"/>
  <c r="X20" i="44"/>
  <c r="F36" i="46"/>
  <c r="F34" i="46"/>
  <c r="F33" i="46"/>
  <c r="F31" i="46"/>
  <c r="F29" i="46"/>
  <c r="F27" i="46"/>
  <c r="F25" i="46"/>
  <c r="F24" i="46"/>
  <c r="F22" i="46"/>
  <c r="F21" i="46"/>
  <c r="F20" i="46"/>
  <c r="F18" i="46"/>
  <c r="F16" i="46"/>
  <c r="D18" i="46"/>
  <c r="F15" i="46"/>
  <c r="L12" i="46"/>
  <c r="X16" i="46"/>
  <c r="X20" i="46"/>
  <c r="X15" i="47"/>
  <c r="N25" i="47"/>
  <c r="N29" i="47"/>
  <c r="N33" i="47"/>
  <c r="N34" i="47"/>
  <c r="X20" i="49"/>
  <c r="N20" i="50"/>
  <c r="L34" i="50"/>
  <c r="Z13" i="43"/>
  <c r="Z16" i="43"/>
  <c r="Z20" i="43"/>
  <c r="X22" i="43"/>
  <c r="X24" i="43"/>
  <c r="J20" i="44"/>
  <c r="J18" i="44"/>
  <c r="J16" i="44"/>
  <c r="J36" i="44"/>
  <c r="J34" i="44"/>
  <c r="J33" i="44"/>
  <c r="J31" i="44"/>
  <c r="J29" i="44"/>
  <c r="J27" i="44"/>
  <c r="J25" i="44"/>
  <c r="J24" i="44"/>
  <c r="J22" i="44"/>
  <c r="N12" i="44"/>
  <c r="H18" i="44"/>
  <c r="J15" i="44"/>
  <c r="J21" i="44"/>
  <c r="X13" i="44"/>
  <c r="Z15" i="44"/>
  <c r="X21" i="44"/>
  <c r="J21" i="46"/>
  <c r="J20" i="46"/>
  <c r="J18" i="46"/>
  <c r="J16" i="46"/>
  <c r="H18" i="46"/>
  <c r="J15" i="46"/>
  <c r="N12" i="46"/>
  <c r="J36" i="46"/>
  <c r="J34" i="46"/>
  <c r="J33" i="46"/>
  <c r="J31" i="46"/>
  <c r="J29" i="46"/>
  <c r="J27" i="46"/>
  <c r="J25" i="46"/>
  <c r="J24" i="46"/>
  <c r="J22" i="46"/>
  <c r="X13" i="46"/>
  <c r="Z15" i="46"/>
  <c r="X21" i="46"/>
  <c r="F24" i="47"/>
  <c r="F22" i="47"/>
  <c r="F21" i="47"/>
  <c r="F20" i="47"/>
  <c r="F18" i="47"/>
  <c r="F16" i="47"/>
  <c r="D18" i="47"/>
  <c r="F15" i="47"/>
  <c r="L12" i="47"/>
  <c r="F27" i="47"/>
  <c r="F25" i="47"/>
  <c r="F36" i="47"/>
  <c r="F34" i="47"/>
  <c r="F33" i="47"/>
  <c r="F31" i="47"/>
  <c r="F29" i="47"/>
  <c r="X16" i="47"/>
  <c r="X20" i="47"/>
  <c r="X13" i="49"/>
  <c r="N24" i="49"/>
  <c r="Z34" i="49"/>
  <c r="L22" i="50"/>
  <c r="Z24" i="50"/>
  <c r="Z13" i="46"/>
  <c r="Z16" i="46"/>
  <c r="Z20" i="46"/>
  <c r="X22" i="46"/>
  <c r="X24" i="46"/>
  <c r="J20" i="47"/>
  <c r="J18" i="47"/>
  <c r="J16" i="47"/>
  <c r="H18" i="47"/>
  <c r="J15" i="47"/>
  <c r="N12" i="47"/>
  <c r="J36" i="47"/>
  <c r="J34" i="47"/>
  <c r="J33" i="47"/>
  <c r="J31" i="47"/>
  <c r="J29" i="47"/>
  <c r="J27" i="47"/>
  <c r="J25" i="47"/>
  <c r="J24" i="47"/>
  <c r="J22" i="47"/>
  <c r="J21" i="47"/>
  <c r="X13" i="47"/>
  <c r="Z15" i="47"/>
  <c r="X21" i="47"/>
  <c r="Z13" i="49"/>
  <c r="L16" i="49"/>
  <c r="Z20" i="49"/>
  <c r="D18" i="50"/>
  <c r="F20" i="50"/>
  <c r="L12" i="50"/>
  <c r="F36" i="50"/>
  <c r="F25" i="50"/>
  <c r="F27" i="50"/>
  <c r="F24" i="50"/>
  <c r="F33" i="50"/>
  <c r="F21" i="50"/>
  <c r="F29" i="50"/>
  <c r="F18" i="50"/>
  <c r="F15" i="50"/>
  <c r="F22" i="50"/>
  <c r="F34" i="50"/>
  <c r="F31" i="50"/>
  <c r="F16" i="50"/>
  <c r="L15" i="50"/>
  <c r="Z16" i="50"/>
  <c r="N34" i="50"/>
  <c r="X29" i="44"/>
  <c r="X33" i="44"/>
  <c r="X34" i="44"/>
  <c r="Z21" i="46"/>
  <c r="X25" i="46"/>
  <c r="X29" i="46"/>
  <c r="X33" i="46"/>
  <c r="X34" i="46"/>
  <c r="Z13" i="47"/>
  <c r="Z16" i="47"/>
  <c r="Z20" i="47"/>
  <c r="X22" i="47"/>
  <c r="X24" i="47"/>
  <c r="F36" i="49"/>
  <c r="F24" i="49"/>
  <c r="F22" i="49"/>
  <c r="F21" i="49"/>
  <c r="F33" i="49"/>
  <c r="F25" i="49"/>
  <c r="F20" i="49"/>
  <c r="F34" i="49"/>
  <c r="F27" i="49"/>
  <c r="F15" i="49"/>
  <c r="L12" i="49"/>
  <c r="F29" i="49"/>
  <c r="F16" i="49"/>
  <c r="F31" i="49"/>
  <c r="F18" i="49"/>
  <c r="D18" i="49"/>
  <c r="J36" i="50"/>
  <c r="J34" i="50"/>
  <c r="J33" i="50"/>
  <c r="J31" i="50"/>
  <c r="J29" i="50"/>
  <c r="J27" i="50"/>
  <c r="J25" i="50"/>
  <c r="J22" i="50"/>
  <c r="J16" i="50"/>
  <c r="J15" i="50"/>
  <c r="J24" i="50"/>
  <c r="J21" i="50"/>
  <c r="J18" i="50"/>
  <c r="H18" i="50"/>
  <c r="N12" i="50"/>
  <c r="J20" i="50"/>
  <c r="N22" i="50"/>
  <c r="X12" i="46"/>
  <c r="R36" i="46"/>
  <c r="R34" i="46"/>
  <c r="R33" i="46"/>
  <c r="R31" i="46"/>
  <c r="R29" i="46"/>
  <c r="R27" i="46"/>
  <c r="R25" i="46"/>
  <c r="R24" i="46"/>
  <c r="R22" i="46"/>
  <c r="R21" i="46"/>
  <c r="R20" i="46"/>
  <c r="R18" i="46"/>
  <c r="R16" i="46"/>
  <c r="P18" i="46"/>
  <c r="R15" i="46"/>
  <c r="Z22" i="46"/>
  <c r="Z24" i="46"/>
  <c r="Z21" i="47"/>
  <c r="X25" i="47"/>
  <c r="X29" i="47"/>
  <c r="X33" i="47"/>
  <c r="X34" i="47"/>
  <c r="N12" i="49"/>
  <c r="J20" i="49"/>
  <c r="J18" i="49"/>
  <c r="J16" i="49"/>
  <c r="H18" i="49"/>
  <c r="J15" i="49"/>
  <c r="J34" i="49"/>
  <c r="J27" i="49"/>
  <c r="J21" i="49"/>
  <c r="J29" i="49"/>
  <c r="J36" i="49"/>
  <c r="J22" i="49"/>
  <c r="J31" i="49"/>
  <c r="J24" i="49"/>
  <c r="J33" i="49"/>
  <c r="J25" i="49"/>
  <c r="L15" i="49"/>
  <c r="N22" i="49"/>
  <c r="Z25" i="49"/>
  <c r="Z33" i="49"/>
  <c r="N25" i="50"/>
  <c r="X34" i="50"/>
  <c r="L16" i="43"/>
  <c r="L20" i="43"/>
  <c r="Z12" i="44"/>
  <c r="V36" i="44"/>
  <c r="V34" i="44"/>
  <c r="V33" i="44"/>
  <c r="V31" i="44"/>
  <c r="V29" i="44"/>
  <c r="V27" i="44"/>
  <c r="V25" i="44"/>
  <c r="V24" i="44"/>
  <c r="V22" i="44"/>
  <c r="V16" i="44"/>
  <c r="V20" i="44"/>
  <c r="V18" i="44"/>
  <c r="V21" i="44"/>
  <c r="T18" i="44"/>
  <c r="V15" i="44"/>
  <c r="L15" i="44"/>
  <c r="Z25" i="44"/>
  <c r="Z29" i="44"/>
  <c r="Z33" i="44"/>
  <c r="Z34" i="44"/>
  <c r="Z12" i="46"/>
  <c r="V36" i="46"/>
  <c r="V34" i="46"/>
  <c r="V33" i="46"/>
  <c r="V31" i="46"/>
  <c r="V29" i="46"/>
  <c r="V27" i="46"/>
  <c r="V25" i="46"/>
  <c r="V24" i="46"/>
  <c r="V22" i="46"/>
  <c r="V21" i="46"/>
  <c r="V20" i="46"/>
  <c r="V18" i="46"/>
  <c r="V16" i="46"/>
  <c r="T18" i="46"/>
  <c r="V15" i="46"/>
  <c r="L15" i="46"/>
  <c r="Z25" i="46"/>
  <c r="Z29" i="46"/>
  <c r="Z33" i="46"/>
  <c r="Z34" i="46"/>
  <c r="X12" i="47"/>
  <c r="R36" i="47"/>
  <c r="R34" i="47"/>
  <c r="R33" i="47"/>
  <c r="R31" i="47"/>
  <c r="R29" i="47"/>
  <c r="R27" i="47"/>
  <c r="R25" i="47"/>
  <c r="R24" i="47"/>
  <c r="R22" i="47"/>
  <c r="R21" i="47"/>
  <c r="R20" i="47"/>
  <c r="R18" i="47"/>
  <c r="R16" i="47"/>
  <c r="P18" i="47"/>
  <c r="R15" i="47"/>
  <c r="Z22" i="47"/>
  <c r="Z24" i="47"/>
  <c r="X24" i="49"/>
  <c r="N29" i="49"/>
  <c r="P18" i="50"/>
  <c r="R36" i="50"/>
  <c r="R25" i="50"/>
  <c r="R18" i="50"/>
  <c r="R31" i="50"/>
  <c r="R20" i="50"/>
  <c r="R29" i="50"/>
  <c r="X12" i="50"/>
  <c r="R22" i="50"/>
  <c r="R15" i="50"/>
  <c r="R34" i="50"/>
  <c r="R27" i="50"/>
  <c r="R16" i="50"/>
  <c r="R24" i="50"/>
  <c r="R21" i="50"/>
  <c r="R33" i="50"/>
  <c r="X15" i="50"/>
  <c r="X22" i="50"/>
  <c r="L29" i="50"/>
  <c r="L16" i="44"/>
  <c r="L20" i="44"/>
  <c r="L16" i="46"/>
  <c r="L20" i="46"/>
  <c r="Z12" i="47"/>
  <c r="V36" i="47"/>
  <c r="V34" i="47"/>
  <c r="V33" i="47"/>
  <c r="V31" i="47"/>
  <c r="V29" i="47"/>
  <c r="V27" i="47"/>
  <c r="V25" i="47"/>
  <c r="V24" i="47"/>
  <c r="V22" i="47"/>
  <c r="V21" i="47"/>
  <c r="V20" i="47"/>
  <c r="V18" i="47"/>
  <c r="V16" i="47"/>
  <c r="T18" i="47"/>
  <c r="V15" i="47"/>
  <c r="L15" i="47"/>
  <c r="Z25" i="47"/>
  <c r="Z29" i="47"/>
  <c r="Z33" i="47"/>
  <c r="Z34" i="47"/>
  <c r="R24" i="49"/>
  <c r="R22" i="49"/>
  <c r="R29" i="49"/>
  <c r="R15" i="49"/>
  <c r="R36" i="49"/>
  <c r="X12" i="49"/>
  <c r="R16" i="49"/>
  <c r="R31" i="49"/>
  <c r="R18" i="49"/>
  <c r="R33" i="49"/>
  <c r="R25" i="49"/>
  <c r="P18" i="49"/>
  <c r="R20" i="49"/>
  <c r="R34" i="49"/>
  <c r="R27" i="49"/>
  <c r="R21" i="49"/>
  <c r="N15" i="49"/>
  <c r="X16" i="49"/>
  <c r="L21" i="49"/>
  <c r="Z24" i="49"/>
  <c r="V36" i="50"/>
  <c r="V34" i="50"/>
  <c r="V33" i="50"/>
  <c r="V31" i="50"/>
  <c r="V29" i="50"/>
  <c r="V27" i="50"/>
  <c r="V25" i="50"/>
  <c r="V15" i="50"/>
  <c r="V20" i="50"/>
  <c r="V21" i="50"/>
  <c r="V22" i="50"/>
  <c r="Z12" i="50"/>
  <c r="V18" i="50"/>
  <c r="T18" i="50"/>
  <c r="V16" i="50"/>
  <c r="V24" i="50"/>
  <c r="L21" i="50"/>
  <c r="L33" i="50"/>
  <c r="Z34" i="50"/>
  <c r="N16" i="43"/>
  <c r="N20" i="43"/>
  <c r="L22" i="43"/>
  <c r="L24" i="43"/>
  <c r="N15" i="44"/>
  <c r="L21" i="44"/>
  <c r="N15" i="46"/>
  <c r="L21" i="46"/>
  <c r="L16" i="47"/>
  <c r="L20" i="47"/>
  <c r="V20" i="49"/>
  <c r="V18" i="49"/>
  <c r="V16" i="49"/>
  <c r="V36" i="49"/>
  <c r="V22" i="49"/>
  <c r="Z12" i="49"/>
  <c r="V31" i="49"/>
  <c r="V24" i="49"/>
  <c r="V33" i="49"/>
  <c r="V25" i="49"/>
  <c r="T18" i="49"/>
  <c r="V34" i="49"/>
  <c r="V27" i="49"/>
  <c r="V21" i="49"/>
  <c r="V15" i="49"/>
  <c r="V29" i="49"/>
  <c r="Z15" i="50"/>
  <c r="Z22" i="50"/>
  <c r="X25" i="50"/>
  <c r="N29" i="50"/>
  <c r="N20" i="44"/>
  <c r="L22" i="44"/>
  <c r="L24" i="44"/>
  <c r="N16" i="46"/>
  <c r="N20" i="46"/>
  <c r="L22" i="46"/>
  <c r="L24" i="46"/>
  <c r="N15" i="47"/>
  <c r="L21" i="47"/>
  <c r="X15" i="49"/>
  <c r="Z16" i="49"/>
  <c r="L20" i="49"/>
  <c r="X22" i="49"/>
  <c r="N34" i="49"/>
  <c r="N13" i="50"/>
  <c r="Z25" i="50"/>
  <c r="L13" i="44"/>
  <c r="N21" i="44"/>
  <c r="L25" i="44"/>
  <c r="L29" i="44"/>
  <c r="L33" i="44"/>
  <c r="L34" i="44"/>
  <c r="L13" i="46"/>
  <c r="N21" i="46"/>
  <c r="L25" i="46"/>
  <c r="L29" i="46"/>
  <c r="L33" i="46"/>
  <c r="L34" i="46"/>
  <c r="N16" i="47"/>
  <c r="N20" i="47"/>
  <c r="L22" i="47"/>
  <c r="L24" i="47"/>
  <c r="Z22" i="49"/>
  <c r="N24" i="50"/>
  <c r="Z29" i="50"/>
  <c r="N13" i="46"/>
  <c r="N22" i="46"/>
  <c r="N24" i="46"/>
  <c r="L13" i="47"/>
  <c r="N21" i="47"/>
  <c r="L25" i="47"/>
  <c r="L29" i="47"/>
  <c r="L33" i="47"/>
  <c r="L34" i="47"/>
  <c r="N13" i="49"/>
  <c r="Z15" i="49"/>
  <c r="X21" i="49"/>
  <c r="Z29" i="49"/>
  <c r="X21" i="50"/>
  <c r="X33" i="50"/>
  <c r="N16" i="49"/>
  <c r="N20" i="49"/>
  <c r="L22" i="49"/>
  <c r="L24" i="49"/>
  <c r="N15" i="50"/>
  <c r="N16" i="50"/>
  <c r="Z21" i="50"/>
  <c r="Z33" i="50"/>
  <c r="L21" i="52"/>
  <c r="Z22" i="52"/>
  <c r="Z34" i="53"/>
  <c r="L13" i="49"/>
  <c r="N21" i="49"/>
  <c r="L25" i="49"/>
  <c r="L29" i="49"/>
  <c r="L33" i="49"/>
  <c r="L34" i="49"/>
  <c r="Z20" i="50"/>
  <c r="L25" i="50"/>
  <c r="N15" i="53"/>
  <c r="L13" i="50"/>
  <c r="L24" i="50"/>
  <c r="X29" i="50"/>
  <c r="L16" i="52"/>
  <c r="J36" i="53"/>
  <c r="J34" i="53"/>
  <c r="J33" i="53"/>
  <c r="J31" i="53"/>
  <c r="J29" i="53"/>
  <c r="J27" i="53"/>
  <c r="J25" i="53"/>
  <c r="J21" i="53"/>
  <c r="H18" i="53"/>
  <c r="J15" i="53"/>
  <c r="J20" i="53"/>
  <c r="J24" i="53"/>
  <c r="J16" i="53"/>
  <c r="J18" i="53"/>
  <c r="N12" i="53"/>
  <c r="J22" i="53"/>
  <c r="N13" i="52"/>
  <c r="L24" i="52"/>
  <c r="X15" i="53"/>
  <c r="L25" i="53"/>
  <c r="N16" i="52"/>
  <c r="L20" i="52"/>
  <c r="N24" i="52"/>
  <c r="T18" i="53"/>
  <c r="V15" i="53"/>
  <c r="V36" i="53"/>
  <c r="V21" i="53"/>
  <c r="V29" i="53"/>
  <c r="V33" i="53"/>
  <c r="V25" i="53"/>
  <c r="V18" i="53"/>
  <c r="Z12" i="53"/>
  <c r="V22" i="53"/>
  <c r="V31" i="53"/>
  <c r="V27" i="53"/>
  <c r="V20" i="53"/>
  <c r="V34" i="53"/>
  <c r="V24" i="53"/>
  <c r="V16" i="53"/>
  <c r="Z15" i="53"/>
  <c r="N25" i="53"/>
  <c r="Z13" i="52"/>
  <c r="L21" i="53"/>
  <c r="N29" i="53"/>
  <c r="N33" i="53"/>
  <c r="X16" i="52"/>
  <c r="N20" i="52"/>
  <c r="X24" i="52"/>
  <c r="N21" i="53"/>
  <c r="X25" i="53"/>
  <c r="X33" i="53"/>
  <c r="Z21" i="49"/>
  <c r="X25" i="49"/>
  <c r="X29" i="49"/>
  <c r="X33" i="49"/>
  <c r="X34" i="49"/>
  <c r="Z13" i="50"/>
  <c r="N21" i="50"/>
  <c r="X24" i="50"/>
  <c r="N33" i="50"/>
  <c r="Z16" i="52"/>
  <c r="Z24" i="52"/>
  <c r="L13" i="53"/>
  <c r="L16" i="53"/>
  <c r="Z25" i="53"/>
  <c r="X29" i="53"/>
  <c r="Z33" i="53"/>
  <c r="F24" i="52"/>
  <c r="F22" i="52"/>
  <c r="F25" i="52"/>
  <c r="F34" i="52"/>
  <c r="F18" i="52"/>
  <c r="D18" i="52"/>
  <c r="L12" i="52"/>
  <c r="F31" i="52"/>
  <c r="F15" i="52"/>
  <c r="F27" i="52"/>
  <c r="F36" i="52"/>
  <c r="F20" i="52"/>
  <c r="F33" i="52"/>
  <c r="F16" i="52"/>
  <c r="F29" i="52"/>
  <c r="F21" i="52"/>
  <c r="N15" i="52"/>
  <c r="X20" i="52"/>
  <c r="L22" i="52"/>
  <c r="X21" i="53"/>
  <c r="Z29" i="53"/>
  <c r="Z20" i="52"/>
  <c r="N22" i="52"/>
  <c r="X13" i="53"/>
  <c r="L20" i="53"/>
  <c r="Z21" i="53"/>
  <c r="N34" i="53"/>
  <c r="R24" i="52"/>
  <c r="R22" i="52"/>
  <c r="R20" i="52"/>
  <c r="R18" i="52"/>
  <c r="R16" i="52"/>
  <c r="R31" i="52"/>
  <c r="R15" i="52"/>
  <c r="R27" i="52"/>
  <c r="R36" i="52"/>
  <c r="R33" i="52"/>
  <c r="R29" i="52"/>
  <c r="R21" i="52"/>
  <c r="R25" i="52"/>
  <c r="R34" i="52"/>
  <c r="P18" i="52"/>
  <c r="X12" i="52"/>
  <c r="X22" i="52"/>
  <c r="L15" i="53"/>
  <c r="X34" i="53"/>
  <c r="L16" i="50"/>
  <c r="L20" i="50"/>
  <c r="V20" i="52"/>
  <c r="V18" i="52"/>
  <c r="V16" i="52"/>
  <c r="V24" i="52"/>
  <c r="V22" i="52"/>
  <c r="V27" i="52"/>
  <c r="V36" i="52"/>
  <c r="V33" i="52"/>
  <c r="V29" i="52"/>
  <c r="V21" i="52"/>
  <c r="V25" i="52"/>
  <c r="V34" i="52"/>
  <c r="T18" i="52"/>
  <c r="Z12" i="52"/>
  <c r="V31" i="52"/>
  <c r="V15" i="52"/>
  <c r="L15" i="52"/>
  <c r="Z25" i="52"/>
  <c r="Z29" i="52"/>
  <c r="Z33" i="52"/>
  <c r="Z34" i="52"/>
  <c r="R21" i="53"/>
  <c r="P18" i="53"/>
  <c r="R15" i="53"/>
  <c r="R36" i="53"/>
  <c r="R34" i="53"/>
  <c r="R33" i="53"/>
  <c r="R31" i="53"/>
  <c r="R29" i="53"/>
  <c r="R27" i="53"/>
  <c r="R25" i="53"/>
  <c r="R24" i="53"/>
  <c r="R16" i="53"/>
  <c r="R18" i="53"/>
  <c r="X12" i="53"/>
  <c r="R22" i="53"/>
  <c r="R20" i="53"/>
  <c r="Z22" i="53"/>
  <c r="Z24" i="53"/>
  <c r="L13" i="52"/>
  <c r="N21" i="52"/>
  <c r="L25" i="52"/>
  <c r="L29" i="52"/>
  <c r="L33" i="52"/>
  <c r="L34" i="52"/>
  <c r="N16" i="53"/>
  <c r="N20" i="53"/>
  <c r="L22" i="53"/>
  <c r="L24" i="53"/>
  <c r="L29" i="53"/>
  <c r="L33" i="53"/>
  <c r="L34" i="53"/>
  <c r="X16" i="50"/>
  <c r="X20" i="50"/>
  <c r="X15" i="52"/>
  <c r="N25" i="52"/>
  <c r="N29" i="52"/>
  <c r="N33" i="52"/>
  <c r="N34" i="52"/>
  <c r="N13" i="53"/>
  <c r="N22" i="53"/>
  <c r="N24" i="53"/>
  <c r="J24" i="52"/>
  <c r="J22" i="52"/>
  <c r="J20" i="52"/>
  <c r="J18" i="52"/>
  <c r="J16" i="52"/>
  <c r="J34" i="52"/>
  <c r="H18" i="52"/>
  <c r="N12" i="52"/>
  <c r="J31" i="52"/>
  <c r="J15" i="52"/>
  <c r="J27" i="52"/>
  <c r="J36" i="52"/>
  <c r="J33" i="52"/>
  <c r="J29" i="52"/>
  <c r="J21" i="52"/>
  <c r="J25" i="52"/>
  <c r="X13" i="52"/>
  <c r="Z15" i="52"/>
  <c r="X21" i="52"/>
  <c r="L12" i="53"/>
  <c r="F36" i="53"/>
  <c r="F34" i="53"/>
  <c r="F33" i="53"/>
  <c r="F31" i="53"/>
  <c r="F29" i="53"/>
  <c r="F27" i="53"/>
  <c r="F25" i="53"/>
  <c r="F21" i="53"/>
  <c r="F20" i="53"/>
  <c r="F24" i="53"/>
  <c r="F16" i="53"/>
  <c r="F18" i="53"/>
  <c r="D18" i="53"/>
  <c r="F22" i="53"/>
  <c r="F15" i="53"/>
  <c r="X16" i="53"/>
  <c r="X20" i="53"/>
  <c r="Z21" i="52"/>
  <c r="X25" i="52"/>
  <c r="X29" i="52"/>
  <c r="X33" i="52"/>
  <c r="X34" i="52"/>
  <c r="Z13" i="53"/>
  <c r="Z16" i="53"/>
  <c r="Z20" i="53"/>
  <c r="X22" i="53"/>
  <c r="X24" i="53"/>
  <c r="Z34" i="112"/>
  <c r="Z15" i="112"/>
  <c r="Z21" i="111"/>
  <c r="X25" i="111"/>
  <c r="N33" i="113"/>
  <c r="Z29" i="112"/>
  <c r="X33" i="113"/>
  <c r="T18" i="111"/>
  <c r="V15" i="111"/>
  <c r="V36" i="111"/>
  <c r="V34" i="111"/>
  <c r="V33" i="111"/>
  <c r="V31" i="111"/>
  <c r="V29" i="111"/>
  <c r="V27" i="111"/>
  <c r="V25" i="111"/>
  <c r="V21" i="111"/>
  <c r="V24" i="111"/>
  <c r="V20" i="111"/>
  <c r="V22" i="111"/>
  <c r="V18" i="111"/>
  <c r="V16" i="111"/>
  <c r="Z12" i="111"/>
  <c r="Z25" i="111"/>
  <c r="X29" i="112"/>
  <c r="X34" i="112"/>
  <c r="X13" i="113"/>
  <c r="L22" i="111"/>
  <c r="L16" i="112"/>
  <c r="Z22" i="113"/>
  <c r="X33" i="111"/>
  <c r="J36" i="112"/>
  <c r="J34" i="112"/>
  <c r="J33" i="112"/>
  <c r="J31" i="112"/>
  <c r="J29" i="112"/>
  <c r="J27" i="112"/>
  <c r="J25" i="112"/>
  <c r="J24" i="112"/>
  <c r="J22" i="112"/>
  <c r="J21" i="112"/>
  <c r="J20" i="112"/>
  <c r="J18" i="112"/>
  <c r="J16" i="112"/>
  <c r="H18" i="112"/>
  <c r="J15" i="112"/>
  <c r="N12" i="112"/>
  <c r="X21" i="112"/>
  <c r="X15" i="113"/>
  <c r="N29" i="113"/>
  <c r="N34" i="113"/>
  <c r="L15" i="111"/>
  <c r="Z33" i="111"/>
  <c r="Z21" i="112"/>
  <c r="X25" i="112"/>
  <c r="Z15" i="113"/>
  <c r="N15" i="111"/>
  <c r="Z12" i="112"/>
  <c r="V21" i="112"/>
  <c r="T18" i="112"/>
  <c r="V15" i="112"/>
  <c r="V33" i="112"/>
  <c r="V27" i="112"/>
  <c r="V22" i="112"/>
  <c r="V18" i="112"/>
  <c r="V36" i="112"/>
  <c r="V31" i="112"/>
  <c r="V25" i="112"/>
  <c r="V16" i="112"/>
  <c r="V34" i="112"/>
  <c r="V29" i="112"/>
  <c r="V20" i="112"/>
  <c r="V24" i="112"/>
  <c r="Z25" i="112"/>
  <c r="X29" i="113"/>
  <c r="X34" i="113"/>
  <c r="N20" i="111"/>
  <c r="L24" i="111"/>
  <c r="Z24" i="113"/>
  <c r="X29" i="111"/>
  <c r="X34" i="111"/>
  <c r="X13" i="112"/>
  <c r="N25" i="113"/>
  <c r="Z29" i="111"/>
  <c r="Z34" i="111"/>
  <c r="X33" i="112"/>
  <c r="J21" i="113"/>
  <c r="J20" i="113"/>
  <c r="J18" i="113"/>
  <c r="J16" i="113"/>
  <c r="H18" i="113"/>
  <c r="J15" i="113"/>
  <c r="J36" i="113"/>
  <c r="J34" i="113"/>
  <c r="J33" i="113"/>
  <c r="J31" i="113"/>
  <c r="J29" i="113"/>
  <c r="J27" i="113"/>
  <c r="J25" i="113"/>
  <c r="N12" i="113"/>
  <c r="J24" i="113"/>
  <c r="J22" i="113"/>
  <c r="X21" i="113"/>
  <c r="L21" i="111"/>
  <c r="L15" i="112"/>
  <c r="Z33" i="112"/>
  <c r="Z21" i="113"/>
  <c r="X25" i="113"/>
  <c r="N16" i="111"/>
  <c r="L20" i="112"/>
  <c r="X12" i="113"/>
  <c r="R21" i="113"/>
  <c r="P18" i="113"/>
  <c r="R15" i="113"/>
  <c r="R36" i="113"/>
  <c r="R31" i="113"/>
  <c r="R25" i="113"/>
  <c r="R16" i="113"/>
  <c r="R34" i="113"/>
  <c r="R29" i="113"/>
  <c r="R24" i="113"/>
  <c r="R20" i="113"/>
  <c r="R33" i="113"/>
  <c r="R27" i="113"/>
  <c r="R18" i="113"/>
  <c r="R22" i="113"/>
  <c r="R21" i="111"/>
  <c r="R20" i="111"/>
  <c r="R18" i="111"/>
  <c r="R16" i="111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Z22" i="111"/>
  <c r="Z24" i="111"/>
  <c r="Z13" i="112"/>
  <c r="Z16" i="112"/>
  <c r="Z20" i="112"/>
  <c r="X22" i="112"/>
  <c r="X24" i="112"/>
  <c r="F36" i="113"/>
  <c r="F34" i="113"/>
  <c r="F33" i="113"/>
  <c r="F31" i="113"/>
  <c r="F29" i="113"/>
  <c r="F27" i="113"/>
  <c r="F25" i="113"/>
  <c r="F24" i="113"/>
  <c r="F22" i="113"/>
  <c r="F21" i="113"/>
  <c r="F20" i="113"/>
  <c r="F18" i="113"/>
  <c r="F16" i="113"/>
  <c r="D18" i="113"/>
  <c r="F15" i="113"/>
  <c r="L12" i="113"/>
  <c r="X16" i="113"/>
  <c r="X20" i="113"/>
  <c r="L16" i="111"/>
  <c r="L20" i="111"/>
  <c r="P18" i="112"/>
  <c r="R15" i="112"/>
  <c r="R36" i="112"/>
  <c r="R34" i="112"/>
  <c r="R33" i="112"/>
  <c r="R31" i="112"/>
  <c r="R29" i="112"/>
  <c r="R27" i="112"/>
  <c r="R25" i="112"/>
  <c r="R21" i="112"/>
  <c r="R22" i="112"/>
  <c r="R18" i="112"/>
  <c r="X12" i="112"/>
  <c r="R16" i="112"/>
  <c r="R24" i="112"/>
  <c r="R20" i="112"/>
  <c r="Z22" i="112"/>
  <c r="Z24" i="112"/>
  <c r="Z13" i="113"/>
  <c r="Z16" i="113"/>
  <c r="Z20" i="113"/>
  <c r="X22" i="113"/>
  <c r="X24" i="113"/>
  <c r="L13" i="111"/>
  <c r="N21" i="111"/>
  <c r="L25" i="111"/>
  <c r="L29" i="111"/>
  <c r="L33" i="111"/>
  <c r="L34" i="111"/>
  <c r="N15" i="112"/>
  <c r="L21" i="112"/>
  <c r="Z12" i="113"/>
  <c r="V36" i="113"/>
  <c r="V34" i="113"/>
  <c r="V33" i="113"/>
  <c r="V31" i="113"/>
  <c r="V29" i="113"/>
  <c r="V27" i="113"/>
  <c r="V25" i="113"/>
  <c r="V24" i="113"/>
  <c r="V22" i="113"/>
  <c r="T18" i="113"/>
  <c r="V15" i="113"/>
  <c r="V21" i="113"/>
  <c r="V16" i="113"/>
  <c r="V20" i="113"/>
  <c r="V18" i="113"/>
  <c r="L15" i="113"/>
  <c r="Z25" i="113"/>
  <c r="Z29" i="113"/>
  <c r="Z33" i="113"/>
  <c r="Z34" i="113"/>
  <c r="N13" i="111"/>
  <c r="N22" i="111"/>
  <c r="N24" i="111"/>
  <c r="N16" i="112"/>
  <c r="N20" i="112"/>
  <c r="L22" i="112"/>
  <c r="L24" i="112"/>
  <c r="L16" i="113"/>
  <c r="L20" i="113"/>
  <c r="X15" i="111"/>
  <c r="N25" i="111"/>
  <c r="N29" i="111"/>
  <c r="N33" i="111"/>
  <c r="N34" i="111"/>
  <c r="L13" i="112"/>
  <c r="N21" i="112"/>
  <c r="L25" i="112"/>
  <c r="L29" i="112"/>
  <c r="L33" i="112"/>
  <c r="L34" i="112"/>
  <c r="N15" i="113"/>
  <c r="L21" i="113"/>
  <c r="L12" i="111"/>
  <c r="F36" i="111"/>
  <c r="F34" i="111"/>
  <c r="F33" i="111"/>
  <c r="F31" i="111"/>
  <c r="F29" i="111"/>
  <c r="F27" i="111"/>
  <c r="F25" i="111"/>
  <c r="F24" i="111"/>
  <c r="F22" i="111"/>
  <c r="D18" i="111"/>
  <c r="F15" i="111"/>
  <c r="F21" i="111"/>
  <c r="F16" i="111"/>
  <c r="F20" i="111"/>
  <c r="F18" i="111"/>
  <c r="X16" i="111"/>
  <c r="X20" i="111"/>
  <c r="N13" i="112"/>
  <c r="N22" i="112"/>
  <c r="N24" i="112"/>
  <c r="N16" i="113"/>
  <c r="N20" i="113"/>
  <c r="L22" i="113"/>
  <c r="L24" i="113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J15" i="111"/>
  <c r="H18" i="111"/>
  <c r="N12" i="111"/>
  <c r="X13" i="111"/>
  <c r="Z15" i="111"/>
  <c r="X21" i="111"/>
  <c r="X15" i="112"/>
  <c r="N25" i="112"/>
  <c r="N29" i="112"/>
  <c r="N33" i="112"/>
  <c r="N34" i="112"/>
  <c r="L13" i="113"/>
  <c r="N21" i="113"/>
  <c r="L25" i="113"/>
  <c r="L29" i="113"/>
  <c r="L33" i="113"/>
  <c r="L34" i="113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L12" i="112"/>
  <c r="F15" i="112"/>
  <c r="D18" i="112"/>
  <c r="X16" i="112"/>
  <c r="X20" i="112"/>
  <c r="N13" i="113"/>
  <c r="N22" i="113"/>
  <c r="N24" i="113"/>
  <c r="P12" i="3"/>
  <c r="Z21" i="3"/>
  <c r="N62" i="3"/>
  <c r="N77" i="3"/>
  <c r="Z81" i="3"/>
  <c r="L86" i="3"/>
  <c r="N86" i="3" s="1"/>
  <c r="N114" i="3"/>
  <c r="F205" i="3"/>
  <c r="N223" i="3"/>
  <c r="Z244" i="3"/>
  <c r="Z241" i="3"/>
  <c r="L30" i="3"/>
  <c r="N30" i="3" s="1"/>
  <c r="N60" i="3"/>
  <c r="F200" i="3"/>
  <c r="F221" i="3"/>
  <c r="L26" i="3"/>
  <c r="N26" i="3" s="1"/>
  <c r="Z49" i="3"/>
  <c r="Z77" i="3"/>
  <c r="N110" i="3"/>
  <c r="Z223" i="3"/>
  <c r="N22" i="3"/>
  <c r="L22" i="3"/>
  <c r="Z45" i="3"/>
  <c r="N82" i="3"/>
  <c r="Z101" i="3"/>
  <c r="N287" i="3"/>
  <c r="V301" i="3"/>
  <c r="V271" i="3"/>
  <c r="V259" i="3"/>
  <c r="V251" i="3"/>
  <c r="V231" i="3"/>
  <c r="V207" i="3"/>
  <c r="V203" i="3"/>
  <c r="T197" i="3"/>
  <c r="V197" i="3" s="1"/>
  <c r="V315" i="3"/>
  <c r="V302" i="3"/>
  <c r="V300" i="3"/>
  <c r="V282" i="3"/>
  <c r="V266" i="3"/>
  <c r="V254" i="3"/>
  <c r="V242" i="3"/>
  <c r="V234" i="3"/>
  <c r="V226" i="3"/>
  <c r="V218" i="3"/>
  <c r="V194" i="3"/>
  <c r="V190" i="3"/>
  <c r="V186" i="3"/>
  <c r="V182" i="3"/>
  <c r="V178" i="3"/>
  <c r="V174" i="3"/>
  <c r="V170" i="3"/>
  <c r="V166" i="3"/>
  <c r="V162" i="3"/>
  <c r="V158" i="3"/>
  <c r="V154" i="3"/>
  <c r="V150" i="3"/>
  <c r="V146" i="3"/>
  <c r="V142" i="3"/>
  <c r="V138" i="3"/>
  <c r="V299" i="3"/>
  <c r="V289" i="3"/>
  <c r="V281" i="3"/>
  <c r="V277" i="3"/>
  <c r="V273" i="3"/>
  <c r="V261" i="3"/>
  <c r="V253" i="3"/>
  <c r="V233" i="3"/>
  <c r="V217" i="3"/>
  <c r="V213" i="3"/>
  <c r="V260" i="3"/>
  <c r="V232" i="3"/>
  <c r="V298" i="3"/>
  <c r="V272" i="3"/>
  <c r="V256" i="3"/>
  <c r="V244" i="3"/>
  <c r="V236" i="3"/>
  <c r="V220" i="3"/>
  <c r="V208" i="3"/>
  <c r="V204" i="3"/>
  <c r="V200" i="3"/>
  <c r="V297" i="3"/>
  <c r="V291" i="3"/>
  <c r="V283" i="3"/>
  <c r="V267" i="3"/>
  <c r="V255" i="3"/>
  <c r="V243" i="3"/>
  <c r="V235" i="3"/>
  <c r="V227" i="3"/>
  <c r="V219" i="3"/>
  <c r="V199" i="3"/>
  <c r="V195" i="3"/>
  <c r="V191" i="3"/>
  <c r="V187" i="3"/>
  <c r="V183" i="3"/>
  <c r="V179" i="3"/>
  <c r="V175" i="3"/>
  <c r="V171" i="3"/>
  <c r="V167" i="3"/>
  <c r="V163" i="3"/>
  <c r="V159" i="3"/>
  <c r="V155" i="3"/>
  <c r="V151" i="3"/>
  <c r="V147" i="3"/>
  <c r="V143" i="3"/>
  <c r="V139" i="3"/>
  <c r="V296" i="3"/>
  <c r="V290" i="3"/>
  <c r="V278" i="3"/>
  <c r="V274" i="3"/>
  <c r="V262" i="3"/>
  <c r="V246" i="3"/>
  <c r="V238" i="3"/>
  <c r="V214" i="3"/>
  <c r="V210" i="3"/>
  <c r="V295" i="3"/>
  <c r="V285" i="3"/>
  <c r="V257" i="3"/>
  <c r="V245" i="3"/>
  <c r="V237" i="3"/>
  <c r="V229" i="3"/>
  <c r="V221" i="3"/>
  <c r="V209" i="3"/>
  <c r="V205" i="3"/>
  <c r="V201" i="3"/>
  <c r="V314" i="3"/>
  <c r="V276" i="3"/>
  <c r="V306" i="3"/>
  <c r="V292" i="3"/>
  <c r="V284" i="3"/>
  <c r="V268" i="3"/>
  <c r="V264" i="3"/>
  <c r="V248" i="3"/>
  <c r="V228" i="3"/>
  <c r="V192" i="3"/>
  <c r="V188" i="3"/>
  <c r="V184" i="3"/>
  <c r="V180" i="3"/>
  <c r="V176" i="3"/>
  <c r="V172" i="3"/>
  <c r="V168" i="3"/>
  <c r="V164" i="3"/>
  <c r="V160" i="3"/>
  <c r="V156" i="3"/>
  <c r="V152" i="3"/>
  <c r="V148" i="3"/>
  <c r="V144" i="3"/>
  <c r="V140" i="3"/>
  <c r="V136" i="3"/>
  <c r="V240" i="3"/>
  <c r="V305" i="3"/>
  <c r="V287" i="3"/>
  <c r="V279" i="3"/>
  <c r="V275" i="3"/>
  <c r="V263" i="3"/>
  <c r="V247" i="3"/>
  <c r="V239" i="3"/>
  <c r="V223" i="3"/>
  <c r="V215" i="3"/>
  <c r="V211" i="3"/>
  <c r="V288" i="3"/>
  <c r="V280" i="3"/>
  <c r="V304" i="3"/>
  <c r="V286" i="3"/>
  <c r="V270" i="3"/>
  <c r="V258" i="3"/>
  <c r="V250" i="3"/>
  <c r="V230" i="3"/>
  <c r="V222" i="3"/>
  <c r="V206" i="3"/>
  <c r="V202" i="3"/>
  <c r="V303" i="3"/>
  <c r="V269" i="3"/>
  <c r="V265" i="3"/>
  <c r="V249" i="3"/>
  <c r="V241" i="3"/>
  <c r="V225" i="3"/>
  <c r="V193" i="3"/>
  <c r="V189" i="3"/>
  <c r="V185" i="3"/>
  <c r="V181" i="3"/>
  <c r="V177" i="3"/>
  <c r="V173" i="3"/>
  <c r="V169" i="3"/>
  <c r="V165" i="3"/>
  <c r="V161" i="3"/>
  <c r="V157" i="3"/>
  <c r="V153" i="3"/>
  <c r="V149" i="3"/>
  <c r="V145" i="3"/>
  <c r="V141" i="3"/>
  <c r="V137" i="3"/>
  <c r="V310" i="3"/>
  <c r="V252" i="3"/>
  <c r="H12" i="3"/>
  <c r="L14" i="3"/>
  <c r="N14" i="3" s="1"/>
  <c r="N18" i="3"/>
  <c r="L18" i="3"/>
  <c r="Z41" i="3"/>
  <c r="L54" i="3"/>
  <c r="N54" i="3" s="1"/>
  <c r="Z73" i="3"/>
  <c r="L78" i="3"/>
  <c r="N93" i="3"/>
  <c r="Z97" i="3"/>
  <c r="N106" i="3"/>
  <c r="N273" i="3"/>
  <c r="N50" i="9"/>
  <c r="N50" i="3"/>
  <c r="L50" i="3"/>
  <c r="N78" i="3"/>
  <c r="F209" i="3"/>
  <c r="Z37" i="3"/>
  <c r="L46" i="3"/>
  <c r="N46" i="3" s="1"/>
  <c r="Z69" i="3"/>
  <c r="L74" i="3"/>
  <c r="N74" i="3" s="1"/>
  <c r="Z93" i="3"/>
  <c r="L98" i="3"/>
  <c r="N98" i="3" s="1"/>
  <c r="N102" i="3"/>
  <c r="V224" i="3"/>
  <c r="Z273" i="3"/>
  <c r="N294" i="3"/>
  <c r="N34" i="3"/>
  <c r="L34" i="3"/>
  <c r="L42" i="3"/>
  <c r="N42" i="3" s="1"/>
  <c r="N117" i="3"/>
  <c r="F201" i="3"/>
  <c r="X16" i="6"/>
  <c r="P22" i="6"/>
  <c r="N60" i="9"/>
  <c r="N199" i="3"/>
  <c r="L199" i="3"/>
  <c r="X294" i="3"/>
  <c r="Z297" i="3"/>
  <c r="T22" i="6"/>
  <c r="Z16" i="6"/>
  <c r="Z56" i="9"/>
  <c r="F297" i="3"/>
  <c r="F292" i="3"/>
  <c r="F291" i="3"/>
  <c r="F284" i="3"/>
  <c r="F268" i="3"/>
  <c r="F228" i="3"/>
  <c r="F199" i="3"/>
  <c r="F197" i="3"/>
  <c r="F192" i="3"/>
  <c r="F188" i="3"/>
  <c r="F184" i="3"/>
  <c r="F180" i="3"/>
  <c r="F176" i="3"/>
  <c r="F172" i="3"/>
  <c r="F168" i="3"/>
  <c r="F164" i="3"/>
  <c r="F160" i="3"/>
  <c r="F156" i="3"/>
  <c r="F152" i="3"/>
  <c r="F148" i="3"/>
  <c r="F144" i="3"/>
  <c r="F140" i="3"/>
  <c r="F296" i="3"/>
  <c r="F279" i="3"/>
  <c r="F275" i="3"/>
  <c r="F263" i="3"/>
  <c r="F247" i="3"/>
  <c r="F246" i="3"/>
  <c r="F239" i="3"/>
  <c r="F238" i="3"/>
  <c r="F215" i="3"/>
  <c r="F211" i="3"/>
  <c r="F210" i="3"/>
  <c r="D197" i="3"/>
  <c r="L12" i="3"/>
  <c r="F257" i="3"/>
  <c r="F245" i="3"/>
  <c r="F237" i="3"/>
  <c r="F295" i="3"/>
  <c r="F286" i="3"/>
  <c r="F285" i="3"/>
  <c r="F258" i="3"/>
  <c r="F230" i="3"/>
  <c r="F229" i="3"/>
  <c r="F222" i="3"/>
  <c r="F206" i="3"/>
  <c r="F202" i="3"/>
  <c r="F306" i="3"/>
  <c r="F294" i="3"/>
  <c r="F269" i="3"/>
  <c r="F265" i="3"/>
  <c r="F264" i="3"/>
  <c r="F249" i="3"/>
  <c r="F248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141" i="3"/>
  <c r="F137" i="3"/>
  <c r="F136" i="3"/>
  <c r="F256" i="3"/>
  <c r="F244" i="3"/>
  <c r="F310" i="3"/>
  <c r="F305" i="3"/>
  <c r="F288" i="3"/>
  <c r="F287" i="3"/>
  <c r="F280" i="3"/>
  <c r="F276" i="3"/>
  <c r="F240" i="3"/>
  <c r="F224" i="3"/>
  <c r="F223" i="3"/>
  <c r="F216" i="3"/>
  <c r="F212" i="3"/>
  <c r="F304" i="3"/>
  <c r="F271" i="3"/>
  <c r="F270" i="3"/>
  <c r="F259" i="3"/>
  <c r="F251" i="3"/>
  <c r="F250" i="3"/>
  <c r="F231" i="3"/>
  <c r="F207" i="3"/>
  <c r="F203" i="3"/>
  <c r="F303" i="3"/>
  <c r="F266" i="3"/>
  <c r="F242" i="3"/>
  <c r="F241" i="3"/>
  <c r="F226" i="3"/>
  <c r="F225" i="3"/>
  <c r="F194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315" i="3"/>
  <c r="F314" i="3"/>
  <c r="F302" i="3"/>
  <c r="F289" i="3"/>
  <c r="F281" i="3"/>
  <c r="F277" i="3"/>
  <c r="F261" i="3"/>
  <c r="F260" i="3"/>
  <c r="F253" i="3"/>
  <c r="F252" i="3"/>
  <c r="F233" i="3"/>
  <c r="F232" i="3"/>
  <c r="F217" i="3"/>
  <c r="F213" i="3"/>
  <c r="F236" i="3"/>
  <c r="F301" i="3"/>
  <c r="F272" i="3"/>
  <c r="F208" i="3"/>
  <c r="F204" i="3"/>
  <c r="F298" i="3"/>
  <c r="F300" i="3"/>
  <c r="F283" i="3"/>
  <c r="F282" i="3"/>
  <c r="F267" i="3"/>
  <c r="F255" i="3"/>
  <c r="F254" i="3"/>
  <c r="F243" i="3"/>
  <c r="F235" i="3"/>
  <c r="F234" i="3"/>
  <c r="F227" i="3"/>
  <c r="F219" i="3"/>
  <c r="F218" i="3"/>
  <c r="F195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139" i="3"/>
  <c r="F299" i="3"/>
  <c r="F290" i="3"/>
  <c r="F278" i="3"/>
  <c r="F274" i="3"/>
  <c r="F273" i="3"/>
  <c r="F262" i="3"/>
  <c r="F214" i="3"/>
  <c r="N38" i="3"/>
  <c r="L38" i="3"/>
  <c r="N57" i="3"/>
  <c r="Z61" i="3"/>
  <c r="N94" i="3"/>
  <c r="N109" i="3"/>
  <c r="Z113" i="3"/>
  <c r="Z117" i="3"/>
  <c r="L126" i="3"/>
  <c r="L130" i="3"/>
  <c r="V212" i="3"/>
  <c r="L66" i="3"/>
  <c r="N66" i="3" s="1"/>
  <c r="L90" i="3"/>
  <c r="N90" i="3" s="1"/>
  <c r="L122" i="3"/>
  <c r="N122" i="3" s="1"/>
  <c r="L134" i="3"/>
  <c r="Z199" i="3"/>
  <c r="F37" i="9"/>
  <c r="R205" i="12"/>
  <c r="N295" i="3"/>
  <c r="Z12" i="6"/>
  <c r="Z14" i="6"/>
  <c r="J26" i="6"/>
  <c r="J28" i="6"/>
  <c r="J29" i="6"/>
  <c r="J31" i="6"/>
  <c r="R14" i="9"/>
  <c r="V16" i="9"/>
  <c r="F20" i="9"/>
  <c r="V21" i="9"/>
  <c r="V24" i="9"/>
  <c r="F26" i="9"/>
  <c r="V27" i="9"/>
  <c r="V30" i="9"/>
  <c r="R38" i="9"/>
  <c r="L41" i="9"/>
  <c r="N41" i="9" s="1"/>
  <c r="R44" i="9"/>
  <c r="F47" i="9"/>
  <c r="F52" i="9"/>
  <c r="F57" i="9"/>
  <c r="V59" i="9"/>
  <c r="F75" i="9"/>
  <c r="Z13" i="12"/>
  <c r="Z21" i="12"/>
  <c r="Z29" i="12"/>
  <c r="Z37" i="12"/>
  <c r="Z91" i="12"/>
  <c r="N165" i="12"/>
  <c r="J190" i="12"/>
  <c r="J194" i="12"/>
  <c r="X203" i="12"/>
  <c r="Z203" i="12" s="1"/>
  <c r="L243" i="12"/>
  <c r="Z22" i="15"/>
  <c r="Z38" i="15"/>
  <c r="Z44" i="15"/>
  <c r="N67" i="15"/>
  <c r="L67" i="15"/>
  <c r="F92" i="9"/>
  <c r="F81" i="9"/>
  <c r="F97" i="9"/>
  <c r="F94" i="9"/>
  <c r="F83" i="9"/>
  <c r="F82" i="9"/>
  <c r="F63" i="9"/>
  <c r="F55" i="9"/>
  <c r="F54" i="9"/>
  <c r="F27" i="9"/>
  <c r="F23" i="9"/>
  <c r="F73" i="9"/>
  <c r="F72" i="9"/>
  <c r="F61" i="9"/>
  <c r="F60" i="9"/>
  <c r="F49" i="9"/>
  <c r="F48" i="9"/>
  <c r="F29" i="9"/>
  <c r="F25" i="9"/>
  <c r="F21" i="9"/>
  <c r="R255" i="12"/>
  <c r="R240" i="12"/>
  <c r="R236" i="12"/>
  <c r="R224" i="12"/>
  <c r="R197" i="12"/>
  <c r="R196" i="12"/>
  <c r="R189" i="12"/>
  <c r="R188" i="12"/>
  <c r="R172" i="12"/>
  <c r="R168" i="12"/>
  <c r="R248" i="12"/>
  <c r="R247" i="12"/>
  <c r="R219" i="12"/>
  <c r="R208" i="12"/>
  <c r="R207" i="12"/>
  <c r="R159" i="12"/>
  <c r="R155" i="12"/>
  <c r="R151" i="12"/>
  <c r="R147" i="12"/>
  <c r="R143" i="12"/>
  <c r="R139" i="12"/>
  <c r="R135" i="12"/>
  <c r="R131" i="12"/>
  <c r="R127" i="12"/>
  <c r="R123" i="12"/>
  <c r="R119" i="12"/>
  <c r="R115" i="12"/>
  <c r="R111" i="12"/>
  <c r="R230" i="12"/>
  <c r="R199" i="12"/>
  <c r="R198" i="12"/>
  <c r="R191" i="12"/>
  <c r="R190" i="12"/>
  <c r="R182" i="12"/>
  <c r="R178" i="12"/>
  <c r="R264" i="12"/>
  <c r="R249" i="12"/>
  <c r="R241" i="12"/>
  <c r="R237" i="12"/>
  <c r="R226" i="12"/>
  <c r="R225" i="12"/>
  <c r="R210" i="12"/>
  <c r="R209" i="12"/>
  <c r="R173" i="12"/>
  <c r="R169" i="12"/>
  <c r="R263" i="12"/>
  <c r="R220" i="12"/>
  <c r="R201" i="12"/>
  <c r="R200" i="12"/>
  <c r="R192" i="12"/>
  <c r="R160" i="12"/>
  <c r="R156" i="12"/>
  <c r="R152" i="12"/>
  <c r="R148" i="12"/>
  <c r="R144" i="12"/>
  <c r="R140" i="12"/>
  <c r="R136" i="12"/>
  <c r="R132" i="12"/>
  <c r="R128" i="12"/>
  <c r="R124" i="12"/>
  <c r="R120" i="12"/>
  <c r="R116" i="12"/>
  <c r="R112" i="12"/>
  <c r="R262" i="12"/>
  <c r="R232" i="12"/>
  <c r="R231" i="12"/>
  <c r="R227" i="12"/>
  <c r="R268" i="12"/>
  <c r="R261" i="12"/>
  <c r="R250" i="12"/>
  <c r="R243" i="12"/>
  <c r="R242" i="12"/>
  <c r="R238" i="12"/>
  <c r="R203" i="12"/>
  <c r="R202" i="12"/>
  <c r="R174" i="12"/>
  <c r="R170" i="12"/>
  <c r="R260" i="12"/>
  <c r="R233" i="12"/>
  <c r="R222" i="12"/>
  <c r="R221" i="12"/>
  <c r="R214" i="12"/>
  <c r="R213" i="12"/>
  <c r="R194" i="12"/>
  <c r="R193" i="12"/>
  <c r="R186" i="12"/>
  <c r="R185" i="12"/>
  <c r="R166" i="12"/>
  <c r="R161" i="12"/>
  <c r="R157" i="12"/>
  <c r="R153" i="12"/>
  <c r="R149" i="12"/>
  <c r="R145" i="12"/>
  <c r="R141" i="12"/>
  <c r="R137" i="12"/>
  <c r="R133" i="12"/>
  <c r="R129" i="12"/>
  <c r="R125" i="12"/>
  <c r="R121" i="12"/>
  <c r="R117" i="12"/>
  <c r="R113" i="12"/>
  <c r="R259" i="12"/>
  <c r="R244" i="12"/>
  <c r="R228" i="12"/>
  <c r="R204" i="12"/>
  <c r="R180" i="12"/>
  <c r="R165" i="12"/>
  <c r="R109" i="12"/>
  <c r="R258" i="12"/>
  <c r="R252" i="12"/>
  <c r="R251" i="12"/>
  <c r="R239" i="12"/>
  <c r="R223" i="12"/>
  <c r="R216" i="12"/>
  <c r="R215" i="12"/>
  <c r="R195" i="12"/>
  <c r="R187" i="12"/>
  <c r="R176" i="12"/>
  <c r="R175" i="12"/>
  <c r="R171" i="12"/>
  <c r="R167" i="12"/>
  <c r="P163" i="12"/>
  <c r="R257" i="12"/>
  <c r="R235" i="12"/>
  <c r="R234" i="12"/>
  <c r="R158" i="12"/>
  <c r="R154" i="12"/>
  <c r="R150" i="12"/>
  <c r="R146" i="12"/>
  <c r="R142" i="12"/>
  <c r="R138" i="12"/>
  <c r="R134" i="12"/>
  <c r="R130" i="12"/>
  <c r="R126" i="12"/>
  <c r="R122" i="12"/>
  <c r="R118" i="12"/>
  <c r="R114" i="12"/>
  <c r="R110" i="12"/>
  <c r="Z32" i="12"/>
  <c r="R181" i="12"/>
  <c r="X225" i="3"/>
  <c r="Z225" i="3" s="1"/>
  <c r="X241" i="3"/>
  <c r="L291" i="3"/>
  <c r="N291" i="3" s="1"/>
  <c r="L297" i="3"/>
  <c r="X303" i="3"/>
  <c r="D16" i="6"/>
  <c r="F24" i="6"/>
  <c r="L28" i="6"/>
  <c r="N28" i="6" s="1"/>
  <c r="L29" i="6"/>
  <c r="N29" i="6" s="1"/>
  <c r="L12" i="9"/>
  <c r="F33" i="9"/>
  <c r="F41" i="9"/>
  <c r="N52" i="9"/>
  <c r="R76" i="9"/>
  <c r="F88" i="9"/>
  <c r="R211" i="12"/>
  <c r="N243" i="12"/>
  <c r="R245" i="12"/>
  <c r="N234" i="18"/>
  <c r="Z16" i="12"/>
  <c r="R179" i="12"/>
  <c r="T294" i="3"/>
  <c r="F14" i="6"/>
  <c r="F16" i="6"/>
  <c r="F18" i="6"/>
  <c r="F20" i="6"/>
  <c r="F22" i="6"/>
  <c r="F19" i="9"/>
  <c r="F51" i="9"/>
  <c r="F56" i="9"/>
  <c r="R62" i="9"/>
  <c r="F64" i="9"/>
  <c r="R66" i="9"/>
  <c r="F68" i="9"/>
  <c r="F71" i="9"/>
  <c r="R79" i="9"/>
  <c r="V82" i="9"/>
  <c r="F84" i="9"/>
  <c r="Z18" i="12"/>
  <c r="X18" i="12"/>
  <c r="Z26" i="12"/>
  <c r="X26" i="12"/>
  <c r="X34" i="12"/>
  <c r="Z34" i="12" s="1"/>
  <c r="Z39" i="12"/>
  <c r="X49" i="12"/>
  <c r="Z49" i="12" s="1"/>
  <c r="Z100" i="12"/>
  <c r="Z194" i="12"/>
  <c r="L197" i="12"/>
  <c r="N197" i="12" s="1"/>
  <c r="N199" i="12"/>
  <c r="P255" i="12"/>
  <c r="X255" i="12" s="1"/>
  <c r="Z67" i="15"/>
  <c r="F65" i="9"/>
  <c r="F69" i="9"/>
  <c r="J86" i="33"/>
  <c r="J80" i="33"/>
  <c r="J74" i="33"/>
  <c r="J66" i="33"/>
  <c r="J85" i="33"/>
  <c r="J81" i="33"/>
  <c r="J67" i="33"/>
  <c r="J57" i="33"/>
  <c r="J84" i="33"/>
  <c r="J76" i="33"/>
  <c r="J70" i="33"/>
  <c r="J71" i="33"/>
  <c r="J93" i="33"/>
  <c r="J87" i="33"/>
  <c r="J79" i="33"/>
  <c r="J65" i="33"/>
  <c r="J55" i="33"/>
  <c r="J49" i="33"/>
  <c r="J35" i="33"/>
  <c r="J31" i="33"/>
  <c r="J60" i="33"/>
  <c r="J56" i="33"/>
  <c r="J50" i="33"/>
  <c r="J40" i="33"/>
  <c r="J72" i="33"/>
  <c r="J45" i="33"/>
  <c r="J41" i="33"/>
  <c r="J39" i="33"/>
  <c r="J37" i="33"/>
  <c r="J69" i="33"/>
  <c r="J64" i="33"/>
  <c r="J61" i="33"/>
  <c r="H37" i="33"/>
  <c r="J32" i="33"/>
  <c r="J51" i="33"/>
  <c r="J46" i="33"/>
  <c r="J42" i="33"/>
  <c r="J88" i="33"/>
  <c r="J75" i="33"/>
  <c r="J58" i="33"/>
  <c r="J33" i="33"/>
  <c r="J77" i="33"/>
  <c r="J52" i="33"/>
  <c r="J73" i="33"/>
  <c r="J62" i="33"/>
  <c r="J47" i="33"/>
  <c r="J43" i="33"/>
  <c r="J89" i="33"/>
  <c r="J34" i="33"/>
  <c r="J68" i="33"/>
  <c r="J59" i="33"/>
  <c r="J53" i="33"/>
  <c r="J78" i="33"/>
  <c r="J63" i="33"/>
  <c r="J54" i="33"/>
  <c r="J48" i="33"/>
  <c r="J44" i="33"/>
  <c r="J30" i="33"/>
  <c r="L61" i="3"/>
  <c r="L65" i="3"/>
  <c r="N65" i="3" s="1"/>
  <c r="L69" i="3"/>
  <c r="N69" i="3" s="1"/>
  <c r="L73" i="3"/>
  <c r="N73" i="3" s="1"/>
  <c r="L77" i="3"/>
  <c r="L81" i="3"/>
  <c r="N81" i="3" s="1"/>
  <c r="L85" i="3"/>
  <c r="L89" i="3"/>
  <c r="N89" i="3" s="1"/>
  <c r="L93" i="3"/>
  <c r="L101" i="3"/>
  <c r="N101" i="3" s="1"/>
  <c r="L105" i="3"/>
  <c r="L117" i="3"/>
  <c r="L121" i="3"/>
  <c r="N121" i="3" s="1"/>
  <c r="L125" i="3"/>
  <c r="L129" i="3"/>
  <c r="L133" i="3"/>
  <c r="H16" i="6"/>
  <c r="R70" i="9"/>
  <c r="R85" i="9"/>
  <c r="R77" i="9"/>
  <c r="R72" i="9"/>
  <c r="R71" i="9"/>
  <c r="R60" i="9"/>
  <c r="R59" i="9"/>
  <c r="R48" i="9"/>
  <c r="R47" i="9"/>
  <c r="R97" i="9"/>
  <c r="R94" i="9"/>
  <c r="R82" i="9"/>
  <c r="R81" i="9"/>
  <c r="R54" i="9"/>
  <c r="R53" i="9"/>
  <c r="F18" i="9"/>
  <c r="R20" i="9"/>
  <c r="R23" i="9"/>
  <c r="R26" i="9"/>
  <c r="R29" i="9"/>
  <c r="F36" i="9"/>
  <c r="R37" i="9"/>
  <c r="V42" i="9"/>
  <c r="V48" i="9"/>
  <c r="R58" i="9"/>
  <c r="V62" i="9"/>
  <c r="R69" i="9"/>
  <c r="F74" i="9"/>
  <c r="X82" i="9"/>
  <c r="Z82" i="9" s="1"/>
  <c r="N84" i="9"/>
  <c r="L88" i="9"/>
  <c r="T90" i="9"/>
  <c r="J180" i="12"/>
  <c r="J182" i="12"/>
  <c r="R217" i="12"/>
  <c r="R256" i="12"/>
  <c r="D12" i="15"/>
  <c r="P12" i="15"/>
  <c r="N55" i="15"/>
  <c r="L55" i="15"/>
  <c r="F42" i="9"/>
  <c r="F62" i="9"/>
  <c r="Z24" i="12"/>
  <c r="L33" i="3"/>
  <c r="N33" i="3" s="1"/>
  <c r="L37" i="3"/>
  <c r="N37" i="3" s="1"/>
  <c r="L41" i="3"/>
  <c r="N41" i="3" s="1"/>
  <c r="L57" i="3"/>
  <c r="L97" i="3"/>
  <c r="N97" i="3" s="1"/>
  <c r="L109" i="3"/>
  <c r="L113" i="3"/>
  <c r="N113" i="3" s="1"/>
  <c r="J14" i="6"/>
  <c r="J16" i="6"/>
  <c r="J18" i="6"/>
  <c r="J20" i="6"/>
  <c r="J22" i="6"/>
  <c r="R26" i="6"/>
  <c r="R28" i="6"/>
  <c r="R29" i="6"/>
  <c r="R31" i="6"/>
  <c r="V85" i="9"/>
  <c r="V77" i="9"/>
  <c r="V65" i="9"/>
  <c r="V72" i="9"/>
  <c r="V90" i="9"/>
  <c r="V88" i="9"/>
  <c r="V86" i="9"/>
  <c r="V78" i="9"/>
  <c r="V74" i="9"/>
  <c r="V66" i="9"/>
  <c r="V50" i="9"/>
  <c r="V38" i="9"/>
  <c r="V34" i="9"/>
  <c r="V84" i="9"/>
  <c r="V76" i="9"/>
  <c r="V68" i="9"/>
  <c r="V56" i="9"/>
  <c r="V44" i="9"/>
  <c r="V36" i="9"/>
  <c r="V32" i="9"/>
  <c r="Z12" i="9"/>
  <c r="D16" i="9"/>
  <c r="N18" i="9"/>
  <c r="V20" i="9"/>
  <c r="F22" i="9"/>
  <c r="V23" i="9"/>
  <c r="V26" i="9"/>
  <c r="F28" i="9"/>
  <c r="V29" i="9"/>
  <c r="V37" i="9"/>
  <c r="V43" i="9"/>
  <c r="V47" i="9"/>
  <c r="F50" i="9"/>
  <c r="R57" i="9"/>
  <c r="Z58" i="9"/>
  <c r="R75" i="9"/>
  <c r="R78" i="9"/>
  <c r="V79" i="9"/>
  <c r="V81" i="9"/>
  <c r="J259" i="12"/>
  <c r="J251" i="12"/>
  <c r="J239" i="12"/>
  <c r="J223" i="12"/>
  <c r="J215" i="12"/>
  <c r="J195" i="12"/>
  <c r="J187" i="12"/>
  <c r="J175" i="12"/>
  <c r="J171" i="12"/>
  <c r="J167" i="12"/>
  <c r="J165" i="12"/>
  <c r="J163" i="12"/>
  <c r="J109" i="12"/>
  <c r="J258" i="12"/>
  <c r="J252" i="12"/>
  <c r="J234" i="12"/>
  <c r="J216" i="12"/>
  <c r="J176" i="12"/>
  <c r="H163" i="12"/>
  <c r="J158" i="12"/>
  <c r="J154" i="12"/>
  <c r="J150" i="12"/>
  <c r="J146" i="12"/>
  <c r="J142" i="12"/>
  <c r="J138" i="12"/>
  <c r="J134" i="12"/>
  <c r="J130" i="12"/>
  <c r="J126" i="12"/>
  <c r="J122" i="12"/>
  <c r="J118" i="12"/>
  <c r="J114" i="12"/>
  <c r="J110" i="12"/>
  <c r="J257" i="12"/>
  <c r="J253" i="12"/>
  <c r="J245" i="12"/>
  <c r="J235" i="12"/>
  <c r="J229" i="12"/>
  <c r="J217" i="12"/>
  <c r="J205" i="12"/>
  <c r="J181" i="12"/>
  <c r="J177" i="12"/>
  <c r="J256" i="12"/>
  <c r="J246" i="12"/>
  <c r="J240" i="12"/>
  <c r="J236" i="12"/>
  <c r="J224" i="12"/>
  <c r="J218" i="12"/>
  <c r="J206" i="12"/>
  <c r="J196" i="12"/>
  <c r="J188" i="12"/>
  <c r="J172" i="12"/>
  <c r="J168" i="12"/>
  <c r="J247" i="12"/>
  <c r="J219" i="12"/>
  <c r="J207" i="12"/>
  <c r="J197" i="12"/>
  <c r="J189" i="12"/>
  <c r="J159" i="12"/>
  <c r="J155" i="12"/>
  <c r="J151" i="12"/>
  <c r="J147" i="12"/>
  <c r="J143" i="12"/>
  <c r="J139" i="12"/>
  <c r="J135" i="12"/>
  <c r="J131" i="12"/>
  <c r="J127" i="12"/>
  <c r="J123" i="12"/>
  <c r="J119" i="12"/>
  <c r="J115" i="12"/>
  <c r="J111" i="12"/>
  <c r="J248" i="12"/>
  <c r="J230" i="12"/>
  <c r="J249" i="12"/>
  <c r="J241" i="12"/>
  <c r="J237" i="12"/>
  <c r="J225" i="12"/>
  <c r="J209" i="12"/>
  <c r="J199" i="12"/>
  <c r="J191" i="12"/>
  <c r="J173" i="12"/>
  <c r="J169" i="12"/>
  <c r="J264" i="12"/>
  <c r="J226" i="12"/>
  <c r="J220" i="12"/>
  <c r="J210" i="12"/>
  <c r="J200" i="12"/>
  <c r="J192" i="12"/>
  <c r="J160" i="12"/>
  <c r="J156" i="12"/>
  <c r="J152" i="12"/>
  <c r="J148" i="12"/>
  <c r="J144" i="12"/>
  <c r="J140" i="12"/>
  <c r="J136" i="12"/>
  <c r="J132" i="12"/>
  <c r="J128" i="12"/>
  <c r="J124" i="12"/>
  <c r="J120" i="12"/>
  <c r="J116" i="12"/>
  <c r="J112" i="12"/>
  <c r="J263" i="12"/>
  <c r="J231" i="12"/>
  <c r="J227" i="12"/>
  <c r="J211" i="12"/>
  <c r="J201" i="12"/>
  <c r="J183" i="12"/>
  <c r="J179" i="12"/>
  <c r="J268" i="12"/>
  <c r="J262" i="12"/>
  <c r="J250" i="12"/>
  <c r="J242" i="12"/>
  <c r="J238" i="12"/>
  <c r="J232" i="12"/>
  <c r="J212" i="12"/>
  <c r="J202" i="12"/>
  <c r="J184" i="12"/>
  <c r="J174" i="12"/>
  <c r="J170" i="12"/>
  <c r="J261" i="12"/>
  <c r="J243" i="12"/>
  <c r="J233" i="12"/>
  <c r="J221" i="12"/>
  <c r="J213" i="12"/>
  <c r="J203" i="12"/>
  <c r="J193" i="12"/>
  <c r="J185" i="12"/>
  <c r="J161" i="12"/>
  <c r="J157" i="12"/>
  <c r="J153" i="12"/>
  <c r="J149" i="12"/>
  <c r="J145" i="12"/>
  <c r="J141" i="12"/>
  <c r="J137" i="12"/>
  <c r="J133" i="12"/>
  <c r="J129" i="12"/>
  <c r="J125" i="12"/>
  <c r="J121" i="12"/>
  <c r="J117" i="12"/>
  <c r="J113" i="12"/>
  <c r="X15" i="12"/>
  <c r="Z15" i="12" s="1"/>
  <c r="X23" i="12"/>
  <c r="Z23" i="12" s="1"/>
  <c r="X31" i="12"/>
  <c r="Z31" i="12" s="1"/>
  <c r="X44" i="12"/>
  <c r="Z44" i="12" s="1"/>
  <c r="Z56" i="12"/>
  <c r="Z65" i="12"/>
  <c r="Z72" i="12"/>
  <c r="Z102" i="12"/>
  <c r="J178" i="12"/>
  <c r="N186" i="12"/>
  <c r="X197" i="12"/>
  <c r="N222" i="12"/>
  <c r="Z14" i="15"/>
  <c r="F16" i="9"/>
  <c r="F31" i="9"/>
  <c r="F32" i="9"/>
  <c r="F39" i="9"/>
  <c r="F40" i="9"/>
  <c r="F45" i="9"/>
  <c r="F46" i="9"/>
  <c r="F67" i="9"/>
  <c r="F77" i="9"/>
  <c r="T12" i="12"/>
  <c r="Z36" i="12"/>
  <c r="Z58" i="12"/>
  <c r="J186" i="12"/>
  <c r="Z197" i="12"/>
  <c r="J222" i="12"/>
  <c r="J244" i="12"/>
  <c r="J260" i="12"/>
  <c r="N272" i="18"/>
  <c r="L96" i="3"/>
  <c r="N96" i="3" s="1"/>
  <c r="L100" i="3"/>
  <c r="L104" i="3"/>
  <c r="N104" i="3" s="1"/>
  <c r="L112" i="3"/>
  <c r="N112" i="3" s="1"/>
  <c r="L116" i="3"/>
  <c r="L120" i="3"/>
  <c r="N120" i="3" s="1"/>
  <c r="L124" i="3"/>
  <c r="L128" i="3"/>
  <c r="N128" i="3" s="1"/>
  <c r="L132" i="3"/>
  <c r="V31" i="6"/>
  <c r="V33" i="9"/>
  <c r="F35" i="9"/>
  <c r="R41" i="9"/>
  <c r="R51" i="9"/>
  <c r="Z52" i="9"/>
  <c r="R61" i="9"/>
  <c r="V64" i="9"/>
  <c r="R68" i="9"/>
  <c r="V71" i="9"/>
  <c r="F80" i="9"/>
  <c r="R84" i="9"/>
  <c r="F86" i="9"/>
  <c r="R88" i="9"/>
  <c r="V94" i="9"/>
  <c r="X12" i="12"/>
  <c r="Z17" i="12"/>
  <c r="X20" i="12"/>
  <c r="Z20" i="12" s="1"/>
  <c r="Z25" i="12"/>
  <c r="X28" i="12"/>
  <c r="Z28" i="12" s="1"/>
  <c r="Z33" i="12"/>
  <c r="X36" i="12"/>
  <c r="X41" i="12"/>
  <c r="Z41" i="12" s="1"/>
  <c r="Z53" i="12"/>
  <c r="Z83" i="12"/>
  <c r="Z90" i="12"/>
  <c r="Z99" i="12"/>
  <c r="J208" i="12"/>
  <c r="H12" i="15"/>
  <c r="Z30" i="15"/>
  <c r="Z43" i="15"/>
  <c r="N91" i="15"/>
  <c r="L91" i="15"/>
  <c r="N201" i="15"/>
  <c r="L28" i="3"/>
  <c r="N28" i="3" s="1"/>
  <c r="L40" i="3"/>
  <c r="N40" i="3" s="1"/>
  <c r="L44" i="3"/>
  <c r="L48" i="3"/>
  <c r="N48" i="3" s="1"/>
  <c r="L52" i="3"/>
  <c r="N52" i="3" s="1"/>
  <c r="L56" i="3"/>
  <c r="N56" i="3" s="1"/>
  <c r="L60" i="3"/>
  <c r="L68" i="3"/>
  <c r="N68" i="3" s="1"/>
  <c r="L72" i="3"/>
  <c r="N72" i="3" s="1"/>
  <c r="L76" i="3"/>
  <c r="L84" i="3"/>
  <c r="N84" i="3" s="1"/>
  <c r="L88" i="3"/>
  <c r="N88" i="3" s="1"/>
  <c r="L92" i="3"/>
  <c r="L108" i="3"/>
  <c r="N108" i="3" s="1"/>
  <c r="N16" i="3"/>
  <c r="N20" i="3"/>
  <c r="N36" i="3"/>
  <c r="L225" i="3"/>
  <c r="N225" i="3" s="1"/>
  <c r="L241" i="3"/>
  <c r="N241" i="3" s="1"/>
  <c r="X291" i="3"/>
  <c r="Z291" i="3" s="1"/>
  <c r="X297" i="3"/>
  <c r="L303" i="3"/>
  <c r="L12" i="6"/>
  <c r="X28" i="6"/>
  <c r="Z28" i="6" s="1"/>
  <c r="X29" i="6"/>
  <c r="Z29" i="6" s="1"/>
  <c r="F14" i="9"/>
  <c r="R25" i="9"/>
  <c r="R28" i="9"/>
  <c r="R36" i="9"/>
  <c r="V51" i="9"/>
  <c r="V52" i="9"/>
  <c r="R56" i="9"/>
  <c r="L60" i="9"/>
  <c r="V61" i="9"/>
  <c r="X38" i="12"/>
  <c r="Z38" i="12" s="1"/>
  <c r="Z48" i="12"/>
  <c r="R184" i="12"/>
  <c r="J198" i="12"/>
  <c r="R206" i="12"/>
  <c r="R229" i="12"/>
  <c r="R253" i="12"/>
  <c r="Z95" i="15"/>
  <c r="L240" i="15"/>
  <c r="N240" i="15"/>
  <c r="L64" i="3"/>
  <c r="N64" i="3" s="1"/>
  <c r="L80" i="3"/>
  <c r="N80" i="3" s="1"/>
  <c r="X13" i="3"/>
  <c r="N24" i="3"/>
  <c r="N32" i="3"/>
  <c r="Z13" i="3"/>
  <c r="R14" i="6"/>
  <c r="R16" i="6"/>
  <c r="R18" i="6"/>
  <c r="R20" i="6"/>
  <c r="R18" i="9"/>
  <c r="V22" i="9"/>
  <c r="F24" i="9"/>
  <c r="V25" i="9"/>
  <c r="V28" i="9"/>
  <c r="F30" i="9"/>
  <c r="L31" i="9"/>
  <c r="N31" i="9" s="1"/>
  <c r="F38" i="9"/>
  <c r="R40" i="9"/>
  <c r="V41" i="9"/>
  <c r="F43" i="9"/>
  <c r="F44" i="9"/>
  <c r="R46" i="9"/>
  <c r="X52" i="9"/>
  <c r="R55" i="9"/>
  <c r="F59" i="9"/>
  <c r="R74" i="9"/>
  <c r="F79" i="9"/>
  <c r="R83" i="9"/>
  <c r="X84" i="9"/>
  <c r="Z84" i="9" s="1"/>
  <c r="R92" i="9"/>
  <c r="D12" i="12"/>
  <c r="X14" i="12"/>
  <c r="Z14" i="12" s="1"/>
  <c r="X22" i="12"/>
  <c r="Z22" i="12" s="1"/>
  <c r="X30" i="12"/>
  <c r="Z30" i="12" s="1"/>
  <c r="X48" i="12"/>
  <c r="Z50" i="12"/>
  <c r="Z85" i="12"/>
  <c r="Z92" i="12"/>
  <c r="Z109" i="12"/>
  <c r="J166" i="12"/>
  <c r="N189" i="12"/>
  <c r="Z208" i="12"/>
  <c r="J214" i="12"/>
  <c r="R246" i="12"/>
  <c r="Z18" i="15"/>
  <c r="Z68" i="15"/>
  <c r="Z201" i="15"/>
  <c r="N58" i="9"/>
  <c r="Z52" i="12"/>
  <c r="N50" i="15"/>
  <c r="L50" i="15"/>
  <c r="Z32" i="18"/>
  <c r="P16" i="9"/>
  <c r="Z18" i="9"/>
  <c r="V19" i="9"/>
  <c r="R32" i="9"/>
  <c r="V40" i="9"/>
  <c r="V46" i="9"/>
  <c r="R50" i="9"/>
  <c r="V55" i="9"/>
  <c r="R63" i="9"/>
  <c r="R67" i="9"/>
  <c r="F70" i="9"/>
  <c r="R73" i="9"/>
  <c r="Z74" i="9"/>
  <c r="F76" i="9"/>
  <c r="R80" i="9"/>
  <c r="V83" i="9"/>
  <c r="F90" i="9"/>
  <c r="V92" i="9"/>
  <c r="Z19" i="12"/>
  <c r="Z27" i="12"/>
  <c r="Z35" i="12"/>
  <c r="Z45" i="12"/>
  <c r="Z87" i="12"/>
  <c r="Z101" i="12"/>
  <c r="N79" i="15"/>
  <c r="L79" i="15"/>
  <c r="F85" i="9"/>
  <c r="N22" i="33"/>
  <c r="V14" i="6"/>
  <c r="V16" i="6"/>
  <c r="V18" i="6"/>
  <c r="V20" i="6"/>
  <c r="F26" i="6"/>
  <c r="F28" i="6"/>
  <c r="F29" i="6"/>
  <c r="R16" i="9"/>
  <c r="V18" i="9"/>
  <c r="F34" i="9"/>
  <c r="R35" i="9"/>
  <c r="R49" i="9"/>
  <c r="F53" i="9"/>
  <c r="F58" i="9"/>
  <c r="V63" i="9"/>
  <c r="F66" i="9"/>
  <c r="V67" i="9"/>
  <c r="V73" i="9"/>
  <c r="V80" i="9"/>
  <c r="R86" i="9"/>
  <c r="H90" i="9"/>
  <c r="L13" i="12"/>
  <c r="N13" i="12" s="1"/>
  <c r="X19" i="12"/>
  <c r="Z40" i="12"/>
  <c r="Z57" i="12"/>
  <c r="Z64" i="12"/>
  <c r="Z73" i="12"/>
  <c r="Z80" i="12"/>
  <c r="R183" i="12"/>
  <c r="Z189" i="12"/>
  <c r="X189" i="12"/>
  <c r="Z191" i="12"/>
  <c r="L203" i="12"/>
  <c r="N203" i="12" s="1"/>
  <c r="R212" i="12"/>
  <c r="R218" i="12"/>
  <c r="Z255" i="12"/>
  <c r="H255" i="12"/>
  <c r="N261" i="12"/>
  <c r="Z64" i="15"/>
  <c r="J40" i="9"/>
  <c r="J50" i="9"/>
  <c r="J74" i="9"/>
  <c r="J80" i="9"/>
  <c r="J88" i="9"/>
  <c r="J90" i="9"/>
  <c r="N47" i="15"/>
  <c r="X60" i="15"/>
  <c r="Z60" i="15" s="1"/>
  <c r="N62" i="15"/>
  <c r="X72" i="15"/>
  <c r="Z72" i="15" s="1"/>
  <c r="N74" i="15"/>
  <c r="X84" i="15"/>
  <c r="Z84" i="15" s="1"/>
  <c r="N86" i="15"/>
  <c r="N238" i="15"/>
  <c r="N96" i="18"/>
  <c r="N100" i="18"/>
  <c r="Z113" i="18"/>
  <c r="Z185" i="18"/>
  <c r="N214" i="18"/>
  <c r="H12" i="21"/>
  <c r="Z30" i="21"/>
  <c r="N40" i="21"/>
  <c r="Z72" i="21"/>
  <c r="X44" i="15"/>
  <c r="X55" i="15"/>
  <c r="Z55" i="15" s="1"/>
  <c r="N57" i="15"/>
  <c r="X67" i="15"/>
  <c r="N69" i="15"/>
  <c r="X79" i="15"/>
  <c r="Z79" i="15" s="1"/>
  <c r="N81" i="15"/>
  <c r="X91" i="15"/>
  <c r="Z91" i="15" s="1"/>
  <c r="L93" i="15"/>
  <c r="N93" i="15" s="1"/>
  <c r="N161" i="15"/>
  <c r="Z181" i="15"/>
  <c r="X201" i="15"/>
  <c r="L227" i="15"/>
  <c r="N227" i="15" s="1"/>
  <c r="L249" i="15"/>
  <c r="Z253" i="15"/>
  <c r="Z64" i="18"/>
  <c r="Z76" i="18"/>
  <c r="R63" i="21"/>
  <c r="N131" i="24"/>
  <c r="L131" i="24"/>
  <c r="N64" i="15"/>
  <c r="N88" i="15"/>
  <c r="N247" i="15"/>
  <c r="Z117" i="18"/>
  <c r="L186" i="18"/>
  <c r="N186" i="18" s="1"/>
  <c r="R188" i="18"/>
  <c r="Z214" i="18"/>
  <c r="F273" i="18"/>
  <c r="Z276" i="18"/>
  <c r="N278" i="18"/>
  <c r="V92" i="21"/>
  <c r="V88" i="21"/>
  <c r="V76" i="21"/>
  <c r="V68" i="21"/>
  <c r="V56" i="21"/>
  <c r="V105" i="21"/>
  <c r="V83" i="21"/>
  <c r="V75" i="21"/>
  <c r="V67" i="21"/>
  <c r="V55" i="21"/>
  <c r="V93" i="21"/>
  <c r="V89" i="21"/>
  <c r="V77" i="21"/>
  <c r="V69" i="21"/>
  <c r="V57" i="21"/>
  <c r="V49" i="21"/>
  <c r="V96" i="21"/>
  <c r="V84" i="21"/>
  <c r="V72" i="21"/>
  <c r="V60" i="21"/>
  <c r="V48" i="21"/>
  <c r="V98" i="21"/>
  <c r="V90" i="21"/>
  <c r="V86" i="21"/>
  <c r="V97" i="21"/>
  <c r="V101" i="21"/>
  <c r="V99" i="21"/>
  <c r="V91" i="21"/>
  <c r="V87" i="21"/>
  <c r="V63" i="21"/>
  <c r="V53" i="21"/>
  <c r="V36" i="21"/>
  <c r="V32" i="21"/>
  <c r="V78" i="21"/>
  <c r="V66" i="21"/>
  <c r="V64" i="21"/>
  <c r="V51" i="21"/>
  <c r="V46" i="21"/>
  <c r="V41" i="21"/>
  <c r="V80" i="21"/>
  <c r="V47" i="21"/>
  <c r="V44" i="21"/>
  <c r="V95" i="21"/>
  <c r="V58" i="21"/>
  <c r="V37" i="21"/>
  <c r="V33" i="21"/>
  <c r="V70" i="21"/>
  <c r="V54" i="21"/>
  <c r="V24" i="21"/>
  <c r="V82" i="21"/>
  <c r="V62" i="21"/>
  <c r="V61" i="21"/>
  <c r="V42" i="21"/>
  <c r="V38" i="21"/>
  <c r="V34" i="21"/>
  <c r="V94" i="21"/>
  <c r="V73" i="21"/>
  <c r="V45" i="21"/>
  <c r="V25" i="21"/>
  <c r="V85" i="21"/>
  <c r="V79" i="21"/>
  <c r="V40" i="21"/>
  <c r="Z12" i="21"/>
  <c r="V65" i="21"/>
  <c r="V59" i="21"/>
  <c r="V52" i="21"/>
  <c r="V39" i="21"/>
  <c r="V35" i="21"/>
  <c r="V31" i="21"/>
  <c r="V81" i="21"/>
  <c r="V43" i="21"/>
  <c r="V30" i="21"/>
  <c r="V26" i="21"/>
  <c r="R43" i="21"/>
  <c r="D255" i="12"/>
  <c r="L255" i="12" s="1"/>
  <c r="X40" i="15"/>
  <c r="Z40" i="15" s="1"/>
  <c r="L43" i="15"/>
  <c r="N43" i="15" s="1"/>
  <c r="L52" i="15"/>
  <c r="X57" i="15"/>
  <c r="Z57" i="15" s="1"/>
  <c r="N59" i="15"/>
  <c r="L64" i="15"/>
  <c r="X69" i="15"/>
  <c r="Z69" i="15" s="1"/>
  <c r="N71" i="15"/>
  <c r="L76" i="15"/>
  <c r="N76" i="15" s="1"/>
  <c r="X81" i="15"/>
  <c r="Z81" i="15" s="1"/>
  <c r="N83" i="15"/>
  <c r="L88" i="15"/>
  <c r="L95" i="15"/>
  <c r="N95" i="15" s="1"/>
  <c r="L104" i="15"/>
  <c r="Z189" i="15"/>
  <c r="L194" i="15"/>
  <c r="N194" i="15" s="1"/>
  <c r="Z238" i="15"/>
  <c r="Z240" i="15"/>
  <c r="N249" i="15"/>
  <c r="R278" i="18"/>
  <c r="R267" i="18"/>
  <c r="R260" i="18"/>
  <c r="R259" i="18"/>
  <c r="R255" i="18"/>
  <c r="R244" i="18"/>
  <c r="R243" i="18"/>
  <c r="R228" i="18"/>
  <c r="R227" i="18"/>
  <c r="R179" i="18"/>
  <c r="R175" i="18"/>
  <c r="R171" i="18"/>
  <c r="R167" i="18"/>
  <c r="R163" i="18"/>
  <c r="R159" i="18"/>
  <c r="R155" i="18"/>
  <c r="R151" i="18"/>
  <c r="R147" i="18"/>
  <c r="R143" i="18"/>
  <c r="R139" i="18"/>
  <c r="R135" i="18"/>
  <c r="R131" i="18"/>
  <c r="R127" i="18"/>
  <c r="R277" i="18"/>
  <c r="R250" i="18"/>
  <c r="R238" i="18"/>
  <c r="R219" i="18"/>
  <c r="R218" i="18"/>
  <c r="R211" i="18"/>
  <c r="R210" i="18"/>
  <c r="R202" i="18"/>
  <c r="R198" i="18"/>
  <c r="R276" i="18"/>
  <c r="R261" i="18"/>
  <c r="R245" i="18"/>
  <c r="R230" i="18"/>
  <c r="R229" i="18"/>
  <c r="R193" i="18"/>
  <c r="R189" i="18"/>
  <c r="R275" i="18"/>
  <c r="R269" i="18"/>
  <c r="R268" i="18"/>
  <c r="R256" i="18"/>
  <c r="R221" i="18"/>
  <c r="R220" i="18"/>
  <c r="R212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128" i="18"/>
  <c r="R274" i="18"/>
  <c r="R252" i="18"/>
  <c r="R251" i="18"/>
  <c r="R240" i="18"/>
  <c r="R239" i="18"/>
  <c r="R232" i="18"/>
  <c r="R231" i="18"/>
  <c r="R204" i="18"/>
  <c r="R203" i="18"/>
  <c r="R199" i="18"/>
  <c r="R124" i="18"/>
  <c r="R273" i="18"/>
  <c r="R270" i="18"/>
  <c r="R263" i="18"/>
  <c r="R262" i="18"/>
  <c r="R246" i="18"/>
  <c r="R223" i="18"/>
  <c r="R222" i="18"/>
  <c r="R194" i="18"/>
  <c r="R190" i="18"/>
  <c r="R257" i="18"/>
  <c r="R253" i="18"/>
  <c r="R241" i="18"/>
  <c r="R234" i="18"/>
  <c r="R233" i="18"/>
  <c r="R214" i="18"/>
  <c r="R213" i="18"/>
  <c r="R206" i="18"/>
  <c r="R205" i="18"/>
  <c r="R186" i="18"/>
  <c r="R181" i="18"/>
  <c r="R177" i="18"/>
  <c r="R173" i="18"/>
  <c r="R169" i="18"/>
  <c r="R165" i="18"/>
  <c r="R161" i="18"/>
  <c r="R157" i="18"/>
  <c r="R153" i="18"/>
  <c r="R149" i="18"/>
  <c r="R145" i="18"/>
  <c r="R141" i="18"/>
  <c r="R137" i="18"/>
  <c r="R133" i="18"/>
  <c r="R129" i="18"/>
  <c r="R125" i="18"/>
  <c r="R283" i="18"/>
  <c r="R265" i="18"/>
  <c r="R264" i="18"/>
  <c r="R224" i="18"/>
  <c r="R200" i="18"/>
  <c r="R185" i="18"/>
  <c r="R282" i="18"/>
  <c r="R247" i="18"/>
  <c r="R236" i="18"/>
  <c r="R235" i="18"/>
  <c r="R215" i="18"/>
  <c r="R207" i="18"/>
  <c r="R196" i="18"/>
  <c r="R195" i="18"/>
  <c r="R191" i="18"/>
  <c r="R187" i="18"/>
  <c r="P183" i="18"/>
  <c r="R281" i="18"/>
  <c r="R266" i="18"/>
  <c r="R258" i="18"/>
  <c r="R254" i="18"/>
  <c r="R242" i="18"/>
  <c r="R178" i="18"/>
  <c r="R174" i="18"/>
  <c r="R170" i="18"/>
  <c r="R166" i="18"/>
  <c r="R162" i="18"/>
  <c r="R158" i="18"/>
  <c r="R154" i="18"/>
  <c r="R150" i="18"/>
  <c r="R146" i="18"/>
  <c r="R142" i="18"/>
  <c r="R138" i="18"/>
  <c r="R134" i="18"/>
  <c r="R130" i="18"/>
  <c r="R126" i="18"/>
  <c r="R287" i="18"/>
  <c r="R280" i="18"/>
  <c r="R237" i="18"/>
  <c r="R226" i="18"/>
  <c r="R225" i="18"/>
  <c r="R201" i="18"/>
  <c r="R197" i="18"/>
  <c r="Z100" i="18"/>
  <c r="X121" i="18"/>
  <c r="Z244" i="18"/>
  <c r="V50" i="21"/>
  <c r="T12" i="15"/>
  <c r="X52" i="15"/>
  <c r="Z52" i="15" s="1"/>
  <c r="X64" i="15"/>
  <c r="N66" i="15"/>
  <c r="X76" i="15"/>
  <c r="Z76" i="15" s="1"/>
  <c r="X88" i="15"/>
  <c r="Z88" i="15" s="1"/>
  <c r="N90" i="15"/>
  <c r="X95" i="15"/>
  <c r="N97" i="15"/>
  <c r="L97" i="15"/>
  <c r="L160" i="15"/>
  <c r="N160" i="15" s="1"/>
  <c r="X227" i="15"/>
  <c r="Z227" i="15" s="1"/>
  <c r="X249" i="15"/>
  <c r="Z13" i="18"/>
  <c r="X15" i="18"/>
  <c r="X17" i="18"/>
  <c r="Z17" i="18" s="1"/>
  <c r="X19" i="18"/>
  <c r="X21" i="18"/>
  <c r="Z21" i="18" s="1"/>
  <c r="X23" i="18"/>
  <c r="Z23" i="18" s="1"/>
  <c r="X25" i="18"/>
  <c r="X27" i="18"/>
  <c r="X29" i="18"/>
  <c r="Z29" i="18" s="1"/>
  <c r="X31" i="18"/>
  <c r="X33" i="18"/>
  <c r="Z33" i="18" s="1"/>
  <c r="X35" i="18"/>
  <c r="Z35" i="18" s="1"/>
  <c r="X37" i="18"/>
  <c r="Z37" i="18" s="1"/>
  <c r="X39" i="18"/>
  <c r="X41" i="18"/>
  <c r="Z41" i="18" s="1"/>
  <c r="X43" i="18"/>
  <c r="X45" i="18"/>
  <c r="Z45" i="18" s="1"/>
  <c r="X47" i="18"/>
  <c r="Z47" i="18" s="1"/>
  <c r="X49" i="18"/>
  <c r="X51" i="18"/>
  <c r="X53" i="18"/>
  <c r="Z53" i="18" s="1"/>
  <c r="N116" i="18"/>
  <c r="Z121" i="18"/>
  <c r="L206" i="18"/>
  <c r="N226" i="18"/>
  <c r="X228" i="18"/>
  <c r="Z230" i="18"/>
  <c r="T272" i="18"/>
  <c r="Z278" i="18"/>
  <c r="N280" i="18"/>
  <c r="Z18" i="27"/>
  <c r="Z15" i="18"/>
  <c r="Z19" i="18"/>
  <c r="Z25" i="18"/>
  <c r="Z27" i="18"/>
  <c r="Z31" i="18"/>
  <c r="Z39" i="18"/>
  <c r="Z43" i="18"/>
  <c r="Z49" i="18"/>
  <c r="Z51" i="18"/>
  <c r="Z112" i="18"/>
  <c r="N206" i="18"/>
  <c r="R208" i="18"/>
  <c r="Z228" i="18"/>
  <c r="X113" i="27"/>
  <c r="J46" i="9"/>
  <c r="J56" i="9"/>
  <c r="J70" i="9"/>
  <c r="L42" i="15"/>
  <c r="N42" i="15" s="1"/>
  <c r="X49" i="15"/>
  <c r="Z49" i="15" s="1"/>
  <c r="X54" i="15"/>
  <c r="Z54" i="15" s="1"/>
  <c r="N56" i="15"/>
  <c r="L61" i="15"/>
  <c r="X66" i="15"/>
  <c r="Z66" i="15" s="1"/>
  <c r="N68" i="15"/>
  <c r="L73" i="15"/>
  <c r="N73" i="15" s="1"/>
  <c r="X78" i="15"/>
  <c r="Z78" i="15" s="1"/>
  <c r="N80" i="15"/>
  <c r="L85" i="15"/>
  <c r="N85" i="15" s="1"/>
  <c r="X90" i="15"/>
  <c r="Z90" i="15" s="1"/>
  <c r="N92" i="15"/>
  <c r="L99" i="15"/>
  <c r="N171" i="15"/>
  <c r="L179" i="15"/>
  <c r="N179" i="15" s="1"/>
  <c r="Z203" i="15"/>
  <c r="Z205" i="15"/>
  <c r="N209" i="15"/>
  <c r="N235" i="15"/>
  <c r="L248" i="15"/>
  <c r="N248" i="15" s="1"/>
  <c r="D247" i="15"/>
  <c r="L247" i="15" s="1"/>
  <c r="Z249" i="15"/>
  <c r="F247" i="18"/>
  <c r="F235" i="18"/>
  <c r="F234" i="18"/>
  <c r="F215" i="18"/>
  <c r="F214" i="18"/>
  <c r="F207" i="18"/>
  <c r="F206" i="18"/>
  <c r="F195" i="18"/>
  <c r="F191" i="18"/>
  <c r="F187" i="18"/>
  <c r="F186" i="18"/>
  <c r="F283" i="18"/>
  <c r="F266" i="18"/>
  <c r="F265" i="18"/>
  <c r="F258" i="18"/>
  <c r="F254" i="18"/>
  <c r="F242" i="18"/>
  <c r="F185" i="18"/>
  <c r="F183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130" i="18"/>
  <c r="F126" i="18"/>
  <c r="F287" i="18"/>
  <c r="F282" i="18"/>
  <c r="F237" i="18"/>
  <c r="F236" i="18"/>
  <c r="F225" i="18"/>
  <c r="F201" i="18"/>
  <c r="F197" i="18"/>
  <c r="F196" i="18"/>
  <c r="D183" i="18"/>
  <c r="F281" i="18"/>
  <c r="F248" i="18"/>
  <c r="F216" i="18"/>
  <c r="F208" i="18"/>
  <c r="F192" i="18"/>
  <c r="F188" i="18"/>
  <c r="F280" i="18"/>
  <c r="F267" i="18"/>
  <c r="F259" i="18"/>
  <c r="F255" i="18"/>
  <c r="F243" i="18"/>
  <c r="F227" i="18"/>
  <c r="F226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127" i="18"/>
  <c r="F279" i="18"/>
  <c r="F250" i="18"/>
  <c r="F249" i="18"/>
  <c r="F238" i="18"/>
  <c r="F218" i="18"/>
  <c r="F217" i="18"/>
  <c r="F210" i="18"/>
  <c r="F209" i="18"/>
  <c r="F202" i="18"/>
  <c r="F198" i="18"/>
  <c r="F278" i="18"/>
  <c r="F261" i="18"/>
  <c r="F260" i="18"/>
  <c r="F245" i="18"/>
  <c r="F244" i="18"/>
  <c r="F229" i="18"/>
  <c r="F228" i="18"/>
  <c r="F193" i="18"/>
  <c r="F189" i="18"/>
  <c r="F277" i="18"/>
  <c r="F268" i="18"/>
  <c r="F256" i="18"/>
  <c r="F220" i="18"/>
  <c r="F219" i="18"/>
  <c r="F212" i="18"/>
  <c r="F211" i="18"/>
  <c r="F180" i="18"/>
  <c r="F176" i="18"/>
  <c r="F172" i="18"/>
  <c r="F168" i="18"/>
  <c r="F164" i="18"/>
  <c r="F160" i="18"/>
  <c r="F156" i="18"/>
  <c r="F152" i="18"/>
  <c r="F148" i="18"/>
  <c r="F144" i="18"/>
  <c r="F140" i="18"/>
  <c r="F136" i="18"/>
  <c r="F132" i="18"/>
  <c r="F128" i="18"/>
  <c r="F276" i="18"/>
  <c r="F251" i="18"/>
  <c r="F239" i="18"/>
  <c r="F231" i="18"/>
  <c r="F230" i="18"/>
  <c r="F203" i="18"/>
  <c r="F199" i="18"/>
  <c r="F275" i="18"/>
  <c r="F270" i="18"/>
  <c r="F269" i="18"/>
  <c r="F262" i="18"/>
  <c r="F246" i="18"/>
  <c r="F222" i="18"/>
  <c r="F221" i="18"/>
  <c r="F194" i="18"/>
  <c r="F190" i="18"/>
  <c r="F274" i="18"/>
  <c r="F257" i="18"/>
  <c r="F253" i="18"/>
  <c r="F252" i="18"/>
  <c r="F241" i="18"/>
  <c r="F240" i="18"/>
  <c r="F233" i="18"/>
  <c r="F232" i="18"/>
  <c r="F213" i="18"/>
  <c r="F205" i="18"/>
  <c r="F204" i="18"/>
  <c r="F181" i="18"/>
  <c r="F177" i="18"/>
  <c r="F173" i="18"/>
  <c r="F169" i="18"/>
  <c r="F165" i="18"/>
  <c r="F161" i="18"/>
  <c r="F157" i="18"/>
  <c r="F153" i="18"/>
  <c r="F149" i="18"/>
  <c r="F145" i="18"/>
  <c r="F141" i="18"/>
  <c r="F137" i="18"/>
  <c r="F133" i="18"/>
  <c r="F129" i="18"/>
  <c r="F125" i="18"/>
  <c r="F124" i="18"/>
  <c r="Z55" i="18"/>
  <c r="X57" i="18"/>
  <c r="X59" i="18"/>
  <c r="X61" i="18"/>
  <c r="Z61" i="18" s="1"/>
  <c r="X63" i="18"/>
  <c r="X65" i="18"/>
  <c r="Z65" i="18" s="1"/>
  <c r="X67" i="18"/>
  <c r="X69" i="18"/>
  <c r="X71" i="18"/>
  <c r="X73" i="18"/>
  <c r="Z73" i="18" s="1"/>
  <c r="X75" i="18"/>
  <c r="X77" i="18"/>
  <c r="Z77" i="18" s="1"/>
  <c r="X81" i="18"/>
  <c r="X85" i="18"/>
  <c r="N196" i="18"/>
  <c r="F224" i="18"/>
  <c r="Z226" i="18"/>
  <c r="N240" i="18"/>
  <c r="R249" i="18"/>
  <c r="N260" i="18"/>
  <c r="Z280" i="18"/>
  <c r="N24" i="21"/>
  <c r="X261" i="12"/>
  <c r="Z261" i="12" s="1"/>
  <c r="N51" i="15"/>
  <c r="X61" i="15"/>
  <c r="Z61" i="15" s="1"/>
  <c r="N63" i="15"/>
  <c r="X73" i="15"/>
  <c r="Z73" i="15" s="1"/>
  <c r="N75" i="15"/>
  <c r="X85" i="15"/>
  <c r="Z85" i="15" s="1"/>
  <c r="N87" i="15"/>
  <c r="N94" i="15"/>
  <c r="X99" i="15"/>
  <c r="Z99" i="15" s="1"/>
  <c r="N101" i="15"/>
  <c r="L101" i="15"/>
  <c r="L106" i="15"/>
  <c r="N106" i="15" s="1"/>
  <c r="X160" i="15"/>
  <c r="Z160" i="15" s="1"/>
  <c r="Z57" i="18"/>
  <c r="Z59" i="18"/>
  <c r="Z63" i="18"/>
  <c r="Z67" i="18"/>
  <c r="Z69" i="18"/>
  <c r="Z71" i="18"/>
  <c r="Z75" i="18"/>
  <c r="Z81" i="18"/>
  <c r="Z85" i="18"/>
  <c r="X42" i="12"/>
  <c r="Z42" i="12" s="1"/>
  <c r="X46" i="12"/>
  <c r="Z46" i="12" s="1"/>
  <c r="X50" i="12"/>
  <c r="X54" i="12"/>
  <c r="Z54" i="12" s="1"/>
  <c r="X58" i="12"/>
  <c r="X62" i="12"/>
  <c r="Z62" i="12" s="1"/>
  <c r="X66" i="12"/>
  <c r="Z66" i="12" s="1"/>
  <c r="X70" i="12"/>
  <c r="Z70" i="12" s="1"/>
  <c r="X74" i="12"/>
  <c r="Z74" i="12" s="1"/>
  <c r="X78" i="12"/>
  <c r="Z78" i="12" s="1"/>
  <c r="X82" i="12"/>
  <c r="Z82" i="12" s="1"/>
  <c r="X86" i="12"/>
  <c r="Z86" i="12" s="1"/>
  <c r="X90" i="12"/>
  <c r="X94" i="12"/>
  <c r="Z94" i="12" s="1"/>
  <c r="X98" i="12"/>
  <c r="Z98" i="12" s="1"/>
  <c r="X102" i="12"/>
  <c r="X106" i="12"/>
  <c r="X56" i="15"/>
  <c r="Z56" i="15" s="1"/>
  <c r="N58" i="15"/>
  <c r="X68" i="15"/>
  <c r="N70" i="15"/>
  <c r="X80" i="15"/>
  <c r="Z80" i="15" s="1"/>
  <c r="N82" i="15"/>
  <c r="X92" i="15"/>
  <c r="Z92" i="15" s="1"/>
  <c r="X101" i="15"/>
  <c r="Z101" i="15" s="1"/>
  <c r="N103" i="15"/>
  <c r="L103" i="15"/>
  <c r="Z192" i="15"/>
  <c r="Z194" i="15"/>
  <c r="N16" i="18"/>
  <c r="N18" i="18"/>
  <c r="N20" i="18"/>
  <c r="N24" i="18"/>
  <c r="N26" i="18"/>
  <c r="N28" i="18"/>
  <c r="N30" i="18"/>
  <c r="N32" i="18"/>
  <c r="N34" i="18"/>
  <c r="N36" i="18"/>
  <c r="N38" i="18"/>
  <c r="N40" i="18"/>
  <c r="N42" i="18"/>
  <c r="N44" i="18"/>
  <c r="N46" i="18"/>
  <c r="N48" i="18"/>
  <c r="N50" i="18"/>
  <c r="N54" i="18"/>
  <c r="Z87" i="18"/>
  <c r="Z89" i="18"/>
  <c r="Z91" i="18"/>
  <c r="X93" i="18"/>
  <c r="X97" i="18"/>
  <c r="Z97" i="18" s="1"/>
  <c r="X101" i="18"/>
  <c r="N204" i="18"/>
  <c r="R217" i="18"/>
  <c r="Z240" i="18"/>
  <c r="N252" i="18"/>
  <c r="Z260" i="18"/>
  <c r="F263" i="18"/>
  <c r="L19" i="21"/>
  <c r="N21" i="21"/>
  <c r="Z24" i="21"/>
  <c r="T28" i="21"/>
  <c r="N53" i="15"/>
  <c r="N65" i="15"/>
  <c r="N77" i="15"/>
  <c r="P247" i="15"/>
  <c r="X247" i="15" s="1"/>
  <c r="Z247" i="15" s="1"/>
  <c r="X248" i="15"/>
  <c r="N253" i="15"/>
  <c r="N56" i="18"/>
  <c r="Z93" i="18"/>
  <c r="Z101" i="18"/>
  <c r="X105" i="18"/>
  <c r="X109" i="18"/>
  <c r="R248" i="18"/>
  <c r="R81" i="21"/>
  <c r="R66" i="21"/>
  <c r="R65" i="21"/>
  <c r="R92" i="21"/>
  <c r="R88" i="21"/>
  <c r="R83" i="21"/>
  <c r="R82" i="21"/>
  <c r="R47" i="21"/>
  <c r="R46" i="21"/>
  <c r="R42" i="21"/>
  <c r="R94" i="21"/>
  <c r="R93" i="21"/>
  <c r="R89" i="21"/>
  <c r="R78" i="21"/>
  <c r="R77" i="21"/>
  <c r="R70" i="21"/>
  <c r="R69" i="21"/>
  <c r="R58" i="21"/>
  <c r="R57" i="21"/>
  <c r="R96" i="21"/>
  <c r="R95" i="21"/>
  <c r="R79" i="21"/>
  <c r="R72" i="21"/>
  <c r="R71" i="21"/>
  <c r="R90" i="21"/>
  <c r="R80" i="21"/>
  <c r="R53" i="21"/>
  <c r="R52" i="21"/>
  <c r="R44" i="21"/>
  <c r="R74" i="21"/>
  <c r="R60" i="21"/>
  <c r="R50" i="21"/>
  <c r="R30" i="21"/>
  <c r="R28" i="21"/>
  <c r="R101" i="21"/>
  <c r="R97" i="21"/>
  <c r="R36" i="21"/>
  <c r="R32" i="21"/>
  <c r="P28" i="21"/>
  <c r="R41" i="21"/>
  <c r="R105" i="21"/>
  <c r="R98" i="21"/>
  <c r="R91" i="21"/>
  <c r="R87" i="21"/>
  <c r="R84" i="21"/>
  <c r="R64" i="21"/>
  <c r="R51" i="21"/>
  <c r="R75" i="21"/>
  <c r="R37" i="21"/>
  <c r="R33" i="21"/>
  <c r="R54" i="21"/>
  <c r="R61" i="21"/>
  <c r="R24" i="21"/>
  <c r="R76" i="21"/>
  <c r="R67" i="21"/>
  <c r="R62" i="21"/>
  <c r="R48" i="21"/>
  <c r="R38" i="21"/>
  <c r="R34" i="21"/>
  <c r="R99" i="21"/>
  <c r="R73" i="21"/>
  <c r="R55" i="21"/>
  <c r="R45" i="21"/>
  <c r="R25" i="21"/>
  <c r="R85" i="21"/>
  <c r="R49" i="21"/>
  <c r="X12" i="21"/>
  <c r="R86" i="21"/>
  <c r="R68" i="21"/>
  <c r="R59" i="21"/>
  <c r="R56" i="21"/>
  <c r="R40" i="21"/>
  <c r="R39" i="21"/>
  <c r="R35" i="21"/>
  <c r="N19" i="21"/>
  <c r="L53" i="15"/>
  <c r="X58" i="15"/>
  <c r="Z58" i="15" s="1"/>
  <c r="N60" i="15"/>
  <c r="L65" i="15"/>
  <c r="X70" i="15"/>
  <c r="Z70" i="15" s="1"/>
  <c r="N72" i="15"/>
  <c r="L77" i="15"/>
  <c r="X82" i="15"/>
  <c r="Z82" i="15" s="1"/>
  <c r="L89" i="15"/>
  <c r="N89" i="15" s="1"/>
  <c r="L96" i="15"/>
  <c r="X106" i="15"/>
  <c r="Z106" i="15" s="1"/>
  <c r="Z198" i="15"/>
  <c r="L201" i="15"/>
  <c r="Z209" i="15"/>
  <c r="Z235" i="15"/>
  <c r="Z248" i="15"/>
  <c r="T12" i="18"/>
  <c r="Z14" i="18"/>
  <c r="N58" i="18"/>
  <c r="N60" i="18"/>
  <c r="N62" i="18"/>
  <c r="N66" i="18"/>
  <c r="N68" i="18"/>
  <c r="N72" i="18"/>
  <c r="N74" i="18"/>
  <c r="N76" i="18"/>
  <c r="N84" i="18"/>
  <c r="Z105" i="18"/>
  <c r="Z109" i="18"/>
  <c r="R192" i="18"/>
  <c r="L234" i="18"/>
  <c r="N236" i="18"/>
  <c r="D272" i="18"/>
  <c r="L272" i="18" s="1"/>
  <c r="L274" i="18"/>
  <c r="N274" i="18" s="1"/>
  <c r="L15" i="21"/>
  <c r="N15" i="21" s="1"/>
  <c r="V74" i="21"/>
  <c r="N12" i="18"/>
  <c r="X13" i="18"/>
  <c r="J186" i="18"/>
  <c r="J200" i="18"/>
  <c r="J206" i="18"/>
  <c r="J214" i="18"/>
  <c r="J224" i="18"/>
  <c r="J234" i="18"/>
  <c r="J264" i="18"/>
  <c r="J272" i="18"/>
  <c r="F42" i="21"/>
  <c r="F58" i="21"/>
  <c r="F70" i="21"/>
  <c r="D12" i="24"/>
  <c r="L13" i="24"/>
  <c r="N13" i="24" s="1"/>
  <c r="N28" i="24"/>
  <c r="Z35" i="24"/>
  <c r="Z37" i="24"/>
  <c r="R108" i="27"/>
  <c r="R107" i="27"/>
  <c r="R114" i="27"/>
  <c r="R111" i="27"/>
  <c r="R103" i="27"/>
  <c r="R102" i="27"/>
  <c r="R96" i="27"/>
  <c r="R73" i="27"/>
  <c r="R72" i="27"/>
  <c r="R68" i="27"/>
  <c r="R64" i="27"/>
  <c r="P60" i="27"/>
  <c r="R113" i="27"/>
  <c r="R88" i="27"/>
  <c r="R87" i="27"/>
  <c r="R55" i="27"/>
  <c r="R51" i="27"/>
  <c r="R47" i="27"/>
  <c r="R43" i="27"/>
  <c r="R109" i="27"/>
  <c r="R79" i="27"/>
  <c r="R78" i="27"/>
  <c r="R74" i="27"/>
  <c r="R106" i="27"/>
  <c r="R98" i="27"/>
  <c r="R97" i="27"/>
  <c r="R89" i="27"/>
  <c r="R69" i="27"/>
  <c r="R65" i="27"/>
  <c r="R110" i="27"/>
  <c r="R81" i="27"/>
  <c r="R80" i="27"/>
  <c r="R56" i="27"/>
  <c r="R52" i="27"/>
  <c r="R48" i="27"/>
  <c r="R44" i="27"/>
  <c r="R115" i="27"/>
  <c r="R100" i="27"/>
  <c r="R99" i="27"/>
  <c r="R75" i="27"/>
  <c r="R91" i="27"/>
  <c r="R90" i="27"/>
  <c r="R82" i="27"/>
  <c r="R70" i="27"/>
  <c r="R66" i="27"/>
  <c r="R120" i="27"/>
  <c r="R57" i="27"/>
  <c r="R53" i="27"/>
  <c r="R49" i="27"/>
  <c r="R45" i="27"/>
  <c r="R116" i="27"/>
  <c r="R104" i="27"/>
  <c r="R101" i="27"/>
  <c r="R93" i="27"/>
  <c r="R92" i="27"/>
  <c r="R76" i="27"/>
  <c r="X12" i="27"/>
  <c r="Z12" i="27" s="1"/>
  <c r="R84" i="27"/>
  <c r="R83" i="27"/>
  <c r="R71" i="27"/>
  <c r="R67" i="27"/>
  <c r="R105" i="27"/>
  <c r="R95" i="27"/>
  <c r="R94" i="27"/>
  <c r="R63" i="27"/>
  <c r="R58" i="27"/>
  <c r="R54" i="27"/>
  <c r="R50" i="27"/>
  <c r="R46" i="27"/>
  <c r="R86" i="27"/>
  <c r="Z91" i="27"/>
  <c r="J125" i="18"/>
  <c r="J129" i="18"/>
  <c r="J133" i="18"/>
  <c r="J137" i="18"/>
  <c r="J141" i="18"/>
  <c r="J145" i="18"/>
  <c r="J149" i="18"/>
  <c r="J153" i="18"/>
  <c r="J157" i="18"/>
  <c r="J161" i="18"/>
  <c r="J165" i="18"/>
  <c r="J169" i="18"/>
  <c r="J173" i="18"/>
  <c r="J177" i="18"/>
  <c r="J181" i="18"/>
  <c r="J205" i="18"/>
  <c r="J213" i="18"/>
  <c r="J223" i="18"/>
  <c r="J233" i="18"/>
  <c r="J241" i="18"/>
  <c r="J253" i="18"/>
  <c r="J257" i="18"/>
  <c r="J263" i="18"/>
  <c r="J273" i="18"/>
  <c r="Z22" i="24"/>
  <c r="V116" i="27"/>
  <c r="V110" i="27"/>
  <c r="V115" i="27"/>
  <c r="V109" i="27"/>
  <c r="V120" i="27"/>
  <c r="V108" i="27"/>
  <c r="V87" i="27"/>
  <c r="V79" i="27"/>
  <c r="V55" i="27"/>
  <c r="V51" i="27"/>
  <c r="V47" i="27"/>
  <c r="V43" i="27"/>
  <c r="V98" i="27"/>
  <c r="V78" i="27"/>
  <c r="V74" i="27"/>
  <c r="V114" i="27"/>
  <c r="V106" i="27"/>
  <c r="V97" i="27"/>
  <c r="V89" i="27"/>
  <c r="V81" i="27"/>
  <c r="V69" i="27"/>
  <c r="V65" i="27"/>
  <c r="V103" i="27"/>
  <c r="V100" i="27"/>
  <c r="V80" i="27"/>
  <c r="V56" i="27"/>
  <c r="V52" i="27"/>
  <c r="V48" i="27"/>
  <c r="V44" i="27"/>
  <c r="V99" i="27"/>
  <c r="V91" i="27"/>
  <c r="V75" i="27"/>
  <c r="V90" i="27"/>
  <c r="V82" i="27"/>
  <c r="V70" i="27"/>
  <c r="V66" i="27"/>
  <c r="V93" i="27"/>
  <c r="V57" i="27"/>
  <c r="V53" i="27"/>
  <c r="V49" i="27"/>
  <c r="V45" i="27"/>
  <c r="V104" i="27"/>
  <c r="V101" i="27"/>
  <c r="V92" i="27"/>
  <c r="V84" i="27"/>
  <c r="V76" i="27"/>
  <c r="V111" i="27"/>
  <c r="V107" i="27"/>
  <c r="V105" i="27"/>
  <c r="V95" i="27"/>
  <c r="V83" i="27"/>
  <c r="V71" i="27"/>
  <c r="V67" i="27"/>
  <c r="V63" i="27"/>
  <c r="V94" i="27"/>
  <c r="V86" i="27"/>
  <c r="V62" i="27"/>
  <c r="V58" i="27"/>
  <c r="V54" i="27"/>
  <c r="V50" i="27"/>
  <c r="V46" i="27"/>
  <c r="V42" i="27"/>
  <c r="V85" i="27"/>
  <c r="V77" i="27"/>
  <c r="V73" i="27"/>
  <c r="T60" i="27"/>
  <c r="Z33" i="27"/>
  <c r="R77" i="27"/>
  <c r="Z79" i="27"/>
  <c r="J190" i="18"/>
  <c r="J194" i="18"/>
  <c r="J204" i="18"/>
  <c r="J222" i="18"/>
  <c r="J232" i="18"/>
  <c r="J240" i="18"/>
  <c r="J246" i="18"/>
  <c r="J252" i="18"/>
  <c r="J262" i="18"/>
  <c r="J270" i="18"/>
  <c r="J274" i="18"/>
  <c r="X86" i="21"/>
  <c r="Z86" i="21" s="1"/>
  <c r="F98" i="21"/>
  <c r="R118" i="24"/>
  <c r="R99" i="24"/>
  <c r="R98" i="24"/>
  <c r="R86" i="24"/>
  <c r="R82" i="24"/>
  <c r="R126" i="24"/>
  <c r="R125" i="24"/>
  <c r="R110" i="24"/>
  <c r="R109" i="24"/>
  <c r="R73" i="24"/>
  <c r="R69" i="24"/>
  <c r="R65" i="24"/>
  <c r="R61" i="24"/>
  <c r="R57" i="24"/>
  <c r="R53" i="24"/>
  <c r="R100" i="24"/>
  <c r="R92" i="24"/>
  <c r="R128" i="24"/>
  <c r="R127" i="24"/>
  <c r="R120" i="24"/>
  <c r="R119" i="24"/>
  <c r="R112" i="24"/>
  <c r="R111" i="24"/>
  <c r="R87" i="24"/>
  <c r="R83" i="24"/>
  <c r="R74" i="24"/>
  <c r="R70" i="24"/>
  <c r="R66" i="24"/>
  <c r="R62" i="24"/>
  <c r="R58" i="24"/>
  <c r="R54" i="24"/>
  <c r="R129" i="24"/>
  <c r="R122" i="24"/>
  <c r="R121" i="24"/>
  <c r="R114" i="24"/>
  <c r="R113" i="24"/>
  <c r="R102" i="24"/>
  <c r="R101" i="24"/>
  <c r="R93" i="24"/>
  <c r="R131" i="24"/>
  <c r="R89" i="24"/>
  <c r="R88" i="24"/>
  <c r="R84" i="24"/>
  <c r="R123" i="24"/>
  <c r="R115" i="24"/>
  <c r="R104" i="24"/>
  <c r="R103" i="24"/>
  <c r="R80" i="24"/>
  <c r="R75" i="24"/>
  <c r="R71" i="24"/>
  <c r="R67" i="24"/>
  <c r="R63" i="24"/>
  <c r="R59" i="24"/>
  <c r="R55" i="24"/>
  <c r="R95" i="24"/>
  <c r="R94" i="24"/>
  <c r="R90" i="24"/>
  <c r="R79" i="24"/>
  <c r="R135" i="24"/>
  <c r="R106" i="24"/>
  <c r="R105" i="24"/>
  <c r="R85" i="24"/>
  <c r="R81" i="24"/>
  <c r="P77" i="24"/>
  <c r="R124" i="24"/>
  <c r="R117" i="24"/>
  <c r="R116" i="24"/>
  <c r="R97" i="24"/>
  <c r="R96" i="24"/>
  <c r="R72" i="24"/>
  <c r="R68" i="24"/>
  <c r="R64" i="24"/>
  <c r="R60" i="24"/>
  <c r="R56" i="24"/>
  <c r="Z41" i="24"/>
  <c r="Z48" i="24"/>
  <c r="Z99" i="24"/>
  <c r="X99" i="24"/>
  <c r="V72" i="27"/>
  <c r="Z84" i="27"/>
  <c r="V96" i="27"/>
  <c r="X16" i="18"/>
  <c r="Z16" i="18" s="1"/>
  <c r="X20" i="18"/>
  <c r="Z20" i="18" s="1"/>
  <c r="X24" i="18"/>
  <c r="Z24" i="18" s="1"/>
  <c r="X28" i="18"/>
  <c r="Z28" i="18" s="1"/>
  <c r="X32" i="18"/>
  <c r="X36" i="18"/>
  <c r="Z36" i="18" s="1"/>
  <c r="X40" i="18"/>
  <c r="Z40" i="18" s="1"/>
  <c r="X44" i="18"/>
  <c r="Z44" i="18" s="1"/>
  <c r="X48" i="18"/>
  <c r="Z48" i="18" s="1"/>
  <c r="X52" i="18"/>
  <c r="Z52" i="18" s="1"/>
  <c r="X56" i="18"/>
  <c r="Z56" i="18" s="1"/>
  <c r="X60" i="18"/>
  <c r="Z60" i="18" s="1"/>
  <c r="X64" i="18"/>
  <c r="X68" i="18"/>
  <c r="Z68" i="18" s="1"/>
  <c r="X72" i="18"/>
  <c r="Z72" i="18" s="1"/>
  <c r="X76" i="18"/>
  <c r="X80" i="18"/>
  <c r="Z80" i="18" s="1"/>
  <c r="X84" i="18"/>
  <c r="Z84" i="18" s="1"/>
  <c r="X88" i="18"/>
  <c r="Z88" i="18" s="1"/>
  <c r="X92" i="18"/>
  <c r="Z92" i="18" s="1"/>
  <c r="X96" i="18"/>
  <c r="Z96" i="18" s="1"/>
  <c r="X100" i="18"/>
  <c r="X104" i="18"/>
  <c r="X108" i="18"/>
  <c r="Z108" i="18" s="1"/>
  <c r="X112" i="18"/>
  <c r="X116" i="18"/>
  <c r="Z116" i="18" s="1"/>
  <c r="X120" i="18"/>
  <c r="J199" i="18"/>
  <c r="J203" i="18"/>
  <c r="J221" i="18"/>
  <c r="J231" i="18"/>
  <c r="J239" i="18"/>
  <c r="J251" i="18"/>
  <c r="J269" i="18"/>
  <c r="P272" i="18"/>
  <c r="X272" i="18" s="1"/>
  <c r="J275" i="18"/>
  <c r="L14" i="21"/>
  <c r="L18" i="21"/>
  <c r="L22" i="21"/>
  <c r="D28" i="21"/>
  <c r="N51" i="21"/>
  <c r="F78" i="21"/>
  <c r="F82" i="21"/>
  <c r="Z83" i="21"/>
  <c r="T12" i="24"/>
  <c r="X12" i="24" s="1"/>
  <c r="Z28" i="24"/>
  <c r="Z126" i="24"/>
  <c r="Z105" i="27"/>
  <c r="N116" i="27"/>
  <c r="J128" i="18"/>
  <c r="J132" i="18"/>
  <c r="J136" i="18"/>
  <c r="J140" i="18"/>
  <c r="J144" i="18"/>
  <c r="J148" i="18"/>
  <c r="J152" i="18"/>
  <c r="J156" i="18"/>
  <c r="J160" i="18"/>
  <c r="J164" i="18"/>
  <c r="J168" i="18"/>
  <c r="J172" i="18"/>
  <c r="J176" i="18"/>
  <c r="J180" i="18"/>
  <c r="J212" i="18"/>
  <c r="J220" i="18"/>
  <c r="J230" i="18"/>
  <c r="J256" i="18"/>
  <c r="J268" i="18"/>
  <c r="J276" i="18"/>
  <c r="F28" i="21"/>
  <c r="F30" i="21"/>
  <c r="F44" i="21"/>
  <c r="L66" i="21"/>
  <c r="N66" i="21" s="1"/>
  <c r="F87" i="21"/>
  <c r="F91" i="21"/>
  <c r="F93" i="21"/>
  <c r="X17" i="24"/>
  <c r="Z17" i="24" s="1"/>
  <c r="Z43" i="24"/>
  <c r="R108" i="24"/>
  <c r="Z17" i="27"/>
  <c r="Z37" i="27"/>
  <c r="J211" i="18"/>
  <c r="J219" i="18"/>
  <c r="J229" i="18"/>
  <c r="J245" i="18"/>
  <c r="J261" i="18"/>
  <c r="J277" i="18"/>
  <c r="F89" i="21"/>
  <c r="F95" i="21"/>
  <c r="F101" i="21"/>
  <c r="Z15" i="24"/>
  <c r="J198" i="18"/>
  <c r="J202" i="18"/>
  <c r="J210" i="18"/>
  <c r="J218" i="18"/>
  <c r="J228" i="18"/>
  <c r="J238" i="18"/>
  <c r="J244" i="18"/>
  <c r="J250" i="18"/>
  <c r="J260" i="18"/>
  <c r="J278" i="18"/>
  <c r="F40" i="21"/>
  <c r="F46" i="21"/>
  <c r="X51" i="21"/>
  <c r="Z51" i="21" s="1"/>
  <c r="X62" i="21"/>
  <c r="Z62" i="21" s="1"/>
  <c r="N72" i="21"/>
  <c r="X15" i="24"/>
  <c r="Z19" i="24"/>
  <c r="Z21" i="24"/>
  <c r="X25" i="24"/>
  <c r="Z25" i="24" s="1"/>
  <c r="N89" i="24"/>
  <c r="L89" i="24"/>
  <c r="R91" i="24"/>
  <c r="Z21" i="27"/>
  <c r="Z23" i="27"/>
  <c r="R62" i="27"/>
  <c r="V64" i="27"/>
  <c r="N20" i="30"/>
  <c r="T12" i="30"/>
  <c r="J127" i="18"/>
  <c r="J131" i="18"/>
  <c r="J135" i="18"/>
  <c r="J139" i="18"/>
  <c r="J143" i="18"/>
  <c r="J147" i="18"/>
  <c r="J151" i="18"/>
  <c r="J155" i="18"/>
  <c r="J159" i="18"/>
  <c r="J163" i="18"/>
  <c r="J167" i="18"/>
  <c r="J171" i="18"/>
  <c r="J175" i="18"/>
  <c r="J179" i="18"/>
  <c r="J209" i="18"/>
  <c r="J217" i="18"/>
  <c r="J227" i="18"/>
  <c r="J243" i="18"/>
  <c r="J249" i="18"/>
  <c r="J255" i="18"/>
  <c r="J259" i="18"/>
  <c r="J267" i="18"/>
  <c r="J279" i="18"/>
  <c r="F97" i="21"/>
  <c r="F96" i="21"/>
  <c r="F85" i="21"/>
  <c r="F73" i="21"/>
  <c r="F72" i="21"/>
  <c r="F61" i="21"/>
  <c r="F60" i="21"/>
  <c r="F80" i="21"/>
  <c r="F52" i="21"/>
  <c r="F51" i="21"/>
  <c r="F74" i="21"/>
  <c r="F54" i="21"/>
  <c r="F53" i="21"/>
  <c r="F81" i="21"/>
  <c r="F65" i="21"/>
  <c r="F64" i="21"/>
  <c r="F45" i="21"/>
  <c r="F41" i="21"/>
  <c r="F105" i="21"/>
  <c r="F75" i="21"/>
  <c r="F67" i="21"/>
  <c r="F66" i="21"/>
  <c r="F84" i="21"/>
  <c r="F83" i="21"/>
  <c r="F48" i="21"/>
  <c r="F47" i="21"/>
  <c r="N13" i="21"/>
  <c r="F26" i="21"/>
  <c r="F56" i="21"/>
  <c r="X72" i="21"/>
  <c r="F86" i="21"/>
  <c r="Z23" i="24"/>
  <c r="X29" i="24"/>
  <c r="Z29" i="24" s="1"/>
  <c r="Z47" i="24"/>
  <c r="J188" i="18"/>
  <c r="J192" i="18"/>
  <c r="J208" i="18"/>
  <c r="J216" i="18"/>
  <c r="J226" i="18"/>
  <c r="J248" i="18"/>
  <c r="J280" i="18"/>
  <c r="F35" i="21"/>
  <c r="F39" i="21"/>
  <c r="F43" i="21"/>
  <c r="F49" i="21"/>
  <c r="N56" i="21"/>
  <c r="F63" i="21"/>
  <c r="F68" i="21"/>
  <c r="F71" i="21"/>
  <c r="F77" i="21"/>
  <c r="Z34" i="27"/>
  <c r="X14" i="18"/>
  <c r="X18" i="18"/>
  <c r="Z18" i="18" s="1"/>
  <c r="X22" i="18"/>
  <c r="Z22" i="18" s="1"/>
  <c r="X26" i="18"/>
  <c r="Z26" i="18" s="1"/>
  <c r="X30" i="18"/>
  <c r="Z30" i="18" s="1"/>
  <c r="X34" i="18"/>
  <c r="Z34" i="18" s="1"/>
  <c r="X38" i="18"/>
  <c r="Z38" i="18" s="1"/>
  <c r="X42" i="18"/>
  <c r="Z42" i="18" s="1"/>
  <c r="X46" i="18"/>
  <c r="Z46" i="18" s="1"/>
  <c r="X50" i="18"/>
  <c r="Z50" i="18" s="1"/>
  <c r="X54" i="18"/>
  <c r="Z54" i="18" s="1"/>
  <c r="X58" i="18"/>
  <c r="Z58" i="18" s="1"/>
  <c r="X62" i="18"/>
  <c r="Z62" i="18" s="1"/>
  <c r="X66" i="18"/>
  <c r="Z66" i="18" s="1"/>
  <c r="X70" i="18"/>
  <c r="Z70" i="18" s="1"/>
  <c r="X74" i="18"/>
  <c r="Z74" i="18" s="1"/>
  <c r="X78" i="18"/>
  <c r="Z78" i="18" s="1"/>
  <c r="X82" i="18"/>
  <c r="Z82" i="18" s="1"/>
  <c r="X86" i="18"/>
  <c r="Z86" i="18" s="1"/>
  <c r="X90" i="18"/>
  <c r="Z90" i="18" s="1"/>
  <c r="X94" i="18"/>
  <c r="Z94" i="18" s="1"/>
  <c r="X98" i="18"/>
  <c r="Z98" i="18" s="1"/>
  <c r="X102" i="18"/>
  <c r="Z102" i="18" s="1"/>
  <c r="X106" i="18"/>
  <c r="X110" i="18"/>
  <c r="Z110" i="18" s="1"/>
  <c r="X114" i="18"/>
  <c r="Z114" i="18" s="1"/>
  <c r="X118" i="18"/>
  <c r="X122" i="18"/>
  <c r="J197" i="18"/>
  <c r="J201" i="18"/>
  <c r="J225" i="18"/>
  <c r="J237" i="18"/>
  <c r="J281" i="18"/>
  <c r="J287" i="18"/>
  <c r="F59" i="21"/>
  <c r="X60" i="21"/>
  <c r="Z60" i="21" s="1"/>
  <c r="R52" i="24"/>
  <c r="R107" i="24"/>
  <c r="D12" i="27"/>
  <c r="Z27" i="27"/>
  <c r="Z73" i="27"/>
  <c r="L91" i="27"/>
  <c r="N91" i="27" s="1"/>
  <c r="N93" i="27"/>
  <c r="J126" i="18"/>
  <c r="J130" i="18"/>
  <c r="J134" i="18"/>
  <c r="J138" i="18"/>
  <c r="J142" i="18"/>
  <c r="J146" i="18"/>
  <c r="J150" i="18"/>
  <c r="J154" i="18"/>
  <c r="J158" i="18"/>
  <c r="J162" i="18"/>
  <c r="J166" i="18"/>
  <c r="J170" i="18"/>
  <c r="J174" i="18"/>
  <c r="J178" i="18"/>
  <c r="H183" i="18"/>
  <c r="J196" i="18"/>
  <c r="J236" i="18"/>
  <c r="J242" i="18"/>
  <c r="J254" i="18"/>
  <c r="J258" i="18"/>
  <c r="J266" i="18"/>
  <c r="F24" i="21"/>
  <c r="F25" i="21"/>
  <c r="F55" i="21"/>
  <c r="L56" i="21"/>
  <c r="F62" i="21"/>
  <c r="Z66" i="21"/>
  <c r="L68" i="21"/>
  <c r="N68" i="21" s="1"/>
  <c r="F90" i="21"/>
  <c r="F92" i="21"/>
  <c r="F94" i="21"/>
  <c r="Z14" i="24"/>
  <c r="N20" i="24"/>
  <c r="Z31" i="24"/>
  <c r="Z33" i="24"/>
  <c r="V68" i="27"/>
  <c r="N98" i="27"/>
  <c r="V102" i="27"/>
  <c r="J55" i="24"/>
  <c r="J59" i="24"/>
  <c r="J63" i="24"/>
  <c r="J67" i="24"/>
  <c r="J71" i="24"/>
  <c r="J75" i="24"/>
  <c r="J89" i="24"/>
  <c r="J103" i="24"/>
  <c r="J115" i="24"/>
  <c r="J123" i="24"/>
  <c r="J131" i="24"/>
  <c r="Z13" i="27"/>
  <c r="J45" i="27"/>
  <c r="J49" i="27"/>
  <c r="J53" i="27"/>
  <c r="J57" i="27"/>
  <c r="J91" i="27"/>
  <c r="J107" i="27"/>
  <c r="X20" i="30"/>
  <c r="X22" i="30"/>
  <c r="Z24" i="30"/>
  <c r="Z37" i="30"/>
  <c r="N139" i="30"/>
  <c r="Z54" i="33"/>
  <c r="V82" i="36"/>
  <c r="V70" i="36"/>
  <c r="V50" i="36"/>
  <c r="V46" i="36"/>
  <c r="V93" i="36"/>
  <c r="V89" i="36"/>
  <c r="V81" i="36"/>
  <c r="V61" i="36"/>
  <c r="V53" i="36"/>
  <c r="V41" i="36"/>
  <c r="V37" i="36"/>
  <c r="V33" i="36"/>
  <c r="V112" i="36"/>
  <c r="V104" i="36"/>
  <c r="V100" i="36"/>
  <c r="V88" i="36"/>
  <c r="V72" i="36"/>
  <c r="V60" i="36"/>
  <c r="V52" i="36"/>
  <c r="V32" i="36"/>
  <c r="V28" i="36"/>
  <c r="V120" i="36"/>
  <c r="V114" i="36"/>
  <c r="V106" i="36"/>
  <c r="V94" i="36"/>
  <c r="V90" i="36"/>
  <c r="V74" i="36"/>
  <c r="V62" i="36"/>
  <c r="V54" i="36"/>
  <c r="V42" i="36"/>
  <c r="V38" i="36"/>
  <c r="V34" i="36"/>
  <c r="V119" i="36"/>
  <c r="V113" i="36"/>
  <c r="V105" i="36"/>
  <c r="V101" i="36"/>
  <c r="V97" i="36"/>
  <c r="V73" i="36"/>
  <c r="V65" i="36"/>
  <c r="V57" i="36"/>
  <c r="V118" i="36"/>
  <c r="V108" i="36"/>
  <c r="V96" i="36"/>
  <c r="V84" i="36"/>
  <c r="V76" i="36"/>
  <c r="V64" i="36"/>
  <c r="V56" i="36"/>
  <c r="V48" i="36"/>
  <c r="V44" i="36"/>
  <c r="V117" i="36"/>
  <c r="V115" i="36"/>
  <c r="V107" i="36"/>
  <c r="V91" i="36"/>
  <c r="V75" i="36"/>
  <c r="V67" i="36"/>
  <c r="V39" i="36"/>
  <c r="V35" i="36"/>
  <c r="V124" i="36"/>
  <c r="V110" i="36"/>
  <c r="V102" i="36"/>
  <c r="V98" i="36"/>
  <c r="V86" i="36"/>
  <c r="V109" i="36"/>
  <c r="V85" i="36"/>
  <c r="V77" i="36"/>
  <c r="V69" i="36"/>
  <c r="V49" i="36"/>
  <c r="V45" i="36"/>
  <c r="V92" i="36"/>
  <c r="V80" i="36"/>
  <c r="V68" i="36"/>
  <c r="V40" i="36"/>
  <c r="V36" i="36"/>
  <c r="V111" i="36"/>
  <c r="V103" i="36"/>
  <c r="V99" i="36"/>
  <c r="V87" i="36"/>
  <c r="V79" i="36"/>
  <c r="V59" i="36"/>
  <c r="V51" i="36"/>
  <c r="V27" i="36"/>
  <c r="V83" i="36"/>
  <c r="V78" i="36"/>
  <c r="V55" i="36"/>
  <c r="T30" i="36"/>
  <c r="V30" i="36" s="1"/>
  <c r="V26" i="36"/>
  <c r="V63" i="36"/>
  <c r="V95" i="36"/>
  <c r="V71" i="36"/>
  <c r="V47" i="36"/>
  <c r="V58" i="36"/>
  <c r="V43" i="36"/>
  <c r="V66" i="36"/>
  <c r="J84" i="24"/>
  <c r="J88" i="24"/>
  <c r="J102" i="24"/>
  <c r="J114" i="24"/>
  <c r="J122" i="24"/>
  <c r="J66" i="27"/>
  <c r="J70" i="27"/>
  <c r="J82" i="27"/>
  <c r="J90" i="27"/>
  <c r="J100" i="27"/>
  <c r="J115" i="27"/>
  <c r="J120" i="27"/>
  <c r="X14" i="30"/>
  <c r="Z14" i="30" s="1"/>
  <c r="X16" i="30"/>
  <c r="X18" i="30"/>
  <c r="Z20" i="30"/>
  <c r="Z22" i="30"/>
  <c r="X14" i="24"/>
  <c r="X18" i="24"/>
  <c r="Z18" i="24" s="1"/>
  <c r="X22" i="24"/>
  <c r="X26" i="24"/>
  <c r="Z26" i="24" s="1"/>
  <c r="X30" i="24"/>
  <c r="Z30" i="24" s="1"/>
  <c r="J93" i="24"/>
  <c r="J101" i="24"/>
  <c r="J113" i="24"/>
  <c r="J121" i="24"/>
  <c r="J129" i="24"/>
  <c r="J75" i="27"/>
  <c r="J81" i="27"/>
  <c r="J99" i="27"/>
  <c r="H113" i="27"/>
  <c r="L113" i="27" s="1"/>
  <c r="Z16" i="30"/>
  <c r="Z18" i="30"/>
  <c r="Z114" i="30"/>
  <c r="J54" i="24"/>
  <c r="J58" i="24"/>
  <c r="J62" i="24"/>
  <c r="J66" i="24"/>
  <c r="J70" i="24"/>
  <c r="J74" i="24"/>
  <c r="J112" i="24"/>
  <c r="J120" i="24"/>
  <c r="J128" i="24"/>
  <c r="J44" i="27"/>
  <c r="J48" i="27"/>
  <c r="J52" i="27"/>
  <c r="J56" i="27"/>
  <c r="J80" i="27"/>
  <c r="J98" i="27"/>
  <c r="J110" i="27"/>
  <c r="J114" i="27"/>
  <c r="Z71" i="30"/>
  <c r="Z92" i="30"/>
  <c r="J119" i="24"/>
  <c r="J127" i="24"/>
  <c r="J65" i="27"/>
  <c r="J69" i="27"/>
  <c r="J79" i="27"/>
  <c r="X84" i="27"/>
  <c r="J89" i="27"/>
  <c r="J97" i="27"/>
  <c r="L98" i="27"/>
  <c r="J103" i="27"/>
  <c r="L110" i="27"/>
  <c r="L114" i="27"/>
  <c r="X116" i="27"/>
  <c r="Z116" i="27" s="1"/>
  <c r="Z29" i="30"/>
  <c r="Z40" i="30"/>
  <c r="X13" i="24"/>
  <c r="Z13" i="24" s="1"/>
  <c r="J92" i="24"/>
  <c r="J100" i="24"/>
  <c r="J110" i="24"/>
  <c r="J126" i="24"/>
  <c r="J74" i="27"/>
  <c r="J78" i="27"/>
  <c r="J88" i="27"/>
  <c r="J109" i="27"/>
  <c r="J113" i="27"/>
  <c r="N114" i="27"/>
  <c r="Z27" i="30"/>
  <c r="Z38" i="30"/>
  <c r="N88" i="30"/>
  <c r="Z112" i="30"/>
  <c r="N21" i="33"/>
  <c r="J53" i="24"/>
  <c r="J57" i="24"/>
  <c r="J61" i="24"/>
  <c r="J65" i="24"/>
  <c r="J69" i="24"/>
  <c r="J73" i="24"/>
  <c r="J99" i="24"/>
  <c r="J109" i="24"/>
  <c r="J125" i="24"/>
  <c r="J43" i="27"/>
  <c r="J47" i="27"/>
  <c r="J51" i="27"/>
  <c r="J55" i="27"/>
  <c r="H60" i="27"/>
  <c r="J73" i="27"/>
  <c r="J87" i="27"/>
  <c r="Z100" i="27"/>
  <c r="X114" i="27"/>
  <c r="Z114" i="27" s="1"/>
  <c r="Z25" i="30"/>
  <c r="X34" i="30"/>
  <c r="Z34" i="30" s="1"/>
  <c r="Z36" i="30"/>
  <c r="J82" i="24"/>
  <c r="J86" i="24"/>
  <c r="J98" i="24"/>
  <c r="J108" i="24"/>
  <c r="J118" i="24"/>
  <c r="J42" i="27"/>
  <c r="J60" i="27"/>
  <c r="J62" i="27"/>
  <c r="J64" i="27"/>
  <c r="J68" i="27"/>
  <c r="J72" i="27"/>
  <c r="J86" i="27"/>
  <c r="X91" i="27"/>
  <c r="J96" i="27"/>
  <c r="T113" i="27"/>
  <c r="V113" i="27" s="1"/>
  <c r="R142" i="30"/>
  <c r="R141" i="30"/>
  <c r="R133" i="30"/>
  <c r="R129" i="30"/>
  <c r="R106" i="30"/>
  <c r="R105" i="30"/>
  <c r="R77" i="30"/>
  <c r="R73" i="30"/>
  <c r="P69" i="30"/>
  <c r="R69" i="30" s="1"/>
  <c r="R116" i="30"/>
  <c r="R97" i="30"/>
  <c r="R96" i="30"/>
  <c r="R64" i="30"/>
  <c r="R60" i="30"/>
  <c r="R56" i="30"/>
  <c r="R52" i="30"/>
  <c r="R48" i="30"/>
  <c r="R146" i="30"/>
  <c r="R143" i="30"/>
  <c r="R123" i="30"/>
  <c r="R108" i="30"/>
  <c r="R107" i="30"/>
  <c r="R88" i="30"/>
  <c r="R87" i="30"/>
  <c r="R83" i="30"/>
  <c r="R44" i="30"/>
  <c r="R145" i="30"/>
  <c r="R135" i="30"/>
  <c r="R134" i="30"/>
  <c r="R130" i="30"/>
  <c r="R99" i="30"/>
  <c r="R98" i="30"/>
  <c r="R78" i="30"/>
  <c r="R74" i="30"/>
  <c r="R118" i="30"/>
  <c r="R117" i="30"/>
  <c r="R110" i="30"/>
  <c r="R109" i="30"/>
  <c r="R90" i="30"/>
  <c r="R89" i="30"/>
  <c r="R65" i="30"/>
  <c r="R61" i="30"/>
  <c r="R57" i="30"/>
  <c r="R53" i="30"/>
  <c r="R49" i="30"/>
  <c r="R45" i="30"/>
  <c r="R150" i="30"/>
  <c r="R137" i="30"/>
  <c r="R136" i="30"/>
  <c r="R125" i="30"/>
  <c r="R124" i="30"/>
  <c r="R101" i="30"/>
  <c r="R100" i="30"/>
  <c r="R84" i="30"/>
  <c r="X12" i="30"/>
  <c r="R131" i="30"/>
  <c r="R119" i="30"/>
  <c r="R112" i="30"/>
  <c r="R111" i="30"/>
  <c r="R92" i="30"/>
  <c r="R91" i="30"/>
  <c r="R79" i="30"/>
  <c r="R75" i="30"/>
  <c r="R139" i="30"/>
  <c r="R138" i="30"/>
  <c r="R126" i="30"/>
  <c r="R102" i="30"/>
  <c r="R66" i="30"/>
  <c r="R62" i="30"/>
  <c r="R58" i="30"/>
  <c r="R54" i="30"/>
  <c r="R50" i="30"/>
  <c r="R46" i="30"/>
  <c r="R114" i="30"/>
  <c r="R113" i="30"/>
  <c r="R94" i="30"/>
  <c r="R93" i="30"/>
  <c r="R85" i="30"/>
  <c r="R140" i="30"/>
  <c r="R132" i="30"/>
  <c r="R121" i="30"/>
  <c r="R120" i="30"/>
  <c r="R81" i="30"/>
  <c r="R80" i="30"/>
  <c r="R76" i="30"/>
  <c r="R128" i="30"/>
  <c r="R127" i="30"/>
  <c r="R115" i="30"/>
  <c r="R104" i="30"/>
  <c r="R103" i="30"/>
  <c r="R95" i="30"/>
  <c r="R72" i="30"/>
  <c r="R67" i="30"/>
  <c r="R63" i="30"/>
  <c r="R59" i="30"/>
  <c r="R55" i="30"/>
  <c r="R51" i="30"/>
  <c r="R47" i="30"/>
  <c r="R122" i="30"/>
  <c r="R86" i="30"/>
  <c r="R82" i="30"/>
  <c r="R71" i="30"/>
  <c r="N30" i="30"/>
  <c r="X32" i="30"/>
  <c r="X16" i="24"/>
  <c r="Z16" i="24" s="1"/>
  <c r="X20" i="24"/>
  <c r="Z20" i="24" s="1"/>
  <c r="X24" i="24"/>
  <c r="Z24" i="24" s="1"/>
  <c r="X28" i="24"/>
  <c r="X32" i="24"/>
  <c r="Z32" i="24" s="1"/>
  <c r="X36" i="24"/>
  <c r="Z36" i="24" s="1"/>
  <c r="X40" i="24"/>
  <c r="Z40" i="24" s="1"/>
  <c r="X44" i="24"/>
  <c r="Z44" i="24" s="1"/>
  <c r="X48" i="24"/>
  <c r="J91" i="24"/>
  <c r="J97" i="24"/>
  <c r="J107" i="24"/>
  <c r="J117" i="24"/>
  <c r="X14" i="27"/>
  <c r="Z14" i="27" s="1"/>
  <c r="X18" i="27"/>
  <c r="X22" i="27"/>
  <c r="Z22" i="27" s="1"/>
  <c r="X26" i="27"/>
  <c r="Z26" i="27" s="1"/>
  <c r="X30" i="27"/>
  <c r="Z30" i="27" s="1"/>
  <c r="X34" i="27"/>
  <c r="J63" i="27"/>
  <c r="J77" i="27"/>
  <c r="J85" i="27"/>
  <c r="J95" i="27"/>
  <c r="X30" i="30"/>
  <c r="Z30" i="30" s="1"/>
  <c r="Z32" i="30"/>
  <c r="J56" i="24"/>
  <c r="J60" i="24"/>
  <c r="J64" i="24"/>
  <c r="J68" i="24"/>
  <c r="J72" i="24"/>
  <c r="H77" i="24"/>
  <c r="J96" i="24"/>
  <c r="J106" i="24"/>
  <c r="J116" i="24"/>
  <c r="J124" i="24"/>
  <c r="J106" i="27"/>
  <c r="J108" i="27"/>
  <c r="J102" i="27"/>
  <c r="J116" i="27"/>
  <c r="J46" i="27"/>
  <c r="J50" i="27"/>
  <c r="J54" i="27"/>
  <c r="J58" i="27"/>
  <c r="J84" i="27"/>
  <c r="J94" i="27"/>
  <c r="N26" i="30"/>
  <c r="N106" i="30"/>
  <c r="J105" i="24"/>
  <c r="J67" i="27"/>
  <c r="J71" i="27"/>
  <c r="J83" i="27"/>
  <c r="J93" i="27"/>
  <c r="F113" i="30"/>
  <c r="F112" i="30"/>
  <c r="F93" i="30"/>
  <c r="F92" i="30"/>
  <c r="F85" i="30"/>
  <c r="F140" i="30"/>
  <c r="F139" i="30"/>
  <c r="F132" i="30"/>
  <c r="F120" i="30"/>
  <c r="F80" i="30"/>
  <c r="F76" i="30"/>
  <c r="F127" i="30"/>
  <c r="F115" i="30"/>
  <c r="F114" i="30"/>
  <c r="F103" i="30"/>
  <c r="F95" i="30"/>
  <c r="F94" i="30"/>
  <c r="F67" i="30"/>
  <c r="F63" i="30"/>
  <c r="F59" i="30"/>
  <c r="F55" i="30"/>
  <c r="F51" i="30"/>
  <c r="F47" i="30"/>
  <c r="F122" i="30"/>
  <c r="F121" i="30"/>
  <c r="F86" i="30"/>
  <c r="F82" i="30"/>
  <c r="F81" i="30"/>
  <c r="F141" i="30"/>
  <c r="F133" i="30"/>
  <c r="F129" i="30"/>
  <c r="F128" i="30"/>
  <c r="F105" i="30"/>
  <c r="F104" i="30"/>
  <c r="F77" i="30"/>
  <c r="F73" i="30"/>
  <c r="F72" i="30"/>
  <c r="F116" i="30"/>
  <c r="F96" i="30"/>
  <c r="F71" i="30"/>
  <c r="F69" i="30"/>
  <c r="F64" i="30"/>
  <c r="F60" i="30"/>
  <c r="F56" i="30"/>
  <c r="F52" i="30"/>
  <c r="F48" i="30"/>
  <c r="F143" i="30"/>
  <c r="F142" i="30"/>
  <c r="F123" i="30"/>
  <c r="F107" i="30"/>
  <c r="F106" i="30"/>
  <c r="F87" i="30"/>
  <c r="F83" i="30"/>
  <c r="D69" i="30"/>
  <c r="F134" i="30"/>
  <c r="F130" i="30"/>
  <c r="F98" i="30"/>
  <c r="F97" i="30"/>
  <c r="F78" i="30"/>
  <c r="F74" i="30"/>
  <c r="F146" i="30"/>
  <c r="F117" i="30"/>
  <c r="F109" i="30"/>
  <c r="F108" i="30"/>
  <c r="F89" i="30"/>
  <c r="F88" i="30"/>
  <c r="F65" i="30"/>
  <c r="F61" i="30"/>
  <c r="F57" i="30"/>
  <c r="F53" i="30"/>
  <c r="F49" i="30"/>
  <c r="F45" i="30"/>
  <c r="F44" i="30"/>
  <c r="F150" i="30"/>
  <c r="F136" i="30"/>
  <c r="F135" i="30"/>
  <c r="F124" i="30"/>
  <c r="F100" i="30"/>
  <c r="F99" i="30"/>
  <c r="F84" i="30"/>
  <c r="L12" i="30"/>
  <c r="F131" i="30"/>
  <c r="F119" i="30"/>
  <c r="F118" i="30"/>
  <c r="F111" i="30"/>
  <c r="F110" i="30"/>
  <c r="F91" i="30"/>
  <c r="F90" i="30"/>
  <c r="F79" i="30"/>
  <c r="F75" i="30"/>
  <c r="F138" i="30"/>
  <c r="F137" i="30"/>
  <c r="F126" i="30"/>
  <c r="F125" i="30"/>
  <c r="F102" i="30"/>
  <c r="F101" i="30"/>
  <c r="F66" i="30"/>
  <c r="F62" i="30"/>
  <c r="F58" i="30"/>
  <c r="F54" i="30"/>
  <c r="F50" i="30"/>
  <c r="F46" i="30"/>
  <c r="X26" i="30"/>
  <c r="Z26" i="30" s="1"/>
  <c r="Z28" i="30"/>
  <c r="N35" i="30"/>
  <c r="Z41" i="30"/>
  <c r="Z145" i="30"/>
  <c r="F93" i="33"/>
  <c r="F88" i="33"/>
  <c r="F79" i="33"/>
  <c r="F78" i="33"/>
  <c r="F87" i="33"/>
  <c r="F74" i="33"/>
  <c r="F66" i="33"/>
  <c r="F65" i="33"/>
  <c r="F86" i="33"/>
  <c r="F81" i="33"/>
  <c r="F80" i="33"/>
  <c r="F84" i="33"/>
  <c r="F75" i="33"/>
  <c r="F69" i="33"/>
  <c r="F61" i="33"/>
  <c r="F60" i="33"/>
  <c r="F76" i="33"/>
  <c r="F89" i="33"/>
  <c r="F64" i="33"/>
  <c r="F63" i="33"/>
  <c r="F48" i="33"/>
  <c r="F44" i="33"/>
  <c r="F55" i="33"/>
  <c r="F54" i="33"/>
  <c r="F35" i="33"/>
  <c r="F31" i="33"/>
  <c r="F30" i="33"/>
  <c r="F50" i="33"/>
  <c r="F49" i="33"/>
  <c r="F56" i="33"/>
  <c r="F45" i="33"/>
  <c r="F41" i="33"/>
  <c r="F40" i="33"/>
  <c r="F72" i="33"/>
  <c r="F57" i="33"/>
  <c r="F39" i="33"/>
  <c r="F32" i="33"/>
  <c r="F85" i="33"/>
  <c r="F51" i="33"/>
  <c r="D37" i="33"/>
  <c r="F67" i="33"/>
  <c r="F46" i="33"/>
  <c r="F42" i="33"/>
  <c r="F70" i="33"/>
  <c r="F33" i="33"/>
  <c r="F77" i="33"/>
  <c r="F58" i="33"/>
  <c r="F52" i="33"/>
  <c r="L12" i="33"/>
  <c r="N12" i="33" s="1"/>
  <c r="F73" i="33"/>
  <c r="F62" i="33"/>
  <c r="F47" i="33"/>
  <c r="F43" i="33"/>
  <c r="F34" i="33"/>
  <c r="F71" i="33"/>
  <c r="F68" i="33"/>
  <c r="F59" i="33"/>
  <c r="F53" i="33"/>
  <c r="X146" i="30"/>
  <c r="Z146" i="30" s="1"/>
  <c r="L13" i="33"/>
  <c r="V32" i="33"/>
  <c r="P37" i="33"/>
  <c r="R37" i="33" s="1"/>
  <c r="R41" i="33"/>
  <c r="R45" i="33"/>
  <c r="R66" i="33"/>
  <c r="V72" i="33"/>
  <c r="R74" i="33"/>
  <c r="R81" i="33"/>
  <c r="X84" i="33"/>
  <c r="P12" i="36"/>
  <c r="N89" i="36"/>
  <c r="Z63" i="39"/>
  <c r="H12" i="30"/>
  <c r="X97" i="30"/>
  <c r="Z97" i="30" s="1"/>
  <c r="D145" i="30"/>
  <c r="L145" i="30" s="1"/>
  <c r="N13" i="33"/>
  <c r="R39" i="33"/>
  <c r="V41" i="33"/>
  <c r="V45" i="33"/>
  <c r="R50" i="33"/>
  <c r="V66" i="33"/>
  <c r="V74" i="33"/>
  <c r="V81" i="33"/>
  <c r="R84" i="33"/>
  <c r="X72" i="36"/>
  <c r="Z72" i="36" s="1"/>
  <c r="F92" i="36"/>
  <c r="L20" i="30"/>
  <c r="L24" i="30"/>
  <c r="L28" i="30"/>
  <c r="N28" i="30" s="1"/>
  <c r="L32" i="30"/>
  <c r="L36" i="30"/>
  <c r="N36" i="30" s="1"/>
  <c r="L40" i="30"/>
  <c r="N40" i="30" s="1"/>
  <c r="R31" i="33"/>
  <c r="R35" i="33"/>
  <c r="T37" i="33"/>
  <c r="R40" i="33"/>
  <c r="V50" i="33"/>
  <c r="R55" i="33"/>
  <c r="R56" i="33"/>
  <c r="L58" i="33"/>
  <c r="N58" i="33" s="1"/>
  <c r="R60" i="33"/>
  <c r="Z84" i="33"/>
  <c r="R93" i="33"/>
  <c r="F103" i="39"/>
  <c r="F102" i="39"/>
  <c r="F91" i="39"/>
  <c r="F121" i="39"/>
  <c r="F113" i="39"/>
  <c r="F109" i="39"/>
  <c r="F104" i="39"/>
  <c r="F92" i="39"/>
  <c r="F84" i="39"/>
  <c r="F83" i="39"/>
  <c r="F76" i="39"/>
  <c r="F75" i="39"/>
  <c r="F56" i="39"/>
  <c r="F52" i="39"/>
  <c r="F128" i="39"/>
  <c r="F123" i="39"/>
  <c r="F122" i="39"/>
  <c r="F115" i="39"/>
  <c r="F114" i="39"/>
  <c r="F99" i="39"/>
  <c r="F132" i="39"/>
  <c r="F127" i="39"/>
  <c r="F110" i="39"/>
  <c r="F106" i="39"/>
  <c r="F105" i="39"/>
  <c r="F94" i="39"/>
  <c r="F93" i="39"/>
  <c r="F86" i="39"/>
  <c r="F85" i="39"/>
  <c r="F66" i="39"/>
  <c r="F58" i="39"/>
  <c r="F57" i="39"/>
  <c r="F34" i="39"/>
  <c r="F126" i="39"/>
  <c r="F117" i="39"/>
  <c r="F116" i="39"/>
  <c r="F77" i="39"/>
  <c r="F119" i="39"/>
  <c r="F118" i="39"/>
  <c r="F111" i="39"/>
  <c r="F107" i="39"/>
  <c r="F101" i="39"/>
  <c r="F97" i="39"/>
  <c r="F96" i="39"/>
  <c r="F120" i="39"/>
  <c r="F112" i="39"/>
  <c r="F108" i="39"/>
  <c r="F80" i="39"/>
  <c r="F72" i="39"/>
  <c r="F71" i="39"/>
  <c r="F64" i="39"/>
  <c r="F63" i="39"/>
  <c r="F78" i="39"/>
  <c r="F68" i="39"/>
  <c r="F33" i="39"/>
  <c r="L12" i="39"/>
  <c r="F88" i="39"/>
  <c r="F43" i="39"/>
  <c r="F40" i="39"/>
  <c r="F74" i="39"/>
  <c r="F60" i="39"/>
  <c r="F54" i="39"/>
  <c r="F49" i="39"/>
  <c r="F95" i="39"/>
  <c r="F81" i="39"/>
  <c r="F46" i="39"/>
  <c r="F125" i="39"/>
  <c r="F79" i="39"/>
  <c r="F69" i="39"/>
  <c r="F50" i="39"/>
  <c r="F41" i="39"/>
  <c r="F89" i="39"/>
  <c r="F61" i="39"/>
  <c r="F55" i="39"/>
  <c r="F47" i="39"/>
  <c r="F44" i="39"/>
  <c r="F36" i="39"/>
  <c r="F87" i="39"/>
  <c r="F82" i="39"/>
  <c r="F67" i="39"/>
  <c r="F53" i="39"/>
  <c r="D36" i="39"/>
  <c r="F98" i="39"/>
  <c r="F51" i="39"/>
  <c r="F38" i="39"/>
  <c r="F73" i="39"/>
  <c r="F70" i="39"/>
  <c r="F62" i="39"/>
  <c r="F59" i="39"/>
  <c r="F45" i="39"/>
  <c r="F42" i="39"/>
  <c r="F39" i="39"/>
  <c r="F100" i="39"/>
  <c r="F90" i="39"/>
  <c r="F65" i="39"/>
  <c r="F48" i="39"/>
  <c r="F32" i="39"/>
  <c r="X13" i="30"/>
  <c r="Z13" i="30" s="1"/>
  <c r="H145" i="30"/>
  <c r="N145" i="30" s="1"/>
  <c r="V31" i="33"/>
  <c r="V35" i="33"/>
  <c r="V37" i="33"/>
  <c r="V39" i="33"/>
  <c r="R44" i="33"/>
  <c r="R48" i="33"/>
  <c r="R49" i="33"/>
  <c r="V55" i="33"/>
  <c r="R59" i="33"/>
  <c r="R63" i="33"/>
  <c r="V71" i="33"/>
  <c r="V84" i="33"/>
  <c r="Z16" i="36"/>
  <c r="X20" i="36"/>
  <c r="Z20" i="36" s="1"/>
  <c r="X32" i="36"/>
  <c r="J98" i="39"/>
  <c r="J82" i="39"/>
  <c r="J74" i="39"/>
  <c r="J128" i="39"/>
  <c r="J122" i="39"/>
  <c r="J114" i="39"/>
  <c r="J104" i="39"/>
  <c r="J127" i="39"/>
  <c r="J123" i="39"/>
  <c r="J115" i="39"/>
  <c r="J105" i="39"/>
  <c r="J99" i="39"/>
  <c r="J93" i="39"/>
  <c r="J85" i="39"/>
  <c r="J57" i="39"/>
  <c r="J47" i="39"/>
  <c r="J43" i="39"/>
  <c r="J132" i="39"/>
  <c r="J126" i="39"/>
  <c r="J116" i="39"/>
  <c r="J110" i="39"/>
  <c r="J106" i="39"/>
  <c r="J94" i="39"/>
  <c r="J86" i="39"/>
  <c r="J125" i="39"/>
  <c r="J117" i="39"/>
  <c r="J87" i="39"/>
  <c r="J77" i="39"/>
  <c r="J67" i="39"/>
  <c r="J59" i="39"/>
  <c r="J53" i="39"/>
  <c r="J39" i="39"/>
  <c r="J118" i="39"/>
  <c r="J100" i="39"/>
  <c r="J88" i="39"/>
  <c r="J78" i="39"/>
  <c r="J68" i="39"/>
  <c r="J60" i="39"/>
  <c r="J101" i="39"/>
  <c r="J97" i="39"/>
  <c r="J120" i="39"/>
  <c r="J112" i="39"/>
  <c r="J108" i="39"/>
  <c r="J102" i="39"/>
  <c r="J80" i="39"/>
  <c r="J72" i="39"/>
  <c r="J64" i="39"/>
  <c r="J103" i="39"/>
  <c r="J91" i="39"/>
  <c r="J81" i="39"/>
  <c r="J73" i="39"/>
  <c r="J55" i="39"/>
  <c r="J51" i="39"/>
  <c r="J111" i="39"/>
  <c r="J83" i="39"/>
  <c r="J49" i="39"/>
  <c r="J40" i="39"/>
  <c r="J113" i="39"/>
  <c r="J71" i="39"/>
  <c r="J63" i="39"/>
  <c r="J54" i="39"/>
  <c r="J95" i="39"/>
  <c r="J52" i="39"/>
  <c r="J46" i="39"/>
  <c r="J69" i="39"/>
  <c r="J34" i="39"/>
  <c r="J89" i="39"/>
  <c r="J79" i="39"/>
  <c r="J66" i="39"/>
  <c r="J61" i="39"/>
  <c r="J50" i="39"/>
  <c r="J41" i="39"/>
  <c r="J75" i="39"/>
  <c r="J44" i="39"/>
  <c r="J36" i="39"/>
  <c r="J119" i="39"/>
  <c r="J84" i="39"/>
  <c r="H36" i="39"/>
  <c r="J121" i="39"/>
  <c r="J96" i="39"/>
  <c r="J58" i="39"/>
  <c r="J38" i="39"/>
  <c r="J107" i="39"/>
  <c r="J70" i="39"/>
  <c r="J62" i="39"/>
  <c r="J45" i="39"/>
  <c r="J42" i="39"/>
  <c r="J32" i="39"/>
  <c r="J109" i="39"/>
  <c r="J90" i="39"/>
  <c r="J65" i="39"/>
  <c r="J48" i="39"/>
  <c r="J92" i="39"/>
  <c r="J76" i="39"/>
  <c r="J56" i="39"/>
  <c r="J33" i="39"/>
  <c r="N12" i="39"/>
  <c r="R30" i="33"/>
  <c r="V44" i="33"/>
  <c r="V48" i="33"/>
  <c r="R53" i="33"/>
  <c r="R54" i="33"/>
  <c r="V59" i="33"/>
  <c r="V60" i="33"/>
  <c r="V68" i="33"/>
  <c r="Z78" i="33"/>
  <c r="H12" i="36"/>
  <c r="L13" i="36"/>
  <c r="N13" i="36" s="1"/>
  <c r="F120" i="36"/>
  <c r="F115" i="36"/>
  <c r="F114" i="36"/>
  <c r="F107" i="36"/>
  <c r="F106" i="36"/>
  <c r="F91" i="36"/>
  <c r="F75" i="36"/>
  <c r="F74" i="36"/>
  <c r="F39" i="36"/>
  <c r="F35" i="36"/>
  <c r="F124" i="36"/>
  <c r="F119" i="36"/>
  <c r="F102" i="36"/>
  <c r="F98" i="36"/>
  <c r="F97" i="36"/>
  <c r="F66" i="36"/>
  <c r="F65" i="36"/>
  <c r="F58" i="36"/>
  <c r="F57" i="36"/>
  <c r="F118" i="36"/>
  <c r="F109" i="36"/>
  <c r="F108" i="36"/>
  <c r="F85" i="36"/>
  <c r="F77" i="36"/>
  <c r="F76" i="36"/>
  <c r="F49" i="36"/>
  <c r="F45" i="36"/>
  <c r="F117" i="36"/>
  <c r="F111" i="36"/>
  <c r="F110" i="36"/>
  <c r="F103" i="36"/>
  <c r="F99" i="36"/>
  <c r="F87" i="36"/>
  <c r="F86" i="36"/>
  <c r="F79" i="36"/>
  <c r="F78" i="36"/>
  <c r="F59" i="36"/>
  <c r="F27" i="36"/>
  <c r="F26" i="36"/>
  <c r="F70" i="36"/>
  <c r="F69" i="36"/>
  <c r="F50" i="36"/>
  <c r="F46" i="36"/>
  <c r="F93" i="36"/>
  <c r="F81" i="36"/>
  <c r="F80" i="36"/>
  <c r="F41" i="36"/>
  <c r="F37" i="36"/>
  <c r="F112" i="36"/>
  <c r="F104" i="36"/>
  <c r="F100" i="36"/>
  <c r="F88" i="36"/>
  <c r="F60" i="36"/>
  <c r="F52" i="36"/>
  <c r="F51" i="36"/>
  <c r="F28" i="36"/>
  <c r="F83" i="36"/>
  <c r="F82" i="36"/>
  <c r="F94" i="36"/>
  <c r="F90" i="36"/>
  <c r="F89" i="36"/>
  <c r="F62" i="36"/>
  <c r="F61" i="36"/>
  <c r="F54" i="36"/>
  <c r="F53" i="36"/>
  <c r="F42" i="36"/>
  <c r="F38" i="36"/>
  <c r="F34" i="36"/>
  <c r="F33" i="36"/>
  <c r="F113" i="36"/>
  <c r="F105" i="36"/>
  <c r="F101" i="36"/>
  <c r="F73" i="36"/>
  <c r="F72" i="36"/>
  <c r="F32" i="36"/>
  <c r="F96" i="36"/>
  <c r="F95" i="36"/>
  <c r="F84" i="36"/>
  <c r="F64" i="36"/>
  <c r="F63" i="36"/>
  <c r="F56" i="36"/>
  <c r="F55" i="36"/>
  <c r="F48" i="36"/>
  <c r="F44" i="36"/>
  <c r="F43" i="36"/>
  <c r="D30" i="36"/>
  <c r="F30" i="36" s="1"/>
  <c r="L12" i="36"/>
  <c r="Z32" i="36"/>
  <c r="L61" i="36"/>
  <c r="F71" i="36"/>
  <c r="Z110" i="36"/>
  <c r="Z18" i="39"/>
  <c r="R75" i="33"/>
  <c r="R72" i="33"/>
  <c r="R71" i="33"/>
  <c r="R89" i="33"/>
  <c r="R88" i="33"/>
  <c r="R78" i="33"/>
  <c r="R77" i="33"/>
  <c r="R73" i="33"/>
  <c r="R87" i="33"/>
  <c r="R65" i="33"/>
  <c r="R64" i="33"/>
  <c r="R68" i="33"/>
  <c r="R34" i="33"/>
  <c r="V49" i="33"/>
  <c r="V53" i="33"/>
  <c r="R80" i="33"/>
  <c r="F40" i="36"/>
  <c r="N61" i="36"/>
  <c r="F67" i="36"/>
  <c r="Z14" i="39"/>
  <c r="L88" i="30"/>
  <c r="X94" i="30"/>
  <c r="Z94" i="30" s="1"/>
  <c r="L108" i="30"/>
  <c r="N108" i="30" s="1"/>
  <c r="X114" i="30"/>
  <c r="V70" i="33"/>
  <c r="V69" i="33"/>
  <c r="V61" i="33"/>
  <c r="V76" i="33"/>
  <c r="V88" i="33"/>
  <c r="V78" i="33"/>
  <c r="V62" i="33"/>
  <c r="V87" i="33"/>
  <c r="V86" i="33"/>
  <c r="V80" i="33"/>
  <c r="V64" i="33"/>
  <c r="V56" i="33"/>
  <c r="V93" i="33"/>
  <c r="V85" i="33"/>
  <c r="V79" i="33"/>
  <c r="V67" i="33"/>
  <c r="V75" i="33"/>
  <c r="V30" i="33"/>
  <c r="V34" i="33"/>
  <c r="R43" i="33"/>
  <c r="R47" i="33"/>
  <c r="V54" i="33"/>
  <c r="R62" i="33"/>
  <c r="L67" i="33"/>
  <c r="N67" i="33" s="1"/>
  <c r="L72" i="33"/>
  <c r="V73" i="33"/>
  <c r="V77" i="33"/>
  <c r="T83" i="33"/>
  <c r="V83" i="33" s="1"/>
  <c r="V89" i="33"/>
  <c r="L15" i="36"/>
  <c r="N15" i="36" s="1"/>
  <c r="N17" i="36"/>
  <c r="L17" i="36"/>
  <c r="Z24" i="36"/>
  <c r="L53" i="36"/>
  <c r="N53" i="36" s="1"/>
  <c r="N82" i="36"/>
  <c r="X12" i="33"/>
  <c r="V43" i="33"/>
  <c r="V47" i="33"/>
  <c r="R52" i="33"/>
  <c r="X58" i="33"/>
  <c r="Z58" i="33" s="1"/>
  <c r="V65" i="33"/>
  <c r="X67" i="33"/>
  <c r="Z67" i="33" s="1"/>
  <c r="N19" i="36"/>
  <c r="N21" i="36"/>
  <c r="L21" i="36"/>
  <c r="L26" i="36"/>
  <c r="N33" i="36"/>
  <c r="N55" i="36"/>
  <c r="L78" i="36"/>
  <c r="L117" i="36"/>
  <c r="N117" i="36" s="1"/>
  <c r="L26" i="30"/>
  <c r="L30" i="30"/>
  <c r="L34" i="30"/>
  <c r="N34" i="30" s="1"/>
  <c r="L38" i="30"/>
  <c r="N38" i="30" s="1"/>
  <c r="L42" i="30"/>
  <c r="Z12" i="33"/>
  <c r="R33" i="33"/>
  <c r="V52" i="33"/>
  <c r="R58" i="33"/>
  <c r="R67" i="33"/>
  <c r="R70" i="33"/>
  <c r="N72" i="33"/>
  <c r="P83" i="33"/>
  <c r="X85" i="33"/>
  <c r="Z85" i="33" s="1"/>
  <c r="N23" i="36"/>
  <c r="N26" i="36"/>
  <c r="N78" i="36"/>
  <c r="L14" i="33"/>
  <c r="N14" i="33" s="1"/>
  <c r="L18" i="33"/>
  <c r="N18" i="33" s="1"/>
  <c r="L22" i="33"/>
  <c r="L26" i="33"/>
  <c r="N26" i="33" s="1"/>
  <c r="V33" i="33"/>
  <c r="R42" i="33"/>
  <c r="R46" i="33"/>
  <c r="R79" i="33"/>
  <c r="R85" i="33"/>
  <c r="Z88" i="33"/>
  <c r="L23" i="36"/>
  <c r="X26" i="36"/>
  <c r="Z26" i="36" s="1"/>
  <c r="N43" i="36"/>
  <c r="Z67" i="36"/>
  <c r="Z69" i="36"/>
  <c r="Z19" i="39"/>
  <c r="Z23" i="39"/>
  <c r="V42" i="33"/>
  <c r="V46" i="33"/>
  <c r="R51" i="33"/>
  <c r="R57" i="33"/>
  <c r="V58" i="33"/>
  <c r="X72" i="33"/>
  <c r="L84" i="33"/>
  <c r="F36" i="36"/>
  <c r="N86" i="36"/>
  <c r="L86" i="36"/>
  <c r="R32" i="33"/>
  <c r="V51" i="33"/>
  <c r="V57" i="33"/>
  <c r="R61" i="33"/>
  <c r="N63" i="33"/>
  <c r="R69" i="33"/>
  <c r="Z72" i="33"/>
  <c r="R76" i="33"/>
  <c r="N84" i="33"/>
  <c r="H83" i="33"/>
  <c r="F68" i="36"/>
  <c r="N85" i="33"/>
  <c r="L118" i="36"/>
  <c r="N118" i="36" s="1"/>
  <c r="R46" i="39"/>
  <c r="R74" i="39"/>
  <c r="R81" i="39"/>
  <c r="R106" i="39"/>
  <c r="R120" i="39"/>
  <c r="L126" i="39"/>
  <c r="N126" i="39" s="1"/>
  <c r="D125" i="39"/>
  <c r="L125" i="39" s="1"/>
  <c r="Z94" i="42"/>
  <c r="Z116" i="42"/>
  <c r="P117" i="36"/>
  <c r="X117" i="36" s="1"/>
  <c r="Z117" i="36" s="1"/>
  <c r="R126" i="39"/>
  <c r="R123" i="39"/>
  <c r="R116" i="39"/>
  <c r="R115" i="39"/>
  <c r="R99" i="39"/>
  <c r="R118" i="39"/>
  <c r="R117" i="39"/>
  <c r="R100" i="39"/>
  <c r="R89" i="39"/>
  <c r="R88" i="39"/>
  <c r="R69" i="39"/>
  <c r="R68" i="39"/>
  <c r="R61" i="39"/>
  <c r="R60" i="39"/>
  <c r="R49" i="39"/>
  <c r="R48" i="39"/>
  <c r="R44" i="39"/>
  <c r="R40" i="39"/>
  <c r="R119" i="39"/>
  <c r="R111" i="39"/>
  <c r="R107" i="39"/>
  <c r="R96" i="39"/>
  <c r="R95" i="39"/>
  <c r="R90" i="39"/>
  <c r="R71" i="39"/>
  <c r="R70" i="39"/>
  <c r="R63" i="39"/>
  <c r="R62" i="39"/>
  <c r="R54" i="39"/>
  <c r="R50" i="39"/>
  <c r="R102" i="39"/>
  <c r="R101" i="39"/>
  <c r="R97" i="39"/>
  <c r="R98" i="39"/>
  <c r="R128" i="39"/>
  <c r="R122" i="39"/>
  <c r="R121" i="39"/>
  <c r="R114" i="39"/>
  <c r="R113" i="39"/>
  <c r="R109" i="39"/>
  <c r="R65" i="39"/>
  <c r="R127" i="39"/>
  <c r="R105" i="39"/>
  <c r="R104" i="39"/>
  <c r="R93" i="39"/>
  <c r="R92" i="39"/>
  <c r="R85" i="39"/>
  <c r="R84" i="39"/>
  <c r="R76" i="39"/>
  <c r="R57" i="39"/>
  <c r="R56" i="39"/>
  <c r="R52" i="39"/>
  <c r="R43" i="39"/>
  <c r="Z81" i="39"/>
  <c r="R83" i="39"/>
  <c r="N118" i="39"/>
  <c r="J121" i="42"/>
  <c r="J115" i="42"/>
  <c r="J105" i="42"/>
  <c r="J99" i="42"/>
  <c r="J95" i="42"/>
  <c r="J73" i="42"/>
  <c r="J63" i="42"/>
  <c r="J55" i="42"/>
  <c r="J47" i="42"/>
  <c r="J43" i="42"/>
  <c r="J114" i="42"/>
  <c r="J106" i="42"/>
  <c r="J82" i="42"/>
  <c r="J74" i="42"/>
  <c r="J64" i="42"/>
  <c r="J56" i="42"/>
  <c r="J38" i="42"/>
  <c r="J34" i="42"/>
  <c r="J107" i="42"/>
  <c r="J89" i="42"/>
  <c r="J83" i="42"/>
  <c r="J75" i="42"/>
  <c r="J65" i="42"/>
  <c r="J57" i="42"/>
  <c r="J108" i="42"/>
  <c r="J100" i="42"/>
  <c r="J96" i="42"/>
  <c r="J84" i="42"/>
  <c r="J76" i="42"/>
  <c r="J66" i="42"/>
  <c r="J48" i="42"/>
  <c r="J44" i="42"/>
  <c r="J77" i="42"/>
  <c r="J67" i="42"/>
  <c r="J39" i="42"/>
  <c r="J35" i="42"/>
  <c r="J25" i="42"/>
  <c r="J90" i="42"/>
  <c r="J78" i="42"/>
  <c r="J68" i="42"/>
  <c r="J58" i="42"/>
  <c r="J26" i="42"/>
  <c r="J109" i="42"/>
  <c r="J101" i="42"/>
  <c r="J97" i="42"/>
  <c r="J85" i="42"/>
  <c r="J79" i="42"/>
  <c r="J69" i="42"/>
  <c r="J49" i="42"/>
  <c r="J45" i="42"/>
  <c r="J86" i="42"/>
  <c r="J80" i="42"/>
  <c r="J50" i="42"/>
  <c r="J40" i="42"/>
  <c r="J36" i="42"/>
  <c r="J91" i="42"/>
  <c r="J87" i="42"/>
  <c r="J59" i="42"/>
  <c r="J51" i="42"/>
  <c r="J27" i="42"/>
  <c r="J110" i="42"/>
  <c r="J102" i="42"/>
  <c r="J98" i="42"/>
  <c r="J92" i="42"/>
  <c r="J70" i="42"/>
  <c r="J60" i="42"/>
  <c r="J52" i="42"/>
  <c r="J46" i="42"/>
  <c r="J32" i="42"/>
  <c r="J117" i="42"/>
  <c r="J111" i="42"/>
  <c r="J103" i="42"/>
  <c r="J93" i="42"/>
  <c r="J81" i="42"/>
  <c r="J71" i="42"/>
  <c r="J61" i="42"/>
  <c r="J53" i="42"/>
  <c r="J41" i="42"/>
  <c r="J37" i="42"/>
  <c r="J33" i="42"/>
  <c r="J31" i="42"/>
  <c r="J29" i="42"/>
  <c r="J116" i="42"/>
  <c r="J112" i="42"/>
  <c r="J104" i="42"/>
  <c r="J94" i="42"/>
  <c r="J88" i="42"/>
  <c r="J72" i="42"/>
  <c r="J62" i="42"/>
  <c r="J54" i="42"/>
  <c r="J42" i="42"/>
  <c r="H29" i="42"/>
  <c r="N68" i="42"/>
  <c r="T12" i="39"/>
  <c r="Z49" i="39"/>
  <c r="X83" i="39"/>
  <c r="Z83" i="39" s="1"/>
  <c r="P125" i="39"/>
  <c r="X125" i="39" s="1"/>
  <c r="Z125" i="39" s="1"/>
  <c r="X126" i="39"/>
  <c r="Z126" i="39" s="1"/>
  <c r="L39" i="39"/>
  <c r="N39" i="39" s="1"/>
  <c r="X63" i="39"/>
  <c r="X71" i="39"/>
  <c r="Z71" i="39" s="1"/>
  <c r="R78" i="39"/>
  <c r="R80" i="39"/>
  <c r="X118" i="39"/>
  <c r="Z118" i="39" s="1"/>
  <c r="N22" i="42"/>
  <c r="Z68" i="42"/>
  <c r="N79" i="42"/>
  <c r="L72" i="36"/>
  <c r="N72" i="36" s="1"/>
  <c r="X78" i="36"/>
  <c r="Z78" i="36" s="1"/>
  <c r="X86" i="36"/>
  <c r="Z86" i="36" s="1"/>
  <c r="X110" i="36"/>
  <c r="X49" i="39"/>
  <c r="N67" i="39"/>
  <c r="L75" i="39"/>
  <c r="X78" i="39"/>
  <c r="Z78" i="39" s="1"/>
  <c r="N87" i="39"/>
  <c r="D83" i="33"/>
  <c r="L83" i="33" s="1"/>
  <c r="L14" i="39"/>
  <c r="R39" i="39"/>
  <c r="R42" i="39"/>
  <c r="R45" i="39"/>
  <c r="R51" i="39"/>
  <c r="R53" i="39"/>
  <c r="R59" i="39"/>
  <c r="R73" i="39"/>
  <c r="N75" i="39"/>
  <c r="R82" i="39"/>
  <c r="R94" i="39"/>
  <c r="R103" i="39"/>
  <c r="Z22" i="42"/>
  <c r="Z79" i="42"/>
  <c r="N115" i="42"/>
  <c r="N14" i="39"/>
  <c r="R32" i="39"/>
  <c r="X38" i="39"/>
  <c r="Z38" i="39" s="1"/>
  <c r="L61" i="39"/>
  <c r="N61" i="39" s="1"/>
  <c r="Z73" i="39"/>
  <c r="R77" i="39"/>
  <c r="R87" i="39"/>
  <c r="N89" i="39"/>
  <c r="L89" i="39"/>
  <c r="F117" i="42"/>
  <c r="F112" i="42"/>
  <c r="F111" i="42"/>
  <c r="F104" i="42"/>
  <c r="F103" i="42"/>
  <c r="F88" i="42"/>
  <c r="F72" i="42"/>
  <c r="F71" i="42"/>
  <c r="F31" i="42"/>
  <c r="F29" i="42"/>
  <c r="F121" i="42"/>
  <c r="F116" i="42"/>
  <c r="F99" i="42"/>
  <c r="F95" i="42"/>
  <c r="F94" i="42"/>
  <c r="F63" i="42"/>
  <c r="F62" i="42"/>
  <c r="F55" i="42"/>
  <c r="F54" i="42"/>
  <c r="F47" i="42"/>
  <c r="F43" i="42"/>
  <c r="F42" i="42"/>
  <c r="D29" i="42"/>
  <c r="F115" i="42"/>
  <c r="F106" i="42"/>
  <c r="F105" i="42"/>
  <c r="F82" i="42"/>
  <c r="F74" i="42"/>
  <c r="F73" i="42"/>
  <c r="F38" i="42"/>
  <c r="F34" i="42"/>
  <c r="F114" i="42"/>
  <c r="F89" i="42"/>
  <c r="F65" i="42"/>
  <c r="F64" i="42"/>
  <c r="F57" i="42"/>
  <c r="F56" i="42"/>
  <c r="F108" i="42"/>
  <c r="F107" i="42"/>
  <c r="F100" i="42"/>
  <c r="F96" i="42"/>
  <c r="F84" i="42"/>
  <c r="F83" i="42"/>
  <c r="F76" i="42"/>
  <c r="F75" i="42"/>
  <c r="F48" i="42"/>
  <c r="F44" i="42"/>
  <c r="L12" i="42"/>
  <c r="N12" i="42" s="1"/>
  <c r="F67" i="42"/>
  <c r="F66" i="42"/>
  <c r="F39" i="42"/>
  <c r="F35" i="42"/>
  <c r="F90" i="42"/>
  <c r="F78" i="42"/>
  <c r="F77" i="42"/>
  <c r="F58" i="42"/>
  <c r="F26" i="42"/>
  <c r="F25" i="42"/>
  <c r="F109" i="42"/>
  <c r="F101" i="42"/>
  <c r="F97" i="42"/>
  <c r="F85" i="42"/>
  <c r="F69" i="42"/>
  <c r="F68" i="42"/>
  <c r="F49" i="42"/>
  <c r="F45" i="42"/>
  <c r="F80" i="42"/>
  <c r="F79" i="42"/>
  <c r="F40" i="42"/>
  <c r="F36" i="42"/>
  <c r="F91" i="42"/>
  <c r="F87" i="42"/>
  <c r="F86" i="42"/>
  <c r="F59" i="42"/>
  <c r="F51" i="42"/>
  <c r="F50" i="42"/>
  <c r="F27" i="42"/>
  <c r="F110" i="42"/>
  <c r="F102" i="42"/>
  <c r="F98" i="42"/>
  <c r="F70" i="42"/>
  <c r="F46" i="42"/>
  <c r="F93" i="42"/>
  <c r="F92" i="42"/>
  <c r="F81" i="42"/>
  <c r="F61" i="42"/>
  <c r="F60" i="42"/>
  <c r="F53" i="42"/>
  <c r="F52" i="42"/>
  <c r="F41" i="42"/>
  <c r="F37" i="42"/>
  <c r="F33" i="42"/>
  <c r="F32" i="42"/>
  <c r="N16" i="42"/>
  <c r="Z20" i="42"/>
  <c r="N62" i="42"/>
  <c r="R38" i="39"/>
  <c r="R58" i="39"/>
  <c r="R67" i="39"/>
  <c r="L69" i="39"/>
  <c r="N69" i="39" s="1"/>
  <c r="R112" i="39"/>
  <c r="N14" i="42"/>
  <c r="Z18" i="42"/>
  <c r="Z54" i="42"/>
  <c r="Z115" i="42"/>
  <c r="R47" i="39"/>
  <c r="R55" i="39"/>
  <c r="R64" i="39"/>
  <c r="R72" i="39"/>
  <c r="R75" i="39"/>
  <c r="R91" i="39"/>
  <c r="R110" i="39"/>
  <c r="N125" i="39"/>
  <c r="R108" i="42"/>
  <c r="R100" i="42"/>
  <c r="R96" i="42"/>
  <c r="R84" i="42"/>
  <c r="R77" i="42"/>
  <c r="R76" i="42"/>
  <c r="R48" i="42"/>
  <c r="R44" i="42"/>
  <c r="R25" i="42"/>
  <c r="X12" i="42"/>
  <c r="R68" i="42"/>
  <c r="R67" i="42"/>
  <c r="R39" i="42"/>
  <c r="R35" i="42"/>
  <c r="R90" i="42"/>
  <c r="R79" i="42"/>
  <c r="R78" i="42"/>
  <c r="R58" i="42"/>
  <c r="R26" i="42"/>
  <c r="R109" i="42"/>
  <c r="R101" i="42"/>
  <c r="R97" i="42"/>
  <c r="R86" i="42"/>
  <c r="R85" i="42"/>
  <c r="R69" i="42"/>
  <c r="R50" i="42"/>
  <c r="R49" i="42"/>
  <c r="R45" i="42"/>
  <c r="R80" i="42"/>
  <c r="R40" i="42"/>
  <c r="R36" i="42"/>
  <c r="R92" i="42"/>
  <c r="R91" i="42"/>
  <c r="R87" i="42"/>
  <c r="R60" i="42"/>
  <c r="R59" i="42"/>
  <c r="R52" i="42"/>
  <c r="R51" i="42"/>
  <c r="R32" i="42"/>
  <c r="R27" i="42"/>
  <c r="R117" i="42"/>
  <c r="R111" i="42"/>
  <c r="R110" i="42"/>
  <c r="R103" i="42"/>
  <c r="R102" i="42"/>
  <c r="R98" i="42"/>
  <c r="R71" i="42"/>
  <c r="R70" i="42"/>
  <c r="R46" i="42"/>
  <c r="R31" i="42"/>
  <c r="R29" i="42"/>
  <c r="R116" i="42"/>
  <c r="R94" i="42"/>
  <c r="R93" i="42"/>
  <c r="R81" i="42"/>
  <c r="R62" i="42"/>
  <c r="R61" i="42"/>
  <c r="R54" i="42"/>
  <c r="R53" i="42"/>
  <c r="R42" i="42"/>
  <c r="R41" i="42"/>
  <c r="R37" i="42"/>
  <c r="R33" i="42"/>
  <c r="R115" i="42"/>
  <c r="R112" i="42"/>
  <c r="R105" i="42"/>
  <c r="R104" i="42"/>
  <c r="R88" i="42"/>
  <c r="R73" i="42"/>
  <c r="R72" i="42"/>
  <c r="R121" i="42"/>
  <c r="R114" i="42"/>
  <c r="R99" i="42"/>
  <c r="R95" i="42"/>
  <c r="R64" i="42"/>
  <c r="R63" i="42"/>
  <c r="R56" i="42"/>
  <c r="R55" i="42"/>
  <c r="R47" i="42"/>
  <c r="R43" i="42"/>
  <c r="R107" i="42"/>
  <c r="R106" i="42"/>
  <c r="R83" i="42"/>
  <c r="R82" i="42"/>
  <c r="R75" i="42"/>
  <c r="R74" i="42"/>
  <c r="R38" i="42"/>
  <c r="R34" i="42"/>
  <c r="R89" i="42"/>
  <c r="R66" i="42"/>
  <c r="R65" i="42"/>
  <c r="R57" i="42"/>
  <c r="X14" i="39"/>
  <c r="X18" i="39"/>
  <c r="X22" i="39"/>
  <c r="Z22" i="39" s="1"/>
  <c r="X26" i="39"/>
  <c r="Z26" i="39" s="1"/>
  <c r="X30" i="39"/>
  <c r="Z30" i="39" s="1"/>
  <c r="R36" i="39"/>
  <c r="Z61" i="39"/>
  <c r="X75" i="39"/>
  <c r="Z75" i="39" s="1"/>
  <c r="R79" i="39"/>
  <c r="Z89" i="39"/>
  <c r="T12" i="42"/>
  <c r="N73" i="42"/>
  <c r="L110" i="36"/>
  <c r="N110" i="36" s="1"/>
  <c r="R41" i="39"/>
  <c r="N49" i="39"/>
  <c r="R66" i="39"/>
  <c r="Z69" i="39"/>
  <c r="N83" i="39"/>
  <c r="R86" i="39"/>
  <c r="R108" i="39"/>
  <c r="R34" i="39"/>
  <c r="P29" i="42"/>
  <c r="Z50" i="42"/>
  <c r="N56" i="42"/>
  <c r="N64" i="42"/>
  <c r="L73" i="42"/>
  <c r="X79" i="42"/>
  <c r="Z86" i="42"/>
  <c r="L105" i="42"/>
  <c r="N105" i="42" s="1"/>
  <c r="L115" i="42"/>
  <c r="Z14" i="45"/>
  <c r="N37" i="45"/>
  <c r="V35" i="48"/>
  <c r="N44" i="48"/>
  <c r="Z50" i="48"/>
  <c r="L14" i="42"/>
  <c r="P114" i="42"/>
  <c r="L116" i="42"/>
  <c r="N116" i="42" s="1"/>
  <c r="F68" i="45"/>
  <c r="F60" i="45"/>
  <c r="F59" i="45"/>
  <c r="F48" i="45"/>
  <c r="F47" i="45"/>
  <c r="F36" i="45"/>
  <c r="F32" i="45"/>
  <c r="F28" i="45"/>
  <c r="F27" i="45"/>
  <c r="F87" i="45"/>
  <c r="F86" i="45"/>
  <c r="F79" i="45"/>
  <c r="F75" i="45"/>
  <c r="F26" i="45"/>
  <c r="F70" i="45"/>
  <c r="F69" i="45"/>
  <c r="F62" i="45"/>
  <c r="F61" i="45"/>
  <c r="F50" i="45"/>
  <c r="F49" i="45"/>
  <c r="F42" i="45"/>
  <c r="F38" i="45"/>
  <c r="F37" i="45"/>
  <c r="D24" i="45"/>
  <c r="F33" i="45"/>
  <c r="F29" i="45"/>
  <c r="F88" i="45"/>
  <c r="F80" i="45"/>
  <c r="F76" i="45"/>
  <c r="F64" i="45"/>
  <c r="F63" i="45"/>
  <c r="F52" i="45"/>
  <c r="F51" i="45"/>
  <c r="F71" i="45"/>
  <c r="F43" i="45"/>
  <c r="F39" i="45"/>
  <c r="F66" i="45"/>
  <c r="F65" i="45"/>
  <c r="F54" i="45"/>
  <c r="F53" i="45"/>
  <c r="F34" i="45"/>
  <c r="F30" i="45"/>
  <c r="F90" i="45"/>
  <c r="F81" i="45"/>
  <c r="F77" i="45"/>
  <c r="F21" i="45"/>
  <c r="F20" i="45"/>
  <c r="F94" i="45"/>
  <c r="F72" i="45"/>
  <c r="F83" i="45"/>
  <c r="F82" i="45"/>
  <c r="F67" i="45"/>
  <c r="F35" i="45"/>
  <c r="F31" i="45"/>
  <c r="F78" i="45"/>
  <c r="F74" i="45"/>
  <c r="F73" i="45"/>
  <c r="F58" i="45"/>
  <c r="F57" i="45"/>
  <c r="F46" i="45"/>
  <c r="F45" i="45"/>
  <c r="F22" i="45"/>
  <c r="R28" i="45"/>
  <c r="L47" i="45"/>
  <c r="N47" i="45" s="1"/>
  <c r="F55" i="45"/>
  <c r="L59" i="45"/>
  <c r="N59" i="45" s="1"/>
  <c r="L42" i="48"/>
  <c r="X48" i="48"/>
  <c r="V63" i="48"/>
  <c r="H12" i="45"/>
  <c r="N13" i="45"/>
  <c r="L15" i="45"/>
  <c r="Z18" i="45"/>
  <c r="Z26" i="45"/>
  <c r="F40" i="45"/>
  <c r="N49" i="45"/>
  <c r="N61" i="45"/>
  <c r="Z48" i="48"/>
  <c r="P12" i="51"/>
  <c r="T114" i="42"/>
  <c r="N15" i="45"/>
  <c r="N17" i="45"/>
  <c r="L20" i="45"/>
  <c r="N20" i="45" s="1"/>
  <c r="X53" i="45"/>
  <c r="Z53" i="45" s="1"/>
  <c r="X65" i="45"/>
  <c r="V99" i="51"/>
  <c r="V93" i="51"/>
  <c r="V81" i="51"/>
  <c r="V65" i="51"/>
  <c r="V61" i="51"/>
  <c r="V57" i="51"/>
  <c r="V87" i="51"/>
  <c r="V75" i="51"/>
  <c r="V63" i="51"/>
  <c r="V59" i="51"/>
  <c r="V96" i="51"/>
  <c r="V91" i="51"/>
  <c r="V85" i="51"/>
  <c r="V79" i="51"/>
  <c r="V73" i="51"/>
  <c r="V67" i="51"/>
  <c r="V66" i="51"/>
  <c r="V52" i="51"/>
  <c r="V42" i="51"/>
  <c r="V39" i="51"/>
  <c r="V103" i="51"/>
  <c r="V97" i="51"/>
  <c r="V98" i="51"/>
  <c r="V82" i="51"/>
  <c r="V76" i="51"/>
  <c r="V70" i="51"/>
  <c r="V92" i="51"/>
  <c r="V40" i="51"/>
  <c r="V89" i="51"/>
  <c r="V88" i="51"/>
  <c r="V83" i="51"/>
  <c r="V77" i="51"/>
  <c r="V71" i="51"/>
  <c r="V47" i="51"/>
  <c r="V84" i="51"/>
  <c r="V78" i="51"/>
  <c r="V72" i="51"/>
  <c r="V94" i="51"/>
  <c r="V69" i="51"/>
  <c r="V62" i="51"/>
  <c r="V48" i="51"/>
  <c r="V45" i="51"/>
  <c r="V90" i="51"/>
  <c r="V86" i="51"/>
  <c r="V80" i="51"/>
  <c r="V74" i="51"/>
  <c r="V64" i="51"/>
  <c r="V58" i="51"/>
  <c r="V43" i="51"/>
  <c r="V56" i="51"/>
  <c r="V41" i="51"/>
  <c r="V46" i="51"/>
  <c r="V50" i="51"/>
  <c r="V44" i="51"/>
  <c r="V38" i="51"/>
  <c r="V68" i="51"/>
  <c r="T54" i="51"/>
  <c r="V51" i="51"/>
  <c r="V60" i="51"/>
  <c r="Z65" i="45"/>
  <c r="L28" i="51"/>
  <c r="N28" i="51" s="1"/>
  <c r="N13" i="42"/>
  <c r="X14" i="42"/>
  <c r="Z14" i="42" s="1"/>
  <c r="L50" i="42"/>
  <c r="N50" i="42" s="1"/>
  <c r="X56" i="42"/>
  <c r="Z56" i="42" s="1"/>
  <c r="X64" i="42"/>
  <c r="Z64" i="42" s="1"/>
  <c r="L86" i="42"/>
  <c r="N86" i="42" s="1"/>
  <c r="T12" i="45"/>
  <c r="X13" i="45"/>
  <c r="Z13" i="45" s="1"/>
  <c r="R49" i="45"/>
  <c r="R61" i="45"/>
  <c r="N65" i="48"/>
  <c r="N13" i="51"/>
  <c r="H12" i="51"/>
  <c r="Z20" i="45"/>
  <c r="R29" i="45"/>
  <c r="Z49" i="45"/>
  <c r="Z61" i="45"/>
  <c r="Z20" i="48"/>
  <c r="V31" i="48"/>
  <c r="X36" i="48"/>
  <c r="N23" i="51"/>
  <c r="F41" i="45"/>
  <c r="F56" i="45"/>
  <c r="Z36" i="48"/>
  <c r="N60" i="48"/>
  <c r="P24" i="45"/>
  <c r="R36" i="45"/>
  <c r="F44" i="45"/>
  <c r="F67" i="48"/>
  <c r="F71" i="48"/>
  <c r="F59" i="48"/>
  <c r="F43" i="48"/>
  <c r="F42" i="48"/>
  <c r="F54" i="48"/>
  <c r="F34" i="48"/>
  <c r="F30" i="48"/>
  <c r="F29" i="48"/>
  <c r="F61" i="48"/>
  <c r="F60" i="48"/>
  <c r="F45" i="48"/>
  <c r="F44" i="48"/>
  <c r="F25" i="48"/>
  <c r="F21" i="48"/>
  <c r="F20" i="48"/>
  <c r="F56" i="48"/>
  <c r="F55" i="48"/>
  <c r="F19" i="48"/>
  <c r="F17" i="48"/>
  <c r="F15" i="48"/>
  <c r="F63" i="48"/>
  <c r="F62" i="48"/>
  <c r="F47" i="48"/>
  <c r="F46" i="48"/>
  <c r="F35" i="48"/>
  <c r="F31" i="48"/>
  <c r="D17" i="48"/>
  <c r="F26" i="48"/>
  <c r="F22" i="48"/>
  <c r="F57" i="48"/>
  <c r="F49" i="48"/>
  <c r="F48" i="48"/>
  <c r="F37" i="48"/>
  <c r="F36" i="48"/>
  <c r="F65" i="48"/>
  <c r="F32" i="48"/>
  <c r="L12" i="48"/>
  <c r="F66" i="48"/>
  <c r="F51" i="48"/>
  <c r="F50" i="48"/>
  <c r="F39" i="48"/>
  <c r="F38" i="48"/>
  <c r="F27" i="48"/>
  <c r="F23" i="48"/>
  <c r="F58" i="48"/>
  <c r="F53" i="48"/>
  <c r="F52" i="48"/>
  <c r="F41" i="48"/>
  <c r="F40" i="48"/>
  <c r="F33" i="48"/>
  <c r="F24" i="48"/>
  <c r="H12" i="48"/>
  <c r="N86" i="45"/>
  <c r="R66" i="48"/>
  <c r="R63" i="48"/>
  <c r="R48" i="48"/>
  <c r="R47" i="48"/>
  <c r="R36" i="48"/>
  <c r="R35" i="48"/>
  <c r="R31" i="48"/>
  <c r="R26" i="48"/>
  <c r="R22" i="48"/>
  <c r="R65" i="48"/>
  <c r="R57" i="48"/>
  <c r="R50" i="48"/>
  <c r="R49" i="48"/>
  <c r="R38" i="48"/>
  <c r="R37" i="48"/>
  <c r="R67" i="48"/>
  <c r="R32" i="48"/>
  <c r="X12" i="48"/>
  <c r="R52" i="48"/>
  <c r="R51" i="48"/>
  <c r="R40" i="48"/>
  <c r="R39" i="48"/>
  <c r="R27" i="48"/>
  <c r="R23" i="48"/>
  <c r="R58" i="48"/>
  <c r="R53" i="48"/>
  <c r="R42" i="48"/>
  <c r="R41" i="48"/>
  <c r="R33" i="48"/>
  <c r="R29" i="48"/>
  <c r="R28" i="48"/>
  <c r="R24" i="48"/>
  <c r="R60" i="48"/>
  <c r="R59" i="48"/>
  <c r="R44" i="48"/>
  <c r="R43" i="48"/>
  <c r="R20" i="48"/>
  <c r="R71" i="48"/>
  <c r="R55" i="48"/>
  <c r="R54" i="48"/>
  <c r="R34" i="48"/>
  <c r="R30" i="48"/>
  <c r="R19" i="48"/>
  <c r="R15" i="48"/>
  <c r="R62" i="48"/>
  <c r="R61" i="48"/>
  <c r="R46" i="48"/>
  <c r="R45" i="48"/>
  <c r="R25" i="48"/>
  <c r="R21" i="48"/>
  <c r="P17" i="48"/>
  <c r="Z29" i="48"/>
  <c r="N50" i="48"/>
  <c r="Z60" i="48"/>
  <c r="V49" i="51"/>
  <c r="R88" i="45"/>
  <c r="R80" i="45"/>
  <c r="R76" i="45"/>
  <c r="R65" i="45"/>
  <c r="R64" i="45"/>
  <c r="R53" i="45"/>
  <c r="R52" i="45"/>
  <c r="R90" i="45"/>
  <c r="R71" i="45"/>
  <c r="R43" i="45"/>
  <c r="R39" i="45"/>
  <c r="R20" i="45"/>
  <c r="R66" i="45"/>
  <c r="R55" i="45"/>
  <c r="R54" i="45"/>
  <c r="R34" i="45"/>
  <c r="R30" i="45"/>
  <c r="R82" i="45"/>
  <c r="R81" i="45"/>
  <c r="R77" i="45"/>
  <c r="R21" i="45"/>
  <c r="R94" i="45"/>
  <c r="R73" i="45"/>
  <c r="R72" i="45"/>
  <c r="R57" i="45"/>
  <c r="R56" i="45"/>
  <c r="R45" i="45"/>
  <c r="R44" i="45"/>
  <c r="R40" i="45"/>
  <c r="X12" i="45"/>
  <c r="R84" i="45"/>
  <c r="R83" i="45"/>
  <c r="R67" i="45"/>
  <c r="R35" i="45"/>
  <c r="R31" i="45"/>
  <c r="R78" i="45"/>
  <c r="R74" i="45"/>
  <c r="R59" i="45"/>
  <c r="R58" i="45"/>
  <c r="R47" i="45"/>
  <c r="R46" i="45"/>
  <c r="R27" i="45"/>
  <c r="R86" i="45"/>
  <c r="R85" i="45"/>
  <c r="R41" i="45"/>
  <c r="R26" i="45"/>
  <c r="R24" i="45"/>
  <c r="R69" i="45"/>
  <c r="R68" i="45"/>
  <c r="R87" i="45"/>
  <c r="R79" i="45"/>
  <c r="R75" i="45"/>
  <c r="R70" i="45"/>
  <c r="R63" i="45"/>
  <c r="R62" i="45"/>
  <c r="R51" i="45"/>
  <c r="R50" i="45"/>
  <c r="R42" i="45"/>
  <c r="R38" i="45"/>
  <c r="N26" i="45"/>
  <c r="V50" i="48"/>
  <c r="V38" i="48"/>
  <c r="V26" i="48"/>
  <c r="V22" i="48"/>
  <c r="V67" i="48"/>
  <c r="V66" i="48"/>
  <c r="V65" i="48"/>
  <c r="V57" i="48"/>
  <c r="V49" i="48"/>
  <c r="V37" i="48"/>
  <c r="V52" i="48"/>
  <c r="V40" i="48"/>
  <c r="V32" i="48"/>
  <c r="Z12" i="48"/>
  <c r="V51" i="48"/>
  <c r="V39" i="48"/>
  <c r="V27" i="48"/>
  <c r="V23" i="48"/>
  <c r="V58" i="48"/>
  <c r="V42" i="48"/>
  <c r="V53" i="48"/>
  <c r="V41" i="48"/>
  <c r="V33" i="48"/>
  <c r="V29" i="48"/>
  <c r="V60" i="48"/>
  <c r="V44" i="48"/>
  <c r="V28" i="48"/>
  <c r="V24" i="48"/>
  <c r="V20" i="48"/>
  <c r="V59" i="48"/>
  <c r="V55" i="48"/>
  <c r="V43" i="48"/>
  <c r="V19" i="48"/>
  <c r="V15" i="48"/>
  <c r="V71" i="48"/>
  <c r="V62" i="48"/>
  <c r="V54" i="48"/>
  <c r="V46" i="48"/>
  <c r="V34" i="48"/>
  <c r="V30" i="48"/>
  <c r="T17" i="48"/>
  <c r="V61" i="48"/>
  <c r="V45" i="48"/>
  <c r="V25" i="48"/>
  <c r="V21" i="48"/>
  <c r="V56" i="48"/>
  <c r="V48" i="48"/>
  <c r="V36" i="48"/>
  <c r="R56" i="48"/>
  <c r="L13" i="48"/>
  <c r="N13" i="48" s="1"/>
  <c r="L13" i="51"/>
  <c r="Z21" i="51"/>
  <c r="L35" i="51"/>
  <c r="L38" i="51"/>
  <c r="N38" i="51" s="1"/>
  <c r="N25" i="51"/>
  <c r="F38" i="51"/>
  <c r="F65" i="51"/>
  <c r="L17" i="51"/>
  <c r="N17" i="51" s="1"/>
  <c r="Z18" i="51"/>
  <c r="N20" i="51"/>
  <c r="X33" i="51"/>
  <c r="Z35" i="51"/>
  <c r="X57" i="51"/>
  <c r="Z57" i="51" s="1"/>
  <c r="L82" i="45"/>
  <c r="N82" i="45" s="1"/>
  <c r="X13" i="48"/>
  <c r="Z13" i="48" s="1"/>
  <c r="X15" i="48"/>
  <c r="X19" i="48"/>
  <c r="Z19" i="48" s="1"/>
  <c r="F67" i="51"/>
  <c r="F69" i="51"/>
  <c r="L12" i="51"/>
  <c r="Z15" i="51"/>
  <c r="L22" i="51"/>
  <c r="N22" i="51" s="1"/>
  <c r="L29" i="51"/>
  <c r="N29" i="51" s="1"/>
  <c r="N32" i="51"/>
  <c r="X32" i="51"/>
  <c r="Z32" i="51" s="1"/>
  <c r="F43" i="51"/>
  <c r="L19" i="51"/>
  <c r="N19" i="51" s="1"/>
  <c r="Z27" i="51"/>
  <c r="F58" i="51"/>
  <c r="F60" i="51"/>
  <c r="X67" i="51"/>
  <c r="Z67" i="51" s="1"/>
  <c r="N72" i="51"/>
  <c r="F54" i="51"/>
  <c r="F66" i="51"/>
  <c r="F90" i="51"/>
  <c r="Z98" i="51"/>
  <c r="T96" i="51"/>
  <c r="X14" i="51"/>
  <c r="Z14" i="51" s="1"/>
  <c r="N16" i="51"/>
  <c r="X24" i="51"/>
  <c r="L31" i="51"/>
  <c r="F45" i="51"/>
  <c r="F51" i="51"/>
  <c r="Z72" i="51"/>
  <c r="F97" i="51"/>
  <c r="F50" i="51"/>
  <c r="F46" i="51"/>
  <c r="F42" i="51"/>
  <c r="F92" i="51"/>
  <c r="F91" i="51"/>
  <c r="F52" i="51"/>
  <c r="F48" i="51"/>
  <c r="F44" i="51"/>
  <c r="F40" i="51"/>
  <c r="F41" i="51"/>
  <c r="F89" i="51"/>
  <c r="F94" i="51"/>
  <c r="F84" i="51"/>
  <c r="F78" i="51"/>
  <c r="F72" i="51"/>
  <c r="F85" i="51"/>
  <c r="F79" i="51"/>
  <c r="F73" i="51"/>
  <c r="F59" i="51"/>
  <c r="F39" i="51"/>
  <c r="F103" i="51"/>
  <c r="F96" i="51"/>
  <c r="F70" i="51"/>
  <c r="F63" i="51"/>
  <c r="F49" i="51"/>
  <c r="F87" i="51"/>
  <c r="F86" i="51"/>
  <c r="F81" i="51"/>
  <c r="F80" i="51"/>
  <c r="F75" i="51"/>
  <c r="F74" i="51"/>
  <c r="F98" i="51"/>
  <c r="F68" i="51"/>
  <c r="D54" i="51"/>
  <c r="F99" i="51"/>
  <c r="F83" i="51"/>
  <c r="F82" i="51"/>
  <c r="F77" i="51"/>
  <c r="F76" i="51"/>
  <c r="F71" i="51"/>
  <c r="F64" i="51"/>
  <c r="F56" i="51"/>
  <c r="F47" i="51"/>
  <c r="F93" i="51"/>
  <c r="F88" i="51"/>
  <c r="F61" i="51"/>
  <c r="F57" i="51"/>
  <c r="L23" i="51"/>
  <c r="Z24" i="51"/>
  <c r="X36" i="51"/>
  <c r="L56" i="51"/>
  <c r="N56" i="51" s="1"/>
  <c r="R24" i="54"/>
  <c r="R31" i="54"/>
  <c r="R29" i="54"/>
  <c r="R28" i="54"/>
  <c r="R26" i="54"/>
  <c r="R22" i="54"/>
  <c r="R20" i="54"/>
  <c r="R18" i="54"/>
  <c r="R16" i="54"/>
  <c r="R14" i="54"/>
  <c r="L29" i="54"/>
  <c r="N18" i="55"/>
  <c r="L18" i="57"/>
  <c r="X16" i="51"/>
  <c r="Z16" i="51" s="1"/>
  <c r="X22" i="51"/>
  <c r="Z22" i="51" s="1"/>
  <c r="X28" i="51"/>
  <c r="Z28" i="51" s="1"/>
  <c r="X34" i="51"/>
  <c r="X38" i="51"/>
  <c r="Z38" i="51" s="1"/>
  <c r="X72" i="51"/>
  <c r="X74" i="51"/>
  <c r="Z74" i="51" s="1"/>
  <c r="X78" i="51"/>
  <c r="Z78" i="51" s="1"/>
  <c r="X80" i="51"/>
  <c r="Z80" i="51" s="1"/>
  <c r="X84" i="51"/>
  <c r="Z84" i="51" s="1"/>
  <c r="X86" i="51"/>
  <c r="Z86" i="51" s="1"/>
  <c r="L98" i="51"/>
  <c r="N18" i="54"/>
  <c r="L18" i="54"/>
  <c r="N29" i="54"/>
  <c r="N18" i="57"/>
  <c r="N15" i="51"/>
  <c r="N21" i="51"/>
  <c r="N27" i="51"/>
  <c r="N29" i="56"/>
  <c r="L67" i="56"/>
  <c r="R71" i="58"/>
  <c r="N67" i="56"/>
  <c r="N64" i="57"/>
  <c r="L64" i="57"/>
  <c r="Z14" i="58"/>
  <c r="X14" i="58"/>
  <c r="Z89" i="51"/>
  <c r="H96" i="51"/>
  <c r="L96" i="51" s="1"/>
  <c r="N14" i="54"/>
  <c r="L14" i="54"/>
  <c r="X18" i="54"/>
  <c r="N37" i="56"/>
  <c r="N39" i="56"/>
  <c r="N41" i="56"/>
  <c r="N59" i="56"/>
  <c r="N28" i="57"/>
  <c r="T16" i="58"/>
  <c r="R19" i="58"/>
  <c r="N67" i="51"/>
  <c r="Z19" i="56"/>
  <c r="Z29" i="56"/>
  <c r="N45" i="56"/>
  <c r="N62" i="58"/>
  <c r="L64" i="58"/>
  <c r="N64" i="58" s="1"/>
  <c r="N66" i="58"/>
  <c r="Z93" i="51"/>
  <c r="L97" i="51"/>
  <c r="N97" i="51" s="1"/>
  <c r="X98" i="51"/>
  <c r="N20" i="54"/>
  <c r="L20" i="54"/>
  <c r="N19" i="59"/>
  <c r="P96" i="51"/>
  <c r="X96" i="51" s="1"/>
  <c r="Z99" i="51"/>
  <c r="L28" i="54"/>
  <c r="N28" i="54" s="1"/>
  <c r="Z33" i="56"/>
  <c r="Z37" i="56"/>
  <c r="Z39" i="56"/>
  <c r="Z43" i="56"/>
  <c r="X49" i="56"/>
  <c r="N53" i="56"/>
  <c r="Z59" i="56"/>
  <c r="D66" i="57"/>
  <c r="L16" i="57"/>
  <c r="N56" i="58"/>
  <c r="L56" i="58"/>
  <c r="N58" i="58"/>
  <c r="N16" i="54"/>
  <c r="H22" i="54"/>
  <c r="D37" i="55"/>
  <c r="X18" i="58"/>
  <c r="Z18" i="58" s="1"/>
  <c r="N37" i="59"/>
  <c r="X20" i="54"/>
  <c r="F35" i="55"/>
  <c r="F24" i="55"/>
  <c r="F23" i="55"/>
  <c r="F40" i="55"/>
  <c r="F37" i="55"/>
  <c r="F26" i="55"/>
  <c r="F25" i="55"/>
  <c r="F28" i="55"/>
  <c r="F27" i="55"/>
  <c r="L12" i="55"/>
  <c r="F29" i="55"/>
  <c r="F20" i="55"/>
  <c r="F19" i="55"/>
  <c r="F18" i="55"/>
  <c r="F16" i="55"/>
  <c r="F14" i="55"/>
  <c r="F31" i="55"/>
  <c r="P73" i="56"/>
  <c r="Z49" i="56"/>
  <c r="R33" i="58"/>
  <c r="R18" i="58"/>
  <c r="R16" i="58"/>
  <c r="R14" i="58"/>
  <c r="R60" i="58"/>
  <c r="R53" i="58"/>
  <c r="R52" i="58"/>
  <c r="R45" i="58"/>
  <c r="R44" i="58"/>
  <c r="R28" i="58"/>
  <c r="R24" i="58"/>
  <c r="R20" i="58"/>
  <c r="P16" i="58"/>
  <c r="R73" i="58"/>
  <c r="R78" i="58"/>
  <c r="R75" i="58"/>
  <c r="R54" i="58"/>
  <c r="R47" i="58"/>
  <c r="R46" i="58"/>
  <c r="R35" i="58"/>
  <c r="R34" i="58"/>
  <c r="R62" i="58"/>
  <c r="R61" i="58"/>
  <c r="R30" i="58"/>
  <c r="R29" i="58"/>
  <c r="R25" i="58"/>
  <c r="R21" i="58"/>
  <c r="R49" i="58"/>
  <c r="R48" i="58"/>
  <c r="R37" i="58"/>
  <c r="R36" i="58"/>
  <c r="R64" i="58"/>
  <c r="R63" i="58"/>
  <c r="R56" i="58"/>
  <c r="R55" i="58"/>
  <c r="R31" i="58"/>
  <c r="R50" i="58"/>
  <c r="R39" i="58"/>
  <c r="R38" i="58"/>
  <c r="R26" i="58"/>
  <c r="R22" i="58"/>
  <c r="R66" i="58"/>
  <c r="R65" i="58"/>
  <c r="R58" i="58"/>
  <c r="R57" i="58"/>
  <c r="R41" i="58"/>
  <c r="R40" i="58"/>
  <c r="R32" i="58"/>
  <c r="X12" i="58"/>
  <c r="R67" i="58"/>
  <c r="R59" i="58"/>
  <c r="R51" i="58"/>
  <c r="R27" i="58"/>
  <c r="R23" i="58"/>
  <c r="R42" i="58"/>
  <c r="R69" i="58"/>
  <c r="N32" i="60"/>
  <c r="N42" i="60"/>
  <c r="L16" i="55"/>
  <c r="Z58" i="58"/>
  <c r="N89" i="51"/>
  <c r="X97" i="51"/>
  <c r="Z97" i="51" s="1"/>
  <c r="T22" i="54"/>
  <c r="Z53" i="56"/>
  <c r="H16" i="57"/>
  <c r="D12" i="69"/>
  <c r="L14" i="69"/>
  <c r="N12" i="54"/>
  <c r="J22" i="55"/>
  <c r="V26" i="55"/>
  <c r="T16" i="56"/>
  <c r="X16" i="56" s="1"/>
  <c r="R19" i="56"/>
  <c r="F22" i="56"/>
  <c r="F26" i="56"/>
  <c r="V29" i="56"/>
  <c r="R34" i="56"/>
  <c r="R35" i="56"/>
  <c r="V37" i="56"/>
  <c r="F41" i="56"/>
  <c r="F42" i="56"/>
  <c r="J43" i="56"/>
  <c r="R46" i="56"/>
  <c r="R47" i="56"/>
  <c r="V49" i="56"/>
  <c r="R54" i="56"/>
  <c r="F57" i="56"/>
  <c r="F58" i="56"/>
  <c r="J59" i="56"/>
  <c r="V61" i="56"/>
  <c r="F65" i="56"/>
  <c r="F66" i="56"/>
  <c r="J67" i="56"/>
  <c r="V69" i="56"/>
  <c r="V71" i="56"/>
  <c r="V73" i="56"/>
  <c r="F77" i="56"/>
  <c r="F80" i="56"/>
  <c r="J14" i="57"/>
  <c r="J16" i="57"/>
  <c r="J18" i="57"/>
  <c r="J20" i="57"/>
  <c r="R21" i="57"/>
  <c r="J24" i="57"/>
  <c r="R25" i="57"/>
  <c r="F28" i="57"/>
  <c r="F29" i="57"/>
  <c r="J36" i="57"/>
  <c r="V40" i="57"/>
  <c r="J48" i="57"/>
  <c r="R49" i="57"/>
  <c r="J56" i="57"/>
  <c r="R57" i="57"/>
  <c r="J64" i="57"/>
  <c r="J66" i="57"/>
  <c r="R70" i="57"/>
  <c r="R73" i="57"/>
  <c r="V14" i="58"/>
  <c r="V16" i="58"/>
  <c r="V18" i="58"/>
  <c r="J22" i="58"/>
  <c r="J26" i="58"/>
  <c r="F30" i="58"/>
  <c r="F31" i="58"/>
  <c r="J38" i="58"/>
  <c r="V42" i="58"/>
  <c r="J50" i="58"/>
  <c r="F55" i="58"/>
  <c r="J56" i="58"/>
  <c r="F62" i="58"/>
  <c r="F63" i="58"/>
  <c r="J64" i="58"/>
  <c r="R19" i="59"/>
  <c r="J22" i="59"/>
  <c r="F25" i="59"/>
  <c r="F36" i="59"/>
  <c r="J37" i="59"/>
  <c r="J42" i="59"/>
  <c r="R43" i="59"/>
  <c r="R48" i="59"/>
  <c r="P62" i="59"/>
  <c r="L12" i="60"/>
  <c r="L19" i="60"/>
  <c r="N19" i="60" s="1"/>
  <c r="F30" i="60"/>
  <c r="F35" i="60"/>
  <c r="R37" i="60"/>
  <c r="F40" i="60"/>
  <c r="R44" i="60"/>
  <c r="J14" i="61"/>
  <c r="V18" i="61"/>
  <c r="V32" i="61"/>
  <c r="Z37" i="61"/>
  <c r="F45" i="61"/>
  <c r="H16" i="64"/>
  <c r="Z51" i="64"/>
  <c r="H16" i="55"/>
  <c r="R24" i="55"/>
  <c r="R25" i="55"/>
  <c r="R37" i="55"/>
  <c r="R40" i="55"/>
  <c r="V14" i="56"/>
  <c r="V16" i="56"/>
  <c r="V18" i="56"/>
  <c r="J22" i="56"/>
  <c r="J26" i="56"/>
  <c r="V34" i="56"/>
  <c r="J42" i="56"/>
  <c r="V46" i="56"/>
  <c r="V54" i="56"/>
  <c r="J58" i="56"/>
  <c r="J66" i="56"/>
  <c r="L14" i="57"/>
  <c r="J29" i="57"/>
  <c r="R30" i="57"/>
  <c r="F33" i="57"/>
  <c r="F34" i="57"/>
  <c r="J35" i="57"/>
  <c r="R38" i="57"/>
  <c r="R39" i="57"/>
  <c r="F45" i="57"/>
  <c r="F46" i="57"/>
  <c r="J47" i="57"/>
  <c r="F53" i="57"/>
  <c r="F54" i="57"/>
  <c r="J55" i="57"/>
  <c r="F61" i="57"/>
  <c r="F62" i="57"/>
  <c r="R68" i="57"/>
  <c r="F35" i="58"/>
  <c r="F36" i="58"/>
  <c r="F47" i="58"/>
  <c r="F48" i="58"/>
  <c r="J49" i="58"/>
  <c r="J55" i="58"/>
  <c r="J63" i="58"/>
  <c r="F75" i="58"/>
  <c r="F78" i="58"/>
  <c r="F53" i="59"/>
  <c r="F43" i="59"/>
  <c r="F42" i="59"/>
  <c r="F18" i="59"/>
  <c r="F16" i="59"/>
  <c r="F14" i="59"/>
  <c r="L35" i="59"/>
  <c r="L37" i="59"/>
  <c r="L42" i="59"/>
  <c r="N42" i="59" s="1"/>
  <c r="F46" i="59"/>
  <c r="Z48" i="59"/>
  <c r="F50" i="59"/>
  <c r="X51" i="59"/>
  <c r="Z51" i="59" s="1"/>
  <c r="R56" i="59"/>
  <c r="L60" i="59"/>
  <c r="R62" i="59"/>
  <c r="F66" i="59"/>
  <c r="V14" i="60"/>
  <c r="N30" i="60"/>
  <c r="V32" i="60"/>
  <c r="R36" i="60"/>
  <c r="Z44" i="60"/>
  <c r="V16" i="61"/>
  <c r="V34" i="61"/>
  <c r="V46" i="61"/>
  <c r="T16" i="64"/>
  <c r="R53" i="64"/>
  <c r="V14" i="54"/>
  <c r="V16" i="54"/>
  <c r="V18" i="54"/>
  <c r="V20" i="54"/>
  <c r="V22" i="54"/>
  <c r="F26" i="54"/>
  <c r="F28" i="54"/>
  <c r="F29" i="54"/>
  <c r="F31" i="54"/>
  <c r="R35" i="55"/>
  <c r="X12" i="56"/>
  <c r="V19" i="56"/>
  <c r="V23" i="56"/>
  <c r="V27" i="56"/>
  <c r="J31" i="56"/>
  <c r="V35" i="56"/>
  <c r="F39" i="56"/>
  <c r="F40" i="56"/>
  <c r="J41" i="56"/>
  <c r="V47" i="56"/>
  <c r="J51" i="56"/>
  <c r="F56" i="56"/>
  <c r="J57" i="56"/>
  <c r="F63" i="56"/>
  <c r="F64" i="56"/>
  <c r="J65" i="56"/>
  <c r="J77" i="56"/>
  <c r="J80" i="56"/>
  <c r="F23" i="57"/>
  <c r="F27" i="57"/>
  <c r="J28" i="57"/>
  <c r="J34" i="57"/>
  <c r="J46" i="57"/>
  <c r="J54" i="57"/>
  <c r="J62" i="57"/>
  <c r="F21" i="58"/>
  <c r="F25" i="58"/>
  <c r="F29" i="58"/>
  <c r="J30" i="58"/>
  <c r="J36" i="58"/>
  <c r="J48" i="58"/>
  <c r="F61" i="58"/>
  <c r="J62" i="58"/>
  <c r="J69" i="59"/>
  <c r="J66" i="59"/>
  <c r="J54" i="59"/>
  <c r="J32" i="59"/>
  <c r="J58" i="59"/>
  <c r="J50" i="59"/>
  <c r="J44" i="59"/>
  <c r="J34" i="59"/>
  <c r="J30" i="59"/>
  <c r="F21" i="59"/>
  <c r="F28" i="59"/>
  <c r="F32" i="59"/>
  <c r="F35" i="59"/>
  <c r="R38" i="59"/>
  <c r="F41" i="59"/>
  <c r="J46" i="59"/>
  <c r="R51" i="59"/>
  <c r="R55" i="59"/>
  <c r="Z56" i="59"/>
  <c r="F58" i="59"/>
  <c r="T62" i="59"/>
  <c r="R51" i="60"/>
  <c r="R32" i="60"/>
  <c r="R31" i="60"/>
  <c r="R42" i="60"/>
  <c r="R41" i="60"/>
  <c r="R45" i="60"/>
  <c r="R20" i="60"/>
  <c r="R23" i="60"/>
  <c r="R26" i="60"/>
  <c r="V31" i="60"/>
  <c r="F34" i="60"/>
  <c r="V37" i="60"/>
  <c r="F39" i="60"/>
  <c r="R43" i="60"/>
  <c r="F29" i="61"/>
  <c r="V42" i="61"/>
  <c r="L18" i="64"/>
  <c r="X61" i="64"/>
  <c r="Z61" i="64" s="1"/>
  <c r="Z73" i="64"/>
  <c r="J40" i="56"/>
  <c r="V44" i="56"/>
  <c r="V52" i="56"/>
  <c r="J56" i="56"/>
  <c r="V60" i="56"/>
  <c r="J64" i="56"/>
  <c r="V68" i="56"/>
  <c r="P16" i="57"/>
  <c r="F32" i="57"/>
  <c r="R36" i="57"/>
  <c r="R37" i="57"/>
  <c r="F43" i="57"/>
  <c r="F44" i="57"/>
  <c r="J45" i="57"/>
  <c r="R48" i="57"/>
  <c r="F51" i="57"/>
  <c r="F52" i="57"/>
  <c r="J53" i="57"/>
  <c r="R56" i="57"/>
  <c r="F59" i="57"/>
  <c r="F60" i="57"/>
  <c r="J61" i="57"/>
  <c r="D16" i="58"/>
  <c r="F34" i="58"/>
  <c r="F45" i="58"/>
  <c r="F46" i="58"/>
  <c r="J47" i="58"/>
  <c r="F53" i="58"/>
  <c r="F54" i="58"/>
  <c r="J61" i="58"/>
  <c r="J75" i="58"/>
  <c r="J78" i="58"/>
  <c r="J53" i="59"/>
  <c r="V42" i="60"/>
  <c r="V34" i="60"/>
  <c r="V44" i="60"/>
  <c r="V36" i="60"/>
  <c r="V28" i="60"/>
  <c r="Z12" i="60"/>
  <c r="D53" i="60"/>
  <c r="N18" i="60"/>
  <c r="V20" i="60"/>
  <c r="V23" i="60"/>
  <c r="V26" i="60"/>
  <c r="V43" i="60"/>
  <c r="R53" i="60"/>
  <c r="F34" i="61"/>
  <c r="F30" i="61"/>
  <c r="D16" i="61"/>
  <c r="F36" i="61"/>
  <c r="F35" i="61"/>
  <c r="F38" i="61"/>
  <c r="F37" i="61"/>
  <c r="F26" i="61"/>
  <c r="F22" i="61"/>
  <c r="F51" i="61"/>
  <c r="F49" i="61"/>
  <c r="F40" i="61"/>
  <c r="F39" i="61"/>
  <c r="F32" i="61"/>
  <c r="L12" i="61"/>
  <c r="F42" i="61"/>
  <c r="F41" i="61"/>
  <c r="F58" i="61"/>
  <c r="F55" i="61"/>
  <c r="F24" i="61"/>
  <c r="F20" i="61"/>
  <c r="F19" i="61"/>
  <c r="F31" i="61"/>
  <c r="N18" i="64"/>
  <c r="X92" i="64"/>
  <c r="P90" i="64"/>
  <c r="X90" i="64" s="1"/>
  <c r="Z12" i="54"/>
  <c r="J26" i="54"/>
  <c r="J28" i="54"/>
  <c r="J29" i="54"/>
  <c r="J31" i="54"/>
  <c r="D16" i="56"/>
  <c r="J21" i="56"/>
  <c r="J25" i="56"/>
  <c r="F29" i="56"/>
  <c r="F30" i="56"/>
  <c r="V33" i="56"/>
  <c r="F37" i="56"/>
  <c r="F38" i="56"/>
  <c r="J39" i="56"/>
  <c r="V45" i="56"/>
  <c r="F49" i="56"/>
  <c r="F50" i="56"/>
  <c r="V53" i="56"/>
  <c r="F62" i="56"/>
  <c r="J63" i="56"/>
  <c r="F71" i="56"/>
  <c r="F73" i="56"/>
  <c r="J75" i="56"/>
  <c r="N12" i="57"/>
  <c r="R14" i="57"/>
  <c r="R16" i="57"/>
  <c r="R18" i="57"/>
  <c r="R29" i="57"/>
  <c r="J32" i="57"/>
  <c r="L33" i="57"/>
  <c r="X39" i="57"/>
  <c r="Z39" i="57" s="1"/>
  <c r="J44" i="57"/>
  <c r="L45" i="57"/>
  <c r="J52" i="57"/>
  <c r="J60" i="57"/>
  <c r="R64" i="57"/>
  <c r="R66" i="57"/>
  <c r="F14" i="58"/>
  <c r="F16" i="58"/>
  <c r="F18" i="58"/>
  <c r="J34" i="58"/>
  <c r="L35" i="58"/>
  <c r="N35" i="58" s="1"/>
  <c r="X41" i="58"/>
  <c r="Z41" i="58" s="1"/>
  <c r="J46" i="58"/>
  <c r="L47" i="58"/>
  <c r="N47" i="58" s="1"/>
  <c r="J54" i="58"/>
  <c r="F73" i="58"/>
  <c r="N12" i="59"/>
  <c r="F24" i="59"/>
  <c r="R25" i="59"/>
  <c r="J35" i="59"/>
  <c r="R36" i="59"/>
  <c r="R37" i="59"/>
  <c r="F40" i="59"/>
  <c r="F45" i="59"/>
  <c r="R50" i="59"/>
  <c r="X56" i="59"/>
  <c r="X12" i="60"/>
  <c r="F16" i="60"/>
  <c r="F28" i="60"/>
  <c r="R35" i="60"/>
  <c r="R40" i="60"/>
  <c r="V53" i="60"/>
  <c r="J45" i="61"/>
  <c r="J35" i="61"/>
  <c r="J25" i="61"/>
  <c r="J21" i="61"/>
  <c r="J47" i="61"/>
  <c r="J37" i="61"/>
  <c r="J31" i="61"/>
  <c r="J51" i="61"/>
  <c r="J49" i="61"/>
  <c r="J39" i="61"/>
  <c r="J53" i="61"/>
  <c r="J41" i="61"/>
  <c r="J27" i="61"/>
  <c r="J23" i="61"/>
  <c r="J58" i="61"/>
  <c r="J55" i="61"/>
  <c r="J33" i="61"/>
  <c r="J29" i="61"/>
  <c r="J19" i="61"/>
  <c r="J43" i="61"/>
  <c r="H16" i="61"/>
  <c r="F18" i="61"/>
  <c r="V22" i="61"/>
  <c r="F28" i="61"/>
  <c r="F33" i="61"/>
  <c r="V36" i="61"/>
  <c r="N41" i="61"/>
  <c r="J44" i="61"/>
  <c r="F47" i="61"/>
  <c r="N38" i="64"/>
  <c r="N46" i="64"/>
  <c r="Z90" i="64"/>
  <c r="Z92" i="64"/>
  <c r="Z29" i="68"/>
  <c r="Z35" i="68"/>
  <c r="D16" i="54"/>
  <c r="F24" i="54"/>
  <c r="P16" i="55"/>
  <c r="R20" i="55"/>
  <c r="R21" i="55"/>
  <c r="R31" i="55"/>
  <c r="R33" i="55"/>
  <c r="V22" i="56"/>
  <c r="V26" i="56"/>
  <c r="J30" i="56"/>
  <c r="J38" i="56"/>
  <c r="V42" i="56"/>
  <c r="J50" i="56"/>
  <c r="F55" i="56"/>
  <c r="V58" i="56"/>
  <c r="J62" i="56"/>
  <c r="V66" i="56"/>
  <c r="T16" i="57"/>
  <c r="R19" i="57"/>
  <c r="F22" i="57"/>
  <c r="F26" i="57"/>
  <c r="R34" i="57"/>
  <c r="R35" i="57"/>
  <c r="F41" i="57"/>
  <c r="F42" i="57"/>
  <c r="J43" i="57"/>
  <c r="R46" i="57"/>
  <c r="R47" i="57"/>
  <c r="F50" i="57"/>
  <c r="J51" i="57"/>
  <c r="R54" i="57"/>
  <c r="R55" i="57"/>
  <c r="F58" i="57"/>
  <c r="J59" i="57"/>
  <c r="R62" i="57"/>
  <c r="H16" i="58"/>
  <c r="F19" i="58"/>
  <c r="F20" i="58"/>
  <c r="F24" i="58"/>
  <c r="F28" i="58"/>
  <c r="F43" i="58"/>
  <c r="F44" i="58"/>
  <c r="J45" i="58"/>
  <c r="F52" i="58"/>
  <c r="J53" i="58"/>
  <c r="F60" i="58"/>
  <c r="F69" i="58"/>
  <c r="F71" i="58"/>
  <c r="J73" i="58"/>
  <c r="R57" i="59"/>
  <c r="R49" i="59"/>
  <c r="R42" i="59"/>
  <c r="R41" i="59"/>
  <c r="R33" i="59"/>
  <c r="R18" i="59"/>
  <c r="R16" i="59"/>
  <c r="R31" i="59"/>
  <c r="J24" i="59"/>
  <c r="F27" i="59"/>
  <c r="R29" i="59"/>
  <c r="R32" i="59"/>
  <c r="F34" i="59"/>
  <c r="J45" i="59"/>
  <c r="R46" i="59"/>
  <c r="F49" i="59"/>
  <c r="R54" i="59"/>
  <c r="R58" i="59"/>
  <c r="F64" i="59"/>
  <c r="H16" i="60"/>
  <c r="X19" i="60"/>
  <c r="Z19" i="60" s="1"/>
  <c r="R30" i="60"/>
  <c r="V35" i="60"/>
  <c r="V40" i="60"/>
  <c r="R47" i="60"/>
  <c r="N19" i="61"/>
  <c r="V24" i="61"/>
  <c r="P51" i="61"/>
  <c r="R71" i="64"/>
  <c r="R70" i="64"/>
  <c r="R97" i="64"/>
  <c r="R90" i="64"/>
  <c r="R75" i="64"/>
  <c r="R95" i="64"/>
  <c r="R74" i="64"/>
  <c r="R61" i="64"/>
  <c r="R36" i="64"/>
  <c r="R35" i="64"/>
  <c r="R31" i="64"/>
  <c r="R82" i="64"/>
  <c r="R69" i="64"/>
  <c r="R55" i="64"/>
  <c r="R54" i="64"/>
  <c r="R26" i="64"/>
  <c r="R22" i="64"/>
  <c r="R86" i="64"/>
  <c r="R46" i="64"/>
  <c r="R45" i="64"/>
  <c r="R38" i="64"/>
  <c r="R37" i="64"/>
  <c r="R87" i="64"/>
  <c r="R83" i="64"/>
  <c r="R62" i="64"/>
  <c r="R57" i="64"/>
  <c r="R56" i="64"/>
  <c r="R32" i="64"/>
  <c r="X12" i="64"/>
  <c r="R78" i="64"/>
  <c r="R66" i="64"/>
  <c r="R47" i="64"/>
  <c r="R39" i="64"/>
  <c r="R28" i="64"/>
  <c r="R27" i="64"/>
  <c r="R23" i="64"/>
  <c r="R84" i="64"/>
  <c r="R79" i="64"/>
  <c r="R67" i="64"/>
  <c r="R63" i="64"/>
  <c r="R19" i="64"/>
  <c r="R33" i="64"/>
  <c r="R29" i="64"/>
  <c r="R18" i="64"/>
  <c r="R16" i="64"/>
  <c r="R14" i="64"/>
  <c r="R99" i="64"/>
  <c r="R88" i="64"/>
  <c r="R76" i="64"/>
  <c r="R64" i="64"/>
  <c r="R58" i="64"/>
  <c r="R49" i="64"/>
  <c r="R48" i="64"/>
  <c r="R41" i="64"/>
  <c r="R40" i="64"/>
  <c r="R24" i="64"/>
  <c r="R20" i="64"/>
  <c r="P16" i="64"/>
  <c r="R73" i="64"/>
  <c r="R72" i="64"/>
  <c r="R59" i="64"/>
  <c r="R102" i="64"/>
  <c r="R85" i="64"/>
  <c r="R80" i="64"/>
  <c r="R68" i="64"/>
  <c r="R51" i="64"/>
  <c r="R50" i="64"/>
  <c r="R43" i="64"/>
  <c r="R42" i="64"/>
  <c r="R34" i="64"/>
  <c r="R30" i="64"/>
  <c r="R93" i="64"/>
  <c r="R92" i="64"/>
  <c r="R91" i="64"/>
  <c r="R81" i="64"/>
  <c r="R25" i="64"/>
  <c r="R21" i="64"/>
  <c r="F14" i="54"/>
  <c r="F16" i="54"/>
  <c r="F18" i="54"/>
  <c r="F20" i="54"/>
  <c r="J24" i="54"/>
  <c r="N12" i="55"/>
  <c r="R14" i="55"/>
  <c r="R16" i="55"/>
  <c r="R18" i="55"/>
  <c r="V20" i="55"/>
  <c r="J28" i="55"/>
  <c r="R29" i="55"/>
  <c r="H16" i="56"/>
  <c r="F19" i="56"/>
  <c r="F20" i="56"/>
  <c r="F24" i="56"/>
  <c r="F28" i="56"/>
  <c r="J29" i="56"/>
  <c r="V31" i="56"/>
  <c r="F35" i="56"/>
  <c r="F36" i="56"/>
  <c r="J37" i="56"/>
  <c r="R40" i="56"/>
  <c r="R41" i="56"/>
  <c r="V43" i="56"/>
  <c r="F47" i="56"/>
  <c r="F48" i="56"/>
  <c r="J49" i="56"/>
  <c r="V51" i="56"/>
  <c r="J55" i="56"/>
  <c r="R56" i="56"/>
  <c r="R57" i="56"/>
  <c r="V59" i="56"/>
  <c r="R64" i="56"/>
  <c r="R65" i="56"/>
  <c r="V67" i="56"/>
  <c r="J71" i="56"/>
  <c r="J73" i="56"/>
  <c r="R77" i="56"/>
  <c r="V14" i="57"/>
  <c r="V16" i="57"/>
  <c r="V18" i="57"/>
  <c r="J22" i="57"/>
  <c r="R23" i="57"/>
  <c r="J26" i="57"/>
  <c r="R27" i="57"/>
  <c r="R28" i="57"/>
  <c r="F31" i="57"/>
  <c r="V34" i="57"/>
  <c r="J42" i="57"/>
  <c r="V46" i="57"/>
  <c r="J50" i="57"/>
  <c r="V54" i="57"/>
  <c r="J58" i="57"/>
  <c r="V62" i="57"/>
  <c r="V64" i="57"/>
  <c r="F70" i="57"/>
  <c r="F73" i="57"/>
  <c r="J14" i="58"/>
  <c r="J16" i="58"/>
  <c r="J18" i="58"/>
  <c r="J20" i="58"/>
  <c r="J24" i="58"/>
  <c r="J28" i="58"/>
  <c r="F33" i="58"/>
  <c r="V36" i="58"/>
  <c r="J44" i="58"/>
  <c r="V48" i="58"/>
  <c r="J52" i="58"/>
  <c r="V56" i="58"/>
  <c r="J60" i="58"/>
  <c r="V44" i="59"/>
  <c r="V28" i="59"/>
  <c r="V24" i="59"/>
  <c r="V20" i="59"/>
  <c r="V69" i="59"/>
  <c r="V66" i="59"/>
  <c r="V64" i="59"/>
  <c r="V54" i="59"/>
  <c r="V46" i="59"/>
  <c r="V38" i="59"/>
  <c r="V26" i="59"/>
  <c r="V22" i="59"/>
  <c r="F19" i="59"/>
  <c r="F20" i="59"/>
  <c r="R21" i="59"/>
  <c r="J27" i="59"/>
  <c r="R28" i="59"/>
  <c r="F31" i="59"/>
  <c r="V32" i="59"/>
  <c r="X35" i="59"/>
  <c r="Z35" i="59" s="1"/>
  <c r="V37" i="59"/>
  <c r="F39" i="59"/>
  <c r="J40" i="59"/>
  <c r="V41" i="59"/>
  <c r="F44" i="59"/>
  <c r="J49" i="59"/>
  <c r="R53" i="59"/>
  <c r="F57" i="59"/>
  <c r="V58" i="59"/>
  <c r="J64" i="59"/>
  <c r="R66" i="59"/>
  <c r="F14" i="60"/>
  <c r="R19" i="60"/>
  <c r="R22" i="60"/>
  <c r="R25" i="60"/>
  <c r="R29" i="60"/>
  <c r="Z30" i="60"/>
  <c r="F37" i="60"/>
  <c r="F38" i="60"/>
  <c r="X39" i="60"/>
  <c r="Z39" i="60" s="1"/>
  <c r="V14" i="61"/>
  <c r="J18" i="61"/>
  <c r="J28" i="61"/>
  <c r="N35" i="61"/>
  <c r="F43" i="61"/>
  <c r="F46" i="61"/>
  <c r="N28" i="64"/>
  <c r="Z38" i="64"/>
  <c r="R44" i="64"/>
  <c r="Z46" i="64"/>
  <c r="T16" i="55"/>
  <c r="R19" i="55"/>
  <c r="J14" i="56"/>
  <c r="J16" i="56"/>
  <c r="J18" i="56"/>
  <c r="J20" i="56"/>
  <c r="J24" i="56"/>
  <c r="J28" i="56"/>
  <c r="J36" i="56"/>
  <c r="V40" i="56"/>
  <c r="J48" i="56"/>
  <c r="V56" i="56"/>
  <c r="F61" i="56"/>
  <c r="V64" i="56"/>
  <c r="F69" i="56"/>
  <c r="J31" i="57"/>
  <c r="R32" i="57"/>
  <c r="R33" i="57"/>
  <c r="F39" i="57"/>
  <c r="F40" i="57"/>
  <c r="J41" i="57"/>
  <c r="R44" i="57"/>
  <c r="R45" i="57"/>
  <c r="R52" i="57"/>
  <c r="R53" i="57"/>
  <c r="R60" i="57"/>
  <c r="R61" i="57"/>
  <c r="F41" i="58"/>
  <c r="F42" i="58"/>
  <c r="J43" i="58"/>
  <c r="J69" i="58"/>
  <c r="J71" i="58"/>
  <c r="F23" i="59"/>
  <c r="J31" i="59"/>
  <c r="J39" i="59"/>
  <c r="F48" i="59"/>
  <c r="F52" i="59"/>
  <c r="J57" i="59"/>
  <c r="V22" i="60"/>
  <c r="V25" i="60"/>
  <c r="V29" i="60"/>
  <c r="V30" i="60"/>
  <c r="R34" i="60"/>
  <c r="R39" i="60"/>
  <c r="V45" i="60"/>
  <c r="V47" i="60"/>
  <c r="V41" i="61"/>
  <c r="V58" i="61"/>
  <c r="V55" i="61"/>
  <c r="V53" i="61"/>
  <c r="V27" i="61"/>
  <c r="V23" i="61"/>
  <c r="V19" i="61"/>
  <c r="X12" i="61"/>
  <c r="V33" i="61"/>
  <c r="V29" i="61"/>
  <c r="T16" i="61"/>
  <c r="V43" i="61"/>
  <c r="V35" i="61"/>
  <c r="V45" i="61"/>
  <c r="V37" i="61"/>
  <c r="V25" i="61"/>
  <c r="V21" i="61"/>
  <c r="V51" i="61"/>
  <c r="V49" i="61"/>
  <c r="V47" i="61"/>
  <c r="V39" i="61"/>
  <c r="V31" i="61"/>
  <c r="F21" i="61"/>
  <c r="V38" i="61"/>
  <c r="X36" i="64"/>
  <c r="Z36" i="64" s="1"/>
  <c r="R60" i="64"/>
  <c r="J14" i="54"/>
  <c r="J16" i="54"/>
  <c r="J18" i="54"/>
  <c r="J20" i="54"/>
  <c r="V14" i="55"/>
  <c r="V16" i="55"/>
  <c r="J26" i="55"/>
  <c r="J19" i="56"/>
  <c r="V21" i="56"/>
  <c r="V25" i="56"/>
  <c r="F33" i="56"/>
  <c r="F34" i="56"/>
  <c r="J35" i="56"/>
  <c r="V41" i="56"/>
  <c r="F45" i="56"/>
  <c r="F46" i="56"/>
  <c r="J47" i="56"/>
  <c r="F53" i="56"/>
  <c r="F54" i="56"/>
  <c r="V57" i="56"/>
  <c r="J61" i="56"/>
  <c r="V65" i="56"/>
  <c r="J69" i="56"/>
  <c r="V75" i="56"/>
  <c r="V77" i="56"/>
  <c r="V80" i="56"/>
  <c r="F21" i="57"/>
  <c r="F25" i="57"/>
  <c r="J40" i="57"/>
  <c r="F49" i="57"/>
  <c r="F57" i="57"/>
  <c r="J70" i="57"/>
  <c r="J73" i="57"/>
  <c r="F23" i="58"/>
  <c r="F27" i="58"/>
  <c r="J42" i="58"/>
  <c r="F51" i="58"/>
  <c r="F58" i="58"/>
  <c r="F59" i="58"/>
  <c r="F66" i="58"/>
  <c r="F67" i="58"/>
  <c r="D16" i="59"/>
  <c r="N48" i="59"/>
  <c r="J52" i="59"/>
  <c r="F56" i="59"/>
  <c r="F62" i="59"/>
  <c r="P56" i="60"/>
  <c r="Z18" i="60"/>
  <c r="V19" i="60"/>
  <c r="R33" i="60"/>
  <c r="Z42" i="60"/>
  <c r="N44" i="60"/>
  <c r="V51" i="60"/>
  <c r="Z12" i="61"/>
  <c r="Z19" i="61"/>
  <c r="F23" i="61"/>
  <c r="Z41" i="61"/>
  <c r="J46" i="61"/>
  <c r="F53" i="61"/>
  <c r="D16" i="64"/>
  <c r="L14" i="64"/>
  <c r="Z28" i="64"/>
  <c r="X12" i="55"/>
  <c r="X14" i="55"/>
  <c r="X18" i="55"/>
  <c r="Z18" i="55" s="1"/>
  <c r="V30" i="56"/>
  <c r="J34" i="56"/>
  <c r="V38" i="56"/>
  <c r="J46" i="56"/>
  <c r="V50" i="56"/>
  <c r="J54" i="56"/>
  <c r="V62" i="56"/>
  <c r="R22" i="57"/>
  <c r="R26" i="57"/>
  <c r="X28" i="57"/>
  <c r="Z28" i="57" s="1"/>
  <c r="F30" i="57"/>
  <c r="F37" i="57"/>
  <c r="F38" i="57"/>
  <c r="J39" i="57"/>
  <c r="R42" i="57"/>
  <c r="R43" i="57"/>
  <c r="J49" i="57"/>
  <c r="R50" i="57"/>
  <c r="R51" i="57"/>
  <c r="J57" i="57"/>
  <c r="R58" i="57"/>
  <c r="R59" i="57"/>
  <c r="F68" i="57"/>
  <c r="X30" i="58"/>
  <c r="Z30" i="58" s="1"/>
  <c r="F32" i="58"/>
  <c r="F39" i="58"/>
  <c r="F40" i="58"/>
  <c r="J41" i="58"/>
  <c r="J51" i="58"/>
  <c r="J59" i="58"/>
  <c r="X62" i="58"/>
  <c r="Z62" i="58" s="1"/>
  <c r="J67" i="58"/>
  <c r="H16" i="59"/>
  <c r="L18" i="59"/>
  <c r="N18" i="59" s="1"/>
  <c r="L19" i="59"/>
  <c r="F26" i="59"/>
  <c r="F33" i="59"/>
  <c r="R40" i="59"/>
  <c r="J43" i="59"/>
  <c r="F47" i="59"/>
  <c r="J48" i="59"/>
  <c r="F51" i="59"/>
  <c r="R64" i="59"/>
  <c r="L14" i="60"/>
  <c r="R16" i="60"/>
  <c r="V18" i="60"/>
  <c r="R28" i="60"/>
  <c r="L32" i="60"/>
  <c r="V33" i="60"/>
  <c r="R38" i="60"/>
  <c r="V39" i="60"/>
  <c r="F16" i="61"/>
  <c r="F25" i="61"/>
  <c r="N37" i="61"/>
  <c r="V44" i="61"/>
  <c r="V24" i="54"/>
  <c r="V26" i="54"/>
  <c r="V28" i="54"/>
  <c r="V29" i="54"/>
  <c r="L12" i="56"/>
  <c r="J23" i="56"/>
  <c r="J27" i="56"/>
  <c r="F32" i="56"/>
  <c r="J33" i="56"/>
  <c r="V39" i="56"/>
  <c r="F43" i="56"/>
  <c r="F44" i="56"/>
  <c r="J45" i="56"/>
  <c r="F52" i="56"/>
  <c r="V55" i="56"/>
  <c r="F59" i="56"/>
  <c r="F60" i="56"/>
  <c r="F67" i="56"/>
  <c r="F14" i="57"/>
  <c r="F16" i="57"/>
  <c r="F18" i="57"/>
  <c r="J30" i="57"/>
  <c r="J38" i="57"/>
  <c r="F64" i="57"/>
  <c r="N12" i="58"/>
  <c r="J32" i="58"/>
  <c r="J40" i="58"/>
  <c r="F56" i="58"/>
  <c r="F57" i="58"/>
  <c r="J58" i="58"/>
  <c r="F64" i="58"/>
  <c r="J16" i="59"/>
  <c r="R20" i="59"/>
  <c r="J26" i="59"/>
  <c r="J33" i="59"/>
  <c r="F37" i="59"/>
  <c r="F38" i="59"/>
  <c r="R39" i="59"/>
  <c r="Z40" i="59"/>
  <c r="J47" i="59"/>
  <c r="L48" i="59"/>
  <c r="R52" i="59"/>
  <c r="F55" i="59"/>
  <c r="J56" i="59"/>
  <c r="F60" i="59"/>
  <c r="J62" i="59"/>
  <c r="F43" i="60"/>
  <c r="F42" i="60"/>
  <c r="F45" i="60"/>
  <c r="F44" i="60"/>
  <c r="F27" i="60"/>
  <c r="F23" i="60"/>
  <c r="F51" i="60"/>
  <c r="F41" i="60"/>
  <c r="F33" i="60"/>
  <c r="F32" i="60"/>
  <c r="F25" i="60"/>
  <c r="F21" i="60"/>
  <c r="T16" i="60"/>
  <c r="X18" i="60"/>
  <c r="R21" i="60"/>
  <c r="R24" i="60"/>
  <c r="R27" i="60"/>
  <c r="F31" i="60"/>
  <c r="V38" i="60"/>
  <c r="F49" i="60"/>
  <c r="R56" i="60"/>
  <c r="F14" i="61"/>
  <c r="J16" i="61"/>
  <c r="F27" i="61"/>
  <c r="Z35" i="61"/>
  <c r="X14" i="64"/>
  <c r="N67" i="64"/>
  <c r="Z91" i="64"/>
  <c r="J34" i="60"/>
  <c r="J42" i="60"/>
  <c r="R36" i="61"/>
  <c r="R37" i="61"/>
  <c r="J14" i="64"/>
  <c r="J16" i="64"/>
  <c r="J18" i="64"/>
  <c r="J20" i="64"/>
  <c r="J24" i="64"/>
  <c r="F28" i="64"/>
  <c r="F29" i="64"/>
  <c r="F33" i="64"/>
  <c r="V36" i="64"/>
  <c r="J40" i="64"/>
  <c r="V44" i="64"/>
  <c r="J48" i="64"/>
  <c r="V52" i="64"/>
  <c r="F58" i="64"/>
  <c r="V60" i="64"/>
  <c r="V61" i="64"/>
  <c r="F63" i="64"/>
  <c r="J64" i="64"/>
  <c r="F67" i="64"/>
  <c r="J76" i="64"/>
  <c r="F79" i="64"/>
  <c r="P16" i="68"/>
  <c r="Z18" i="68"/>
  <c r="J23" i="68"/>
  <c r="V24" i="68"/>
  <c r="J26" i="68"/>
  <c r="N29" i="68"/>
  <c r="J37" i="68"/>
  <c r="J42" i="68"/>
  <c r="V43" i="68"/>
  <c r="V52" i="68"/>
  <c r="Z28" i="69"/>
  <c r="Z35" i="69"/>
  <c r="X35" i="69"/>
  <c r="R20" i="70"/>
  <c r="R39" i="70"/>
  <c r="V92" i="71"/>
  <c r="F91" i="64"/>
  <c r="F82" i="64"/>
  <c r="F81" i="64"/>
  <c r="F62" i="64"/>
  <c r="F61" i="64"/>
  <c r="F57" i="64"/>
  <c r="J71" i="64"/>
  <c r="F84" i="64"/>
  <c r="R16" i="68"/>
  <c r="R21" i="68"/>
  <c r="R32" i="68"/>
  <c r="R40" i="68"/>
  <c r="V48" i="68"/>
  <c r="T12" i="69"/>
  <c r="Z15" i="69"/>
  <c r="X15" i="69"/>
  <c r="N90" i="69"/>
  <c r="N48" i="84"/>
  <c r="L48" i="84"/>
  <c r="J102" i="64"/>
  <c r="J99" i="64"/>
  <c r="J83" i="64"/>
  <c r="J69" i="64"/>
  <c r="J63" i="64"/>
  <c r="J86" i="64"/>
  <c r="J78" i="64"/>
  <c r="J74" i="64"/>
  <c r="J66" i="64"/>
  <c r="J58" i="64"/>
  <c r="F23" i="64"/>
  <c r="F27" i="64"/>
  <c r="J28" i="64"/>
  <c r="F38" i="64"/>
  <c r="F39" i="64"/>
  <c r="F46" i="64"/>
  <c r="F47" i="64"/>
  <c r="J67" i="64"/>
  <c r="F70" i="64"/>
  <c r="J79" i="64"/>
  <c r="F83" i="64"/>
  <c r="J84" i="64"/>
  <c r="F87" i="64"/>
  <c r="F97" i="64"/>
  <c r="T16" i="68"/>
  <c r="R23" i="68"/>
  <c r="J28" i="68"/>
  <c r="V34" i="68"/>
  <c r="Z37" i="68"/>
  <c r="R63" i="68"/>
  <c r="Z32" i="69"/>
  <c r="L90" i="69"/>
  <c r="Z110" i="69"/>
  <c r="X112" i="69"/>
  <c r="J52" i="70"/>
  <c r="J63" i="70"/>
  <c r="J59" i="70"/>
  <c r="J60" i="70"/>
  <c r="J54" i="70"/>
  <c r="J48" i="70"/>
  <c r="J37" i="70"/>
  <c r="J33" i="70"/>
  <c r="J23" i="70"/>
  <c r="J49" i="70"/>
  <c r="J38" i="70"/>
  <c r="J28" i="70"/>
  <c r="J24" i="70"/>
  <c r="J22" i="70"/>
  <c r="J20" i="70"/>
  <c r="J39" i="70"/>
  <c r="H20" i="70"/>
  <c r="J62" i="70"/>
  <c r="J56" i="70"/>
  <c r="J40" i="70"/>
  <c r="J34" i="70"/>
  <c r="J71" i="70"/>
  <c r="J65" i="70"/>
  <c r="J41" i="70"/>
  <c r="J29" i="70"/>
  <c r="J25" i="70"/>
  <c r="J57" i="70"/>
  <c r="J53" i="70"/>
  <c r="J50" i="70"/>
  <c r="J42" i="70"/>
  <c r="J43" i="70"/>
  <c r="J35" i="70"/>
  <c r="J58" i="70"/>
  <c r="J44" i="70"/>
  <c r="J30" i="70"/>
  <c r="J26" i="70"/>
  <c r="J16" i="70"/>
  <c r="J67" i="70"/>
  <c r="J51" i="70"/>
  <c r="J45" i="70"/>
  <c r="J17" i="70"/>
  <c r="J61" i="70"/>
  <c r="J47" i="70"/>
  <c r="J31" i="70"/>
  <c r="J27" i="70"/>
  <c r="F32" i="64"/>
  <c r="J39" i="64"/>
  <c r="J47" i="64"/>
  <c r="F55" i="64"/>
  <c r="F56" i="64"/>
  <c r="J57" i="64"/>
  <c r="Z59" i="64"/>
  <c r="F66" i="64"/>
  <c r="J70" i="64"/>
  <c r="F75" i="64"/>
  <c r="F78" i="64"/>
  <c r="X81" i="64"/>
  <c r="Z81" i="64" s="1"/>
  <c r="X91" i="64"/>
  <c r="J97" i="64"/>
  <c r="R29" i="68"/>
  <c r="J102" i="69"/>
  <c r="J78" i="69"/>
  <c r="J74" i="69"/>
  <c r="J48" i="69"/>
  <c r="J109" i="69"/>
  <c r="J65" i="69"/>
  <c r="J61" i="69"/>
  <c r="J57" i="69"/>
  <c r="J53" i="69"/>
  <c r="J49" i="69"/>
  <c r="J110" i="69"/>
  <c r="J92" i="69"/>
  <c r="J84" i="69"/>
  <c r="J111" i="69"/>
  <c r="J103" i="69"/>
  <c r="J93" i="69"/>
  <c r="J79" i="69"/>
  <c r="J75" i="69"/>
  <c r="J112" i="69"/>
  <c r="J104" i="69"/>
  <c r="J94" i="69"/>
  <c r="J66" i="69"/>
  <c r="J62" i="69"/>
  <c r="J58" i="69"/>
  <c r="J54" i="69"/>
  <c r="J50" i="69"/>
  <c r="J113" i="69"/>
  <c r="J105" i="69"/>
  <c r="J95" i="69"/>
  <c r="J85" i="69"/>
  <c r="J96" i="69"/>
  <c r="J86" i="69"/>
  <c r="J80" i="69"/>
  <c r="J76" i="69"/>
  <c r="J115" i="69"/>
  <c r="J97" i="69"/>
  <c r="J87" i="69"/>
  <c r="J81" i="69"/>
  <c r="J67" i="69"/>
  <c r="J63" i="69"/>
  <c r="J59" i="69"/>
  <c r="J55" i="69"/>
  <c r="J51" i="69"/>
  <c r="J106" i="69"/>
  <c r="J98" i="69"/>
  <c r="J88" i="69"/>
  <c r="J82" i="69"/>
  <c r="J72" i="69"/>
  <c r="J108" i="69"/>
  <c r="J100" i="69"/>
  <c r="J90" i="69"/>
  <c r="H69" i="69"/>
  <c r="J69" i="69" s="1"/>
  <c r="J64" i="69"/>
  <c r="J60" i="69"/>
  <c r="J56" i="69"/>
  <c r="J52" i="69"/>
  <c r="X19" i="69"/>
  <c r="Z19" i="69" s="1"/>
  <c r="X39" i="69"/>
  <c r="Z39" i="69" s="1"/>
  <c r="J73" i="69"/>
  <c r="V60" i="70"/>
  <c r="V55" i="70"/>
  <c r="V56" i="70"/>
  <c r="V62" i="70"/>
  <c r="V58" i="70"/>
  <c r="V50" i="70"/>
  <c r="V41" i="70"/>
  <c r="V29" i="70"/>
  <c r="V25" i="70"/>
  <c r="V71" i="70"/>
  <c r="V44" i="70"/>
  <c r="V16" i="70"/>
  <c r="V65" i="70"/>
  <c r="V53" i="70"/>
  <c r="V51" i="70"/>
  <c r="V43" i="70"/>
  <c r="V35" i="70"/>
  <c r="V46" i="70"/>
  <c r="V30" i="70"/>
  <c r="V26" i="70"/>
  <c r="V67" i="70"/>
  <c r="V45" i="70"/>
  <c r="V17" i="70"/>
  <c r="V63" i="70"/>
  <c r="V36" i="70"/>
  <c r="V32" i="70"/>
  <c r="V54" i="70"/>
  <c r="V48" i="70"/>
  <c r="V47" i="70"/>
  <c r="V31" i="70"/>
  <c r="V27" i="70"/>
  <c r="V23" i="70"/>
  <c r="V64" i="70"/>
  <c r="V61" i="70"/>
  <c r="V38" i="70"/>
  <c r="V22" i="70"/>
  <c r="V20" i="70"/>
  <c r="V18" i="70"/>
  <c r="V52" i="70"/>
  <c r="V37" i="70"/>
  <c r="V33" i="70"/>
  <c r="T20" i="70"/>
  <c r="V39" i="70"/>
  <c r="D12" i="71"/>
  <c r="Z15" i="73"/>
  <c r="X15" i="73"/>
  <c r="Z14" i="74"/>
  <c r="N12" i="64"/>
  <c r="J32" i="64"/>
  <c r="F36" i="64"/>
  <c r="F37" i="64"/>
  <c r="J38" i="64"/>
  <c r="F45" i="64"/>
  <c r="J46" i="64"/>
  <c r="X51" i="64"/>
  <c r="J56" i="64"/>
  <c r="J62" i="64"/>
  <c r="J75" i="64"/>
  <c r="J87" i="64"/>
  <c r="J61" i="68"/>
  <c r="J59" i="68"/>
  <c r="J51" i="68"/>
  <c r="J45" i="68"/>
  <c r="J29" i="68"/>
  <c r="J46" i="68"/>
  <c r="J34" i="68"/>
  <c r="J30" i="68"/>
  <c r="J63" i="68"/>
  <c r="J35" i="68"/>
  <c r="J25" i="68"/>
  <c r="J21" i="68"/>
  <c r="J52" i="68"/>
  <c r="J36" i="68"/>
  <c r="J48" i="68"/>
  <c r="J53" i="68"/>
  <c r="J49" i="68"/>
  <c r="J39" i="68"/>
  <c r="J54" i="68"/>
  <c r="J55" i="68"/>
  <c r="J41" i="68"/>
  <c r="J57" i="68"/>
  <c r="J43" i="68"/>
  <c r="J33" i="68"/>
  <c r="J19" i="68"/>
  <c r="R14" i="68"/>
  <c r="J31" i="68"/>
  <c r="N16" i="69"/>
  <c r="N88" i="69"/>
  <c r="Z90" i="69"/>
  <c r="J119" i="69"/>
  <c r="N40" i="70"/>
  <c r="V49" i="70"/>
  <c r="N41" i="71"/>
  <c r="F22" i="64"/>
  <c r="F26" i="64"/>
  <c r="J37" i="64"/>
  <c r="J45" i="64"/>
  <c r="F53" i="64"/>
  <c r="F54" i="64"/>
  <c r="J55" i="64"/>
  <c r="F86" i="64"/>
  <c r="F95" i="64"/>
  <c r="L12" i="68"/>
  <c r="L18" i="68"/>
  <c r="N18" i="68" s="1"/>
  <c r="R20" i="68"/>
  <c r="R28" i="68"/>
  <c r="V36" i="68"/>
  <c r="X23" i="69"/>
  <c r="Z23" i="69" s="1"/>
  <c r="J71" i="69"/>
  <c r="J18" i="70"/>
  <c r="R22" i="70"/>
  <c r="V24" i="70"/>
  <c r="R33" i="70"/>
  <c r="R52" i="70"/>
  <c r="L16" i="71"/>
  <c r="N16" i="71" s="1"/>
  <c r="Z25" i="71"/>
  <c r="X25" i="71"/>
  <c r="D12" i="74"/>
  <c r="J28" i="60"/>
  <c r="R19" i="61"/>
  <c r="R42" i="61"/>
  <c r="R55" i="61"/>
  <c r="V85" i="64"/>
  <c r="V77" i="64"/>
  <c r="V73" i="64"/>
  <c r="V65" i="64"/>
  <c r="V57" i="64"/>
  <c r="V82" i="64"/>
  <c r="V62" i="64"/>
  <c r="V14" i="64"/>
  <c r="V16" i="64"/>
  <c r="V18" i="64"/>
  <c r="J22" i="64"/>
  <c r="J26" i="64"/>
  <c r="F31" i="64"/>
  <c r="F35" i="64"/>
  <c r="J36" i="64"/>
  <c r="J54" i="64"/>
  <c r="J61" i="64"/>
  <c r="Z67" i="64"/>
  <c r="F69" i="64"/>
  <c r="V70" i="64"/>
  <c r="V71" i="64"/>
  <c r="Z79" i="64"/>
  <c r="J82" i="64"/>
  <c r="V84" i="64"/>
  <c r="L93" i="64"/>
  <c r="V97" i="64"/>
  <c r="N12" i="68"/>
  <c r="V14" i="68"/>
  <c r="V20" i="68"/>
  <c r="J22" i="68"/>
  <c r="J27" i="68"/>
  <c r="V28" i="68"/>
  <c r="J38" i="68"/>
  <c r="Z39" i="68"/>
  <c r="Z56" i="68"/>
  <c r="J65" i="68"/>
  <c r="Z16" i="69"/>
  <c r="N20" i="69"/>
  <c r="N40" i="69"/>
  <c r="N48" i="69"/>
  <c r="J91" i="69"/>
  <c r="X104" i="69"/>
  <c r="Z104" i="69" s="1"/>
  <c r="Z22" i="70"/>
  <c r="V59" i="70"/>
  <c r="J64" i="70"/>
  <c r="J103" i="71"/>
  <c r="J97" i="71"/>
  <c r="J79" i="71"/>
  <c r="J55" i="71"/>
  <c r="J51" i="71"/>
  <c r="J47" i="71"/>
  <c r="J43" i="71"/>
  <c r="J104" i="71"/>
  <c r="J98" i="71"/>
  <c r="J80" i="71"/>
  <c r="J74" i="71"/>
  <c r="J105" i="71"/>
  <c r="J99" i="71"/>
  <c r="J89" i="71"/>
  <c r="J81" i="71"/>
  <c r="J69" i="71"/>
  <c r="J65" i="71"/>
  <c r="J100" i="71"/>
  <c r="J90" i="71"/>
  <c r="J56" i="71"/>
  <c r="J52" i="71"/>
  <c r="J48" i="71"/>
  <c r="J44" i="71"/>
  <c r="J91" i="71"/>
  <c r="J75" i="71"/>
  <c r="J106" i="71"/>
  <c r="J107" i="71"/>
  <c r="J101" i="71"/>
  <c r="J93" i="71"/>
  <c r="J83" i="71"/>
  <c r="J57" i="71"/>
  <c r="J53" i="71"/>
  <c r="J49" i="71"/>
  <c r="J45" i="71"/>
  <c r="J108" i="71"/>
  <c r="J94" i="71"/>
  <c r="J115" i="71"/>
  <c r="J109" i="71"/>
  <c r="J95" i="71"/>
  <c r="J85" i="71"/>
  <c r="J71" i="71"/>
  <c r="J67" i="71"/>
  <c r="J114" i="71"/>
  <c r="J110" i="71"/>
  <c r="J102" i="71"/>
  <c r="J86" i="71"/>
  <c r="J72" i="71"/>
  <c r="H59" i="71"/>
  <c r="J54" i="71"/>
  <c r="J50" i="71"/>
  <c r="J46" i="71"/>
  <c r="J42" i="71"/>
  <c r="J70" i="71"/>
  <c r="J64" i="71"/>
  <c r="J59" i="71"/>
  <c r="J68" i="71"/>
  <c r="J92" i="71"/>
  <c r="J113" i="71"/>
  <c r="J73" i="71"/>
  <c r="J77" i="71"/>
  <c r="J63" i="71"/>
  <c r="J88" i="71"/>
  <c r="J84" i="71"/>
  <c r="J61" i="71"/>
  <c r="J96" i="71"/>
  <c r="J82" i="71"/>
  <c r="J41" i="71"/>
  <c r="J87" i="71"/>
  <c r="N18" i="77"/>
  <c r="F43" i="64"/>
  <c r="F44" i="64"/>
  <c r="F51" i="64"/>
  <c r="F52" i="64"/>
  <c r="F60" i="64"/>
  <c r="F65" i="64"/>
  <c r="F74" i="64"/>
  <c r="F77" i="64"/>
  <c r="F92" i="64"/>
  <c r="F93" i="64"/>
  <c r="J95" i="64"/>
  <c r="R68" i="68"/>
  <c r="R65" i="68"/>
  <c r="R52" i="68"/>
  <c r="R37" i="68"/>
  <c r="R36" i="68"/>
  <c r="R48" i="68"/>
  <c r="R47" i="68"/>
  <c r="R31" i="68"/>
  <c r="R39" i="68"/>
  <c r="R38" i="68"/>
  <c r="R26" i="68"/>
  <c r="R22" i="68"/>
  <c r="R54" i="68"/>
  <c r="R53" i="68"/>
  <c r="R49" i="68"/>
  <c r="R56" i="68"/>
  <c r="R55" i="68"/>
  <c r="R50" i="68"/>
  <c r="R43" i="68"/>
  <c r="R42" i="68"/>
  <c r="R19" i="68"/>
  <c r="R57" i="68"/>
  <c r="R61" i="68"/>
  <c r="R59" i="68"/>
  <c r="R45" i="68"/>
  <c r="R44" i="68"/>
  <c r="R46" i="68"/>
  <c r="R35" i="68"/>
  <c r="R34" i="68"/>
  <c r="R30" i="68"/>
  <c r="R25" i="68"/>
  <c r="R33" i="68"/>
  <c r="X27" i="69"/>
  <c r="Z27" i="69" s="1"/>
  <c r="R65" i="70"/>
  <c r="R53" i="70"/>
  <c r="R67" i="70"/>
  <c r="R60" i="70"/>
  <c r="R71" i="70"/>
  <c r="R61" i="70"/>
  <c r="R62" i="70"/>
  <c r="R56" i="70"/>
  <c r="R34" i="70"/>
  <c r="R57" i="70"/>
  <c r="R42" i="70"/>
  <c r="R41" i="70"/>
  <c r="R29" i="70"/>
  <c r="R25" i="70"/>
  <c r="R50" i="70"/>
  <c r="R44" i="70"/>
  <c r="R43" i="70"/>
  <c r="R35" i="70"/>
  <c r="R16" i="70"/>
  <c r="R58" i="70"/>
  <c r="R51" i="70"/>
  <c r="R30" i="70"/>
  <c r="R26" i="70"/>
  <c r="R46" i="70"/>
  <c r="R45" i="70"/>
  <c r="R17" i="70"/>
  <c r="R63" i="70"/>
  <c r="R36" i="70"/>
  <c r="X12" i="70"/>
  <c r="Z12" i="70" s="1"/>
  <c r="R54" i="70"/>
  <c r="R47" i="70"/>
  <c r="R32" i="70"/>
  <c r="R31" i="70"/>
  <c r="R27" i="70"/>
  <c r="R55" i="70"/>
  <c r="R48" i="70"/>
  <c r="R23" i="70"/>
  <c r="R18" i="70"/>
  <c r="R59" i="70"/>
  <c r="R49" i="70"/>
  <c r="R28" i="70"/>
  <c r="R24" i="70"/>
  <c r="P20" i="70"/>
  <c r="J36" i="70"/>
  <c r="J55" i="70"/>
  <c r="Z36" i="71"/>
  <c r="X36" i="71"/>
  <c r="F21" i="64"/>
  <c r="F25" i="64"/>
  <c r="J44" i="64"/>
  <c r="J52" i="64"/>
  <c r="J60" i="64"/>
  <c r="J65" i="64"/>
  <c r="F73" i="64"/>
  <c r="J77" i="64"/>
  <c r="J81" i="64"/>
  <c r="Z87" i="64"/>
  <c r="F90" i="64"/>
  <c r="J91" i="64"/>
  <c r="F102" i="64"/>
  <c r="V47" i="68"/>
  <c r="V39" i="68"/>
  <c r="V31" i="68"/>
  <c r="V54" i="68"/>
  <c r="V38" i="68"/>
  <c r="V26" i="68"/>
  <c r="V22" i="68"/>
  <c r="V53" i="68"/>
  <c r="V49" i="68"/>
  <c r="V41" i="68"/>
  <c r="V56" i="68"/>
  <c r="V40" i="68"/>
  <c r="V32" i="68"/>
  <c r="Z12" i="68"/>
  <c r="V50" i="68"/>
  <c r="V42" i="68"/>
  <c r="V61" i="68"/>
  <c r="V59" i="68"/>
  <c r="V57" i="68"/>
  <c r="V45" i="68"/>
  <c r="V33" i="68"/>
  <c r="V29" i="68"/>
  <c r="V44" i="68"/>
  <c r="V51" i="68"/>
  <c r="V35" i="68"/>
  <c r="V68" i="68"/>
  <c r="V65" i="68"/>
  <c r="V63" i="68"/>
  <c r="V37" i="68"/>
  <c r="V25" i="68"/>
  <c r="V21" i="68"/>
  <c r="R27" i="68"/>
  <c r="R41" i="68"/>
  <c r="V46" i="68"/>
  <c r="P12" i="69"/>
  <c r="X13" i="69"/>
  <c r="Z13" i="69" s="1"/>
  <c r="Z20" i="69"/>
  <c r="N24" i="69"/>
  <c r="Z40" i="69"/>
  <c r="X43" i="69"/>
  <c r="Z43" i="69" s="1"/>
  <c r="J77" i="69"/>
  <c r="J89" i="69"/>
  <c r="J107" i="69"/>
  <c r="R38" i="70"/>
  <c r="V40" i="70"/>
  <c r="V42" i="70"/>
  <c r="J46" i="70"/>
  <c r="R64" i="70"/>
  <c r="V107" i="71"/>
  <c r="V91" i="71"/>
  <c r="V83" i="71"/>
  <c r="V75" i="71"/>
  <c r="V106" i="71"/>
  <c r="V94" i="71"/>
  <c r="V82" i="71"/>
  <c r="V70" i="71"/>
  <c r="V66" i="71"/>
  <c r="V62" i="71"/>
  <c r="V115" i="71"/>
  <c r="V109" i="71"/>
  <c r="V101" i="71"/>
  <c r="V93" i="71"/>
  <c r="V85" i="71"/>
  <c r="V61" i="71"/>
  <c r="V59" i="71"/>
  <c r="V57" i="71"/>
  <c r="V53" i="71"/>
  <c r="V49" i="71"/>
  <c r="V45" i="71"/>
  <c r="V41" i="71"/>
  <c r="V114" i="71"/>
  <c r="V108" i="71"/>
  <c r="V84" i="71"/>
  <c r="V76" i="71"/>
  <c r="V72" i="71"/>
  <c r="T59" i="71"/>
  <c r="V113" i="71"/>
  <c r="V95" i="71"/>
  <c r="V87" i="71"/>
  <c r="V71" i="71"/>
  <c r="V67" i="71"/>
  <c r="V63" i="71"/>
  <c r="V112" i="71"/>
  <c r="V110" i="71"/>
  <c r="V102" i="71"/>
  <c r="V119" i="71"/>
  <c r="V97" i="71"/>
  <c r="V77" i="71"/>
  <c r="V73" i="71"/>
  <c r="V104" i="71"/>
  <c r="V96" i="71"/>
  <c r="V88" i="71"/>
  <c r="V103" i="71"/>
  <c r="V99" i="71"/>
  <c r="V79" i="71"/>
  <c r="V98" i="71"/>
  <c r="V90" i="71"/>
  <c r="V74" i="71"/>
  <c r="V81" i="71"/>
  <c r="V42" i="71"/>
  <c r="V51" i="71"/>
  <c r="V44" i="71"/>
  <c r="V105" i="71"/>
  <c r="V86" i="71"/>
  <c r="V65" i="71"/>
  <c r="V55" i="71"/>
  <c r="V100" i="71"/>
  <c r="V78" i="71"/>
  <c r="V69" i="71"/>
  <c r="V46" i="71"/>
  <c r="V80" i="71"/>
  <c r="V48" i="71"/>
  <c r="V43" i="71"/>
  <c r="V50" i="71"/>
  <c r="V52" i="71"/>
  <c r="V89" i="71"/>
  <c r="V64" i="71"/>
  <c r="V56" i="71"/>
  <c r="V47" i="71"/>
  <c r="Z22" i="71"/>
  <c r="X34" i="71"/>
  <c r="Z34" i="71" s="1"/>
  <c r="X107" i="75"/>
  <c r="F30" i="64"/>
  <c r="F34" i="64"/>
  <c r="F41" i="64"/>
  <c r="F42" i="64"/>
  <c r="J43" i="64"/>
  <c r="F49" i="64"/>
  <c r="F50" i="64"/>
  <c r="J51" i="64"/>
  <c r="F59" i="64"/>
  <c r="L81" i="64"/>
  <c r="N81" i="64" s="1"/>
  <c r="F85" i="64"/>
  <c r="J90" i="64"/>
  <c r="L91" i="64"/>
  <c r="J92" i="64"/>
  <c r="J93" i="64"/>
  <c r="X12" i="68"/>
  <c r="H61" i="68"/>
  <c r="L37" i="68"/>
  <c r="X31" i="69"/>
  <c r="Z31" i="69" s="1"/>
  <c r="J99" i="69"/>
  <c r="J101" i="69"/>
  <c r="V57" i="70"/>
  <c r="V68" i="71"/>
  <c r="F14" i="64"/>
  <c r="F16" i="64"/>
  <c r="F18" i="64"/>
  <c r="J30" i="64"/>
  <c r="J34" i="64"/>
  <c r="J42" i="64"/>
  <c r="J50" i="64"/>
  <c r="F68" i="64"/>
  <c r="F72" i="64"/>
  <c r="J73" i="64"/>
  <c r="F80" i="64"/>
  <c r="J85" i="64"/>
  <c r="X87" i="64"/>
  <c r="N91" i="64"/>
  <c r="L92" i="64"/>
  <c r="F99" i="64"/>
  <c r="D61" i="68"/>
  <c r="L16" i="68"/>
  <c r="J16" i="68"/>
  <c r="Z19" i="68"/>
  <c r="J32" i="68"/>
  <c r="J40" i="68"/>
  <c r="J50" i="68"/>
  <c r="J68" i="68"/>
  <c r="Z24" i="69"/>
  <c r="N28" i="69"/>
  <c r="L72" i="69"/>
  <c r="N72" i="69" s="1"/>
  <c r="N23" i="70"/>
  <c r="J32" i="70"/>
  <c r="N85" i="71"/>
  <c r="L14" i="68"/>
  <c r="F41" i="68"/>
  <c r="F42" i="68"/>
  <c r="F50" i="68"/>
  <c r="L12" i="70"/>
  <c r="N12" i="70" s="1"/>
  <c r="F36" i="70"/>
  <c r="F54" i="70"/>
  <c r="F67" i="70"/>
  <c r="Z17" i="71"/>
  <c r="Z27" i="71"/>
  <c r="N114" i="71"/>
  <c r="L114" i="71"/>
  <c r="J64" i="73"/>
  <c r="J56" i="73"/>
  <c r="J44" i="73"/>
  <c r="H25" i="73"/>
  <c r="J81" i="73"/>
  <c r="J65" i="73"/>
  <c r="J57" i="73"/>
  <c r="J45" i="73"/>
  <c r="J39" i="73"/>
  <c r="J70" i="73"/>
  <c r="J66" i="73"/>
  <c r="J58" i="73"/>
  <c r="J46" i="73"/>
  <c r="J34" i="73"/>
  <c r="J30" i="73"/>
  <c r="J47" i="73"/>
  <c r="J48" i="73"/>
  <c r="J40" i="73"/>
  <c r="J71" i="73"/>
  <c r="J67" i="73"/>
  <c r="J59" i="73"/>
  <c r="J49" i="73"/>
  <c r="J35" i="73"/>
  <c r="J31" i="73"/>
  <c r="J21" i="73"/>
  <c r="J72" i="73"/>
  <c r="J50" i="73"/>
  <c r="J22" i="73"/>
  <c r="J73" i="73"/>
  <c r="J51" i="73"/>
  <c r="J41" i="73"/>
  <c r="J74" i="73"/>
  <c r="J68" i="73"/>
  <c r="J60" i="73"/>
  <c r="J52" i="73"/>
  <c r="J36" i="73"/>
  <c r="J32" i="73"/>
  <c r="J75" i="73"/>
  <c r="J61" i="73"/>
  <c r="J53" i="73"/>
  <c r="J37" i="73"/>
  <c r="J23" i="73"/>
  <c r="X47" i="73"/>
  <c r="Z47" i="73" s="1"/>
  <c r="Z16" i="74"/>
  <c r="R44" i="74"/>
  <c r="J60" i="74"/>
  <c r="Z20" i="75"/>
  <c r="Z72" i="75"/>
  <c r="F30" i="70"/>
  <c r="F58" i="70"/>
  <c r="Z64" i="70"/>
  <c r="Z19" i="71"/>
  <c r="Z29" i="71"/>
  <c r="Z38" i="71"/>
  <c r="Z87" i="71"/>
  <c r="Z27" i="73"/>
  <c r="L37" i="73"/>
  <c r="N37" i="73" s="1"/>
  <c r="R39" i="73"/>
  <c r="Z43" i="73"/>
  <c r="Z22" i="74"/>
  <c r="J55" i="74"/>
  <c r="F35" i="70"/>
  <c r="F42" i="70"/>
  <c r="F43" i="70"/>
  <c r="F57" i="70"/>
  <c r="X29" i="71"/>
  <c r="Z31" i="71"/>
  <c r="X38" i="71"/>
  <c r="N61" i="71"/>
  <c r="Z19" i="73"/>
  <c r="R46" i="73"/>
  <c r="N61" i="73"/>
  <c r="L61" i="73"/>
  <c r="X20" i="74"/>
  <c r="Z20" i="74" s="1"/>
  <c r="Z24" i="74"/>
  <c r="R58" i="74"/>
  <c r="J89" i="74"/>
  <c r="L97" i="69"/>
  <c r="L115" i="69"/>
  <c r="L16" i="70"/>
  <c r="N16" i="70" s="1"/>
  <c r="X22" i="70"/>
  <c r="F50" i="70"/>
  <c r="X64" i="70"/>
  <c r="P12" i="71"/>
  <c r="L18" i="71"/>
  <c r="N18" i="71" s="1"/>
  <c r="L113" i="71"/>
  <c r="N113" i="71" s="1"/>
  <c r="R30" i="73"/>
  <c r="R77" i="74"/>
  <c r="R76" i="74"/>
  <c r="R79" i="74"/>
  <c r="R78" i="74"/>
  <c r="R70" i="74"/>
  <c r="R69" i="74"/>
  <c r="R49" i="74"/>
  <c r="R45" i="74"/>
  <c r="R55" i="74"/>
  <c r="R83" i="74"/>
  <c r="R47" i="74"/>
  <c r="R43" i="74"/>
  <c r="R82" i="74"/>
  <c r="R73" i="74"/>
  <c r="R67" i="74"/>
  <c r="R50" i="74"/>
  <c r="R38" i="74"/>
  <c r="R56" i="74"/>
  <c r="R42" i="74"/>
  <c r="R68" i="74"/>
  <c r="R61" i="74"/>
  <c r="R65" i="74"/>
  <c r="R48" i="74"/>
  <c r="R39" i="74"/>
  <c r="R74" i="74"/>
  <c r="R59" i="74"/>
  <c r="P52" i="74"/>
  <c r="R35" i="74"/>
  <c r="R71" i="74"/>
  <c r="R54" i="74"/>
  <c r="R80" i="74"/>
  <c r="R75" i="74"/>
  <c r="R57" i="74"/>
  <c r="R40" i="74"/>
  <c r="R36" i="74"/>
  <c r="R89" i="74"/>
  <c r="R62" i="74"/>
  <c r="R46" i="74"/>
  <c r="R66" i="74"/>
  <c r="R63" i="74"/>
  <c r="R85" i="74"/>
  <c r="R60" i="74"/>
  <c r="R41" i="74"/>
  <c r="R37" i="74"/>
  <c r="F40" i="70"/>
  <c r="F41" i="70"/>
  <c r="F60" i="70"/>
  <c r="F71" i="70"/>
  <c r="Z13" i="71"/>
  <c r="Z21" i="71"/>
  <c r="Z26" i="71"/>
  <c r="Z33" i="71"/>
  <c r="H112" i="71"/>
  <c r="D112" i="71"/>
  <c r="L115" i="71"/>
  <c r="N115" i="71" s="1"/>
  <c r="N28" i="73"/>
  <c r="N53" i="73"/>
  <c r="L53" i="73"/>
  <c r="Z13" i="74"/>
  <c r="Z28" i="74"/>
  <c r="N49" i="80"/>
  <c r="L49" i="80"/>
  <c r="F62" i="70"/>
  <c r="D12" i="73"/>
  <c r="L13" i="73"/>
  <c r="N13" i="73" s="1"/>
  <c r="Z30" i="74"/>
  <c r="Z63" i="74"/>
  <c r="R81" i="74"/>
  <c r="Z25" i="75"/>
  <c r="X25" i="75"/>
  <c r="F20" i="70"/>
  <c r="F22" i="70"/>
  <c r="F38" i="70"/>
  <c r="F39" i="70"/>
  <c r="X18" i="71"/>
  <c r="Z18" i="71" s="1"/>
  <c r="X28" i="71"/>
  <c r="Z28" i="71" s="1"/>
  <c r="Z61" i="71"/>
  <c r="J25" i="73"/>
  <c r="J38" i="73"/>
  <c r="Z63" i="73"/>
  <c r="Z17" i="74"/>
  <c r="X17" i="75"/>
  <c r="Z17" i="75" s="1"/>
  <c r="X71" i="69"/>
  <c r="Z71" i="69" s="1"/>
  <c r="L93" i="69"/>
  <c r="X99" i="69"/>
  <c r="Z99" i="69" s="1"/>
  <c r="X107" i="69"/>
  <c r="Z107" i="69" s="1"/>
  <c r="F24" i="70"/>
  <c r="F28" i="70"/>
  <c r="L40" i="70"/>
  <c r="X46" i="70"/>
  <c r="Z46" i="70" s="1"/>
  <c r="F49" i="70"/>
  <c r="X15" i="71"/>
  <c r="Z15" i="71" s="1"/>
  <c r="Z30" i="71"/>
  <c r="Z37" i="71"/>
  <c r="R49" i="73"/>
  <c r="R48" i="73"/>
  <c r="R40" i="73"/>
  <c r="R21" i="73"/>
  <c r="X12" i="73"/>
  <c r="R72" i="73"/>
  <c r="R71" i="73"/>
  <c r="R67" i="73"/>
  <c r="R59" i="73"/>
  <c r="R35" i="73"/>
  <c r="R31" i="73"/>
  <c r="R51" i="73"/>
  <c r="R50" i="73"/>
  <c r="R22" i="73"/>
  <c r="R74" i="73"/>
  <c r="R73" i="73"/>
  <c r="R41" i="73"/>
  <c r="R68" i="73"/>
  <c r="R61" i="73"/>
  <c r="R60" i="73"/>
  <c r="R53" i="73"/>
  <c r="R52" i="73"/>
  <c r="R37" i="73"/>
  <c r="R36" i="73"/>
  <c r="R32" i="73"/>
  <c r="R75" i="73"/>
  <c r="R28" i="73"/>
  <c r="R23" i="73"/>
  <c r="R77" i="73"/>
  <c r="R63" i="73"/>
  <c r="R62" i="73"/>
  <c r="R55" i="73"/>
  <c r="R54" i="73"/>
  <c r="R43" i="73"/>
  <c r="R42" i="73"/>
  <c r="R38" i="73"/>
  <c r="R27" i="73"/>
  <c r="R25" i="73"/>
  <c r="R69" i="73"/>
  <c r="R33" i="73"/>
  <c r="R29" i="73"/>
  <c r="P25" i="73"/>
  <c r="R65" i="73"/>
  <c r="R64" i="73"/>
  <c r="R57" i="73"/>
  <c r="R56" i="73"/>
  <c r="R45" i="73"/>
  <c r="R44" i="73"/>
  <c r="J83" i="74"/>
  <c r="J73" i="74"/>
  <c r="J85" i="74"/>
  <c r="J75" i="74"/>
  <c r="J76" i="74"/>
  <c r="J48" i="74"/>
  <c r="J44" i="74"/>
  <c r="J79" i="74"/>
  <c r="J69" i="74"/>
  <c r="J63" i="74"/>
  <c r="J50" i="74"/>
  <c r="J46" i="74"/>
  <c r="J42" i="74"/>
  <c r="J78" i="74"/>
  <c r="J72" i="74"/>
  <c r="J41" i="74"/>
  <c r="J37" i="74"/>
  <c r="J81" i="74"/>
  <c r="J58" i="74"/>
  <c r="J47" i="74"/>
  <c r="J70" i="74"/>
  <c r="J64" i="74"/>
  <c r="J82" i="74"/>
  <c r="J67" i="74"/>
  <c r="J56" i="74"/>
  <c r="J38" i="74"/>
  <c r="J61" i="74"/>
  <c r="J77" i="74"/>
  <c r="J68" i="74"/>
  <c r="J45" i="74"/>
  <c r="J65" i="74"/>
  <c r="J59" i="74"/>
  <c r="J52" i="74"/>
  <c r="J39" i="74"/>
  <c r="J74" i="74"/>
  <c r="J71" i="74"/>
  <c r="H52" i="74"/>
  <c r="J57" i="74"/>
  <c r="J54" i="74"/>
  <c r="J43" i="74"/>
  <c r="J35" i="74"/>
  <c r="J80" i="74"/>
  <c r="J62" i="74"/>
  <c r="J40" i="74"/>
  <c r="J36" i="74"/>
  <c r="N35" i="74"/>
  <c r="N73" i="74"/>
  <c r="L13" i="70"/>
  <c r="N13" i="70" s="1"/>
  <c r="F32" i="70"/>
  <c r="F33" i="70"/>
  <c r="F37" i="70"/>
  <c r="F48" i="70"/>
  <c r="F55" i="70"/>
  <c r="D69" i="70"/>
  <c r="N14" i="71"/>
  <c r="L22" i="71"/>
  <c r="N22" i="71" s="1"/>
  <c r="T12" i="73"/>
  <c r="R66" i="73"/>
  <c r="X32" i="74"/>
  <c r="Z32" i="74" s="1"/>
  <c r="J49" i="74"/>
  <c r="L76" i="77"/>
  <c r="N76" i="77" s="1"/>
  <c r="X15" i="79"/>
  <c r="Z15" i="79" s="1"/>
  <c r="P12" i="79"/>
  <c r="F52" i="70"/>
  <c r="F51" i="70"/>
  <c r="F65" i="70"/>
  <c r="F64" i="70"/>
  <c r="F53" i="70"/>
  <c r="F18" i="70"/>
  <c r="N64" i="70"/>
  <c r="F69" i="70"/>
  <c r="L14" i="71"/>
  <c r="Z20" i="71"/>
  <c r="Z32" i="71"/>
  <c r="X32" i="71"/>
  <c r="Z39" i="71"/>
  <c r="L83" i="71"/>
  <c r="N83" i="71" s="1"/>
  <c r="L87" i="71"/>
  <c r="N87" i="71" s="1"/>
  <c r="X90" i="71"/>
  <c r="Z90" i="71" s="1"/>
  <c r="R58" i="73"/>
  <c r="T12" i="74"/>
  <c r="Z35" i="74"/>
  <c r="R64" i="74"/>
  <c r="Z73" i="74"/>
  <c r="N54" i="74"/>
  <c r="R34" i="75"/>
  <c r="R63" i="75"/>
  <c r="R83" i="75"/>
  <c r="R91" i="75"/>
  <c r="P12" i="76"/>
  <c r="X14" i="76"/>
  <c r="Z14" i="76" s="1"/>
  <c r="N30" i="76"/>
  <c r="P12" i="77"/>
  <c r="Z80" i="77"/>
  <c r="N117" i="85"/>
  <c r="L117" i="85"/>
  <c r="P112" i="71"/>
  <c r="X112" i="71" s="1"/>
  <c r="X55" i="74"/>
  <c r="Z55" i="74" s="1"/>
  <c r="Z14" i="75"/>
  <c r="Z22" i="75"/>
  <c r="Z30" i="75"/>
  <c r="L80" i="75"/>
  <c r="Z16" i="76"/>
  <c r="Z18" i="76"/>
  <c r="Z20" i="76"/>
  <c r="X22" i="76"/>
  <c r="V97" i="77"/>
  <c r="V83" i="77"/>
  <c r="V71" i="77"/>
  <c r="V103" i="77"/>
  <c r="V85" i="77"/>
  <c r="V73" i="77"/>
  <c r="V49" i="77"/>
  <c r="V45" i="77"/>
  <c r="V41" i="77"/>
  <c r="V90" i="77"/>
  <c r="V82" i="77"/>
  <c r="V70" i="77"/>
  <c r="V91" i="77"/>
  <c r="V84" i="77"/>
  <c r="V50" i="77"/>
  <c r="V47" i="77"/>
  <c r="V38" i="77"/>
  <c r="V98" i="77"/>
  <c r="V63" i="77"/>
  <c r="V60" i="77"/>
  <c r="V79" i="77"/>
  <c r="V67" i="77"/>
  <c r="V66" i="77"/>
  <c r="V99" i="77"/>
  <c r="V80" i="77"/>
  <c r="V48" i="77"/>
  <c r="V92" i="77"/>
  <c r="V75" i="77"/>
  <c r="V58" i="77"/>
  <c r="V51" i="77"/>
  <c r="V42" i="77"/>
  <c r="V39" i="77"/>
  <c r="V93" i="77"/>
  <c r="V88" i="77"/>
  <c r="V76" i="77"/>
  <c r="V72" i="77"/>
  <c r="V68" i="77"/>
  <c r="V61" i="77"/>
  <c r="V89" i="77"/>
  <c r="V86" i="77"/>
  <c r="V64" i="77"/>
  <c r="V81" i="77"/>
  <c r="V52" i="77"/>
  <c r="V40" i="77"/>
  <c r="V69" i="77"/>
  <c r="V59" i="77"/>
  <c r="V46" i="77"/>
  <c r="V43" i="77"/>
  <c r="V78" i="77"/>
  <c r="V77" i="77"/>
  <c r="V62" i="77"/>
  <c r="Z29" i="77"/>
  <c r="X29" i="77"/>
  <c r="V65" i="77"/>
  <c r="X13" i="81"/>
  <c r="Z13" i="81" s="1"/>
  <c r="P12" i="81"/>
  <c r="Z19" i="75"/>
  <c r="R67" i="75"/>
  <c r="T107" i="75"/>
  <c r="F60" i="76"/>
  <c r="V57" i="77"/>
  <c r="V87" i="77"/>
  <c r="T112" i="71"/>
  <c r="X63" i="74"/>
  <c r="N68" i="74"/>
  <c r="N77" i="74"/>
  <c r="X19" i="75"/>
  <c r="X27" i="75"/>
  <c r="Z27" i="75" s="1"/>
  <c r="J80" i="75"/>
  <c r="L101" i="75"/>
  <c r="F56" i="76"/>
  <c r="F55" i="76"/>
  <c r="F48" i="76"/>
  <c r="F30" i="76"/>
  <c r="F28" i="76"/>
  <c r="F26" i="76"/>
  <c r="F65" i="76"/>
  <c r="F42" i="76"/>
  <c r="D28" i="76"/>
  <c r="F66" i="76"/>
  <c r="F37" i="76"/>
  <c r="F33" i="76"/>
  <c r="F62" i="76"/>
  <c r="F49" i="76"/>
  <c r="F67" i="76"/>
  <c r="F50" i="76"/>
  <c r="F43" i="76"/>
  <c r="F68" i="76"/>
  <c r="F57" i="76"/>
  <c r="F38" i="76"/>
  <c r="F34" i="76"/>
  <c r="F63" i="76"/>
  <c r="F51" i="76"/>
  <c r="F52" i="76"/>
  <c r="F44" i="76"/>
  <c r="L12" i="76"/>
  <c r="F71" i="76"/>
  <c r="F59" i="76"/>
  <c r="F58" i="76"/>
  <c r="F39" i="76"/>
  <c r="F35" i="76"/>
  <c r="F70" i="76"/>
  <c r="F53" i="76"/>
  <c r="F46" i="76"/>
  <c r="F45" i="76"/>
  <c r="Z30" i="76"/>
  <c r="N47" i="76"/>
  <c r="X51" i="76"/>
  <c r="F54" i="76"/>
  <c r="N60" i="76"/>
  <c r="T54" i="77"/>
  <c r="Z99" i="77"/>
  <c r="L47" i="79"/>
  <c r="X31" i="80"/>
  <c r="Z31" i="80" s="1"/>
  <c r="R108" i="75"/>
  <c r="R105" i="75"/>
  <c r="R97" i="75"/>
  <c r="R85" i="75"/>
  <c r="R54" i="75"/>
  <c r="R49" i="75"/>
  <c r="R45" i="75"/>
  <c r="R41" i="75"/>
  <c r="R37" i="75"/>
  <c r="R107" i="75"/>
  <c r="R93" i="75"/>
  <c r="R92" i="75"/>
  <c r="R77" i="75"/>
  <c r="R76" i="75"/>
  <c r="R68" i="75"/>
  <c r="R64" i="75"/>
  <c r="R53" i="75"/>
  <c r="R51" i="75"/>
  <c r="R59" i="75"/>
  <c r="R55" i="75"/>
  <c r="P51" i="75"/>
  <c r="R112" i="75"/>
  <c r="R99" i="75"/>
  <c r="R98" i="75"/>
  <c r="R94" i="75"/>
  <c r="R87" i="75"/>
  <c r="R86" i="75"/>
  <c r="R78" i="75"/>
  <c r="R46" i="75"/>
  <c r="R42" i="75"/>
  <c r="R38" i="75"/>
  <c r="R70" i="75"/>
  <c r="R69" i="75"/>
  <c r="R65" i="75"/>
  <c r="R101" i="75"/>
  <c r="R100" i="75"/>
  <c r="R88" i="75"/>
  <c r="R95" i="75"/>
  <c r="R80" i="75"/>
  <c r="R79" i="75"/>
  <c r="R72" i="75"/>
  <c r="R71" i="75"/>
  <c r="R47" i="75"/>
  <c r="R43" i="75"/>
  <c r="R39" i="75"/>
  <c r="R35" i="75"/>
  <c r="R103" i="75"/>
  <c r="R102" i="75"/>
  <c r="R90" i="75"/>
  <c r="R89" i="75"/>
  <c r="R82" i="75"/>
  <c r="R81" i="75"/>
  <c r="R73" i="75"/>
  <c r="R61" i="75"/>
  <c r="R57" i="75"/>
  <c r="R104" i="75"/>
  <c r="R96" i="75"/>
  <c r="R48" i="75"/>
  <c r="R44" i="75"/>
  <c r="R40" i="75"/>
  <c r="R36" i="75"/>
  <c r="R60" i="75"/>
  <c r="H12" i="76"/>
  <c r="N13" i="76"/>
  <c r="N19" i="76"/>
  <c r="D12" i="77"/>
  <c r="V74" i="77"/>
  <c r="X13" i="73"/>
  <c r="X17" i="73"/>
  <c r="Z17" i="73" s="1"/>
  <c r="X14" i="74"/>
  <c r="X18" i="74"/>
  <c r="Z18" i="74" s="1"/>
  <c r="X22" i="74"/>
  <c r="X26" i="74"/>
  <c r="Z26" i="74" s="1"/>
  <c r="X30" i="74"/>
  <c r="Z54" i="74"/>
  <c r="L79" i="74"/>
  <c r="T12" i="75"/>
  <c r="Z21" i="75"/>
  <c r="R58" i="75"/>
  <c r="R75" i="75"/>
  <c r="Z80" i="75"/>
  <c r="L13" i="76"/>
  <c r="L17" i="76"/>
  <c r="L21" i="76"/>
  <c r="Z47" i="76"/>
  <c r="X70" i="76"/>
  <c r="Z70" i="76" s="1"/>
  <c r="Z22" i="77"/>
  <c r="N56" i="77"/>
  <c r="L98" i="77"/>
  <c r="D96" i="77"/>
  <c r="F50" i="79"/>
  <c r="F49" i="79"/>
  <c r="F34" i="79"/>
  <c r="F30" i="79"/>
  <c r="F41" i="79"/>
  <c r="F40" i="79"/>
  <c r="F21" i="79"/>
  <c r="F52" i="79"/>
  <c r="F51" i="79"/>
  <c r="L12" i="79"/>
  <c r="F43" i="79"/>
  <c r="F42" i="79"/>
  <c r="F35" i="79"/>
  <c r="F31" i="79"/>
  <c r="F62" i="79"/>
  <c r="F53" i="79"/>
  <c r="F45" i="79"/>
  <c r="F44" i="79"/>
  <c r="F66" i="79"/>
  <c r="F61" i="79"/>
  <c r="F32" i="79"/>
  <c r="F60" i="79"/>
  <c r="F55" i="79"/>
  <c r="F54" i="79"/>
  <c r="F59" i="79"/>
  <c r="F46" i="79"/>
  <c r="F38" i="79"/>
  <c r="F57" i="79"/>
  <c r="F48" i="79"/>
  <c r="F47" i="79"/>
  <c r="F27" i="79"/>
  <c r="F25" i="79"/>
  <c r="F20" i="79"/>
  <c r="F18" i="79"/>
  <c r="F37" i="79"/>
  <c r="F23" i="79"/>
  <c r="F39" i="79"/>
  <c r="F28" i="79"/>
  <c r="F19" i="79"/>
  <c r="F58" i="79"/>
  <c r="F33" i="79"/>
  <c r="F29" i="79"/>
  <c r="D25" i="79"/>
  <c r="F22" i="79"/>
  <c r="F36" i="79"/>
  <c r="V59" i="79"/>
  <c r="V53" i="79"/>
  <c r="V45" i="79"/>
  <c r="V37" i="79"/>
  <c r="V66" i="79"/>
  <c r="V58" i="79"/>
  <c r="V32" i="79"/>
  <c r="V28" i="79"/>
  <c r="V55" i="79"/>
  <c r="V47" i="79"/>
  <c r="V27" i="79"/>
  <c r="V25" i="79"/>
  <c r="V23" i="79"/>
  <c r="V19" i="79"/>
  <c r="V46" i="79"/>
  <c r="V38" i="79"/>
  <c r="T25" i="79"/>
  <c r="V49" i="79"/>
  <c r="V48" i="79"/>
  <c r="V51" i="79"/>
  <c r="V39" i="79"/>
  <c r="V50" i="79"/>
  <c r="V41" i="79"/>
  <c r="V61" i="79"/>
  <c r="V43" i="79"/>
  <c r="V35" i="79"/>
  <c r="V31" i="79"/>
  <c r="V60" i="79"/>
  <c r="V40" i="79"/>
  <c r="V33" i="79"/>
  <c r="V29" i="79"/>
  <c r="V54" i="79"/>
  <c r="V36" i="79"/>
  <c r="V52" i="79"/>
  <c r="V22" i="79"/>
  <c r="V20" i="79"/>
  <c r="V18" i="79"/>
  <c r="V34" i="79"/>
  <c r="V30" i="79"/>
  <c r="V44" i="79"/>
  <c r="Z13" i="73"/>
  <c r="L73" i="74"/>
  <c r="Z77" i="74"/>
  <c r="X13" i="75"/>
  <c r="Z13" i="75" s="1"/>
  <c r="X21" i="75"/>
  <c r="X29" i="75"/>
  <c r="Z29" i="75" s="1"/>
  <c r="N54" i="75"/>
  <c r="R56" i="75"/>
  <c r="F31" i="76"/>
  <c r="N19" i="77"/>
  <c r="V94" i="77"/>
  <c r="N18" i="79"/>
  <c r="L26" i="71"/>
  <c r="L30" i="71"/>
  <c r="N30" i="71" s="1"/>
  <c r="L34" i="71"/>
  <c r="L38" i="71"/>
  <c r="X37" i="73"/>
  <c r="Z37" i="73" s="1"/>
  <c r="L47" i="73"/>
  <c r="N47" i="73" s="1"/>
  <c r="X53" i="73"/>
  <c r="Z53" i="73" s="1"/>
  <c r="X61" i="73"/>
  <c r="Z61" i="73" s="1"/>
  <c r="D12" i="75"/>
  <c r="Z18" i="75"/>
  <c r="Z26" i="75"/>
  <c r="L72" i="75"/>
  <c r="Z82" i="75"/>
  <c r="T12" i="76"/>
  <c r="Z17" i="76"/>
  <c r="N31" i="76"/>
  <c r="F36" i="76"/>
  <c r="F61" i="76"/>
  <c r="L21" i="77"/>
  <c r="Z56" i="77"/>
  <c r="X56" i="77"/>
  <c r="V42" i="79"/>
  <c r="V62" i="79"/>
  <c r="X16" i="73"/>
  <c r="Z16" i="73" s="1"/>
  <c r="X13" i="74"/>
  <c r="X17" i="74"/>
  <c r="X21" i="74"/>
  <c r="Z21" i="74" s="1"/>
  <c r="Z68" i="74"/>
  <c r="Z23" i="75"/>
  <c r="R66" i="75"/>
  <c r="N72" i="75"/>
  <c r="R74" i="75"/>
  <c r="R84" i="75"/>
  <c r="Z90" i="75"/>
  <c r="X90" i="75"/>
  <c r="N21" i="77"/>
  <c r="V56" i="77"/>
  <c r="D21" i="83"/>
  <c r="F21" i="83" s="1"/>
  <c r="L17" i="83"/>
  <c r="L55" i="74"/>
  <c r="N55" i="74" s="1"/>
  <c r="X15" i="75"/>
  <c r="Z15" i="75" s="1"/>
  <c r="X23" i="75"/>
  <c r="X31" i="75"/>
  <c r="Z31" i="75" s="1"/>
  <c r="N53" i="75"/>
  <c r="Z54" i="75"/>
  <c r="J72" i="75"/>
  <c r="Z31" i="76"/>
  <c r="F41" i="76"/>
  <c r="N55" i="76"/>
  <c r="Z65" i="76"/>
  <c r="N71" i="76"/>
  <c r="L93" i="77"/>
  <c r="J35" i="75"/>
  <c r="J39" i="75"/>
  <c r="J43" i="75"/>
  <c r="J47" i="75"/>
  <c r="J71" i="75"/>
  <c r="J79" i="75"/>
  <c r="J95" i="75"/>
  <c r="J101" i="75"/>
  <c r="X108" i="75"/>
  <c r="Z108" i="75" s="1"/>
  <c r="J20" i="79"/>
  <c r="Z49" i="79"/>
  <c r="Z51" i="79"/>
  <c r="N57" i="79"/>
  <c r="R25" i="80"/>
  <c r="J17" i="81"/>
  <c r="J24" i="81"/>
  <c r="F35" i="81"/>
  <c r="J59" i="81"/>
  <c r="J81" i="85"/>
  <c r="J56" i="75"/>
  <c r="J60" i="75"/>
  <c r="J70" i="75"/>
  <c r="J88" i="75"/>
  <c r="J100" i="75"/>
  <c r="D107" i="75"/>
  <c r="L107" i="75" s="1"/>
  <c r="H70" i="76"/>
  <c r="Z18" i="77"/>
  <c r="L34" i="77"/>
  <c r="X76" i="77"/>
  <c r="Z76" i="77" s="1"/>
  <c r="N99" i="77"/>
  <c r="X18" i="79"/>
  <c r="Z18" i="79" s="1"/>
  <c r="L36" i="79"/>
  <c r="N36" i="79" s="1"/>
  <c r="J38" i="79"/>
  <c r="X57" i="79"/>
  <c r="Z59" i="79"/>
  <c r="Z14" i="80"/>
  <c r="X14" i="80"/>
  <c r="L23" i="80"/>
  <c r="N23" i="80" s="1"/>
  <c r="N41" i="80"/>
  <c r="N43" i="80"/>
  <c r="N61" i="80"/>
  <c r="N22" i="81"/>
  <c r="L22" i="81"/>
  <c r="X21" i="83"/>
  <c r="P29" i="83"/>
  <c r="H25" i="79"/>
  <c r="J25" i="79" s="1"/>
  <c r="J50" i="79"/>
  <c r="F68" i="80"/>
  <c r="F62" i="80"/>
  <c r="F61" i="80"/>
  <c r="F50" i="80"/>
  <c r="F49" i="80"/>
  <c r="F42" i="80"/>
  <c r="F41" i="80"/>
  <c r="F34" i="80"/>
  <c r="D20" i="80"/>
  <c r="F72" i="80"/>
  <c r="F57" i="80"/>
  <c r="F29" i="80"/>
  <c r="F25" i="80"/>
  <c r="F52" i="80"/>
  <c r="F51" i="80"/>
  <c r="F44" i="80"/>
  <c r="F43" i="80"/>
  <c r="F64" i="80"/>
  <c r="F63" i="80"/>
  <c r="F35" i="80"/>
  <c r="F58" i="80"/>
  <c r="F46" i="80"/>
  <c r="F45" i="80"/>
  <c r="F30" i="80"/>
  <c r="F26" i="80"/>
  <c r="F53" i="80"/>
  <c r="F17" i="80"/>
  <c r="F16" i="80"/>
  <c r="F65" i="80"/>
  <c r="F36" i="80"/>
  <c r="F32" i="80"/>
  <c r="F31" i="80"/>
  <c r="L12" i="80"/>
  <c r="F66" i="80"/>
  <c r="F59" i="80"/>
  <c r="F47" i="80"/>
  <c r="F27" i="80"/>
  <c r="F54" i="80"/>
  <c r="F38" i="80"/>
  <c r="F37" i="80"/>
  <c r="F18" i="80"/>
  <c r="F60" i="80"/>
  <c r="F56" i="80"/>
  <c r="F55" i="80"/>
  <c r="F48" i="80"/>
  <c r="F40" i="80"/>
  <c r="F39" i="80"/>
  <c r="F28" i="80"/>
  <c r="F24" i="80"/>
  <c r="F23" i="80"/>
  <c r="L39" i="80"/>
  <c r="N39" i="80" s="1"/>
  <c r="L50" i="81"/>
  <c r="N50" i="81" s="1"/>
  <c r="X62" i="84"/>
  <c r="Z62" i="84" s="1"/>
  <c r="J38" i="75"/>
  <c r="J42" i="75"/>
  <c r="J46" i="75"/>
  <c r="H51" i="75"/>
  <c r="J78" i="75"/>
  <c r="J86" i="75"/>
  <c r="J94" i="75"/>
  <c r="J98" i="75"/>
  <c r="H107" i="75"/>
  <c r="J112" i="75"/>
  <c r="X13" i="76"/>
  <c r="X17" i="76"/>
  <c r="X21" i="76"/>
  <c r="Z21" i="76" s="1"/>
  <c r="H12" i="77"/>
  <c r="X28" i="77"/>
  <c r="Z28" i="77" s="1"/>
  <c r="L30" i="77"/>
  <c r="N38" i="77"/>
  <c r="Z72" i="77"/>
  <c r="H96" i="77"/>
  <c r="J40" i="79"/>
  <c r="J48" i="79"/>
  <c r="Z61" i="79"/>
  <c r="V31" i="83"/>
  <c r="V17" i="83"/>
  <c r="Z12" i="83"/>
  <c r="V23" i="83"/>
  <c r="V21" i="83"/>
  <c r="V19" i="83"/>
  <c r="T21" i="83"/>
  <c r="V27" i="83"/>
  <c r="V25" i="83"/>
  <c r="V24" i="83"/>
  <c r="V18" i="83"/>
  <c r="J79" i="85"/>
  <c r="Z13" i="76"/>
  <c r="L58" i="76"/>
  <c r="N58" i="76" s="1"/>
  <c r="X65" i="76"/>
  <c r="L71" i="76"/>
  <c r="L13" i="77"/>
  <c r="N13" i="77" s="1"/>
  <c r="X14" i="77"/>
  <c r="Z14" i="77" s="1"/>
  <c r="N57" i="77"/>
  <c r="X99" i="77"/>
  <c r="X61" i="79"/>
  <c r="L13" i="80"/>
  <c r="N13" i="80" s="1"/>
  <c r="F20" i="80"/>
  <c r="Z41" i="80"/>
  <c r="Z43" i="80"/>
  <c r="Z45" i="80"/>
  <c r="Z61" i="80"/>
  <c r="F77" i="81"/>
  <c r="F66" i="81"/>
  <c r="F62" i="81"/>
  <c r="F61" i="81"/>
  <c r="F45" i="81"/>
  <c r="F44" i="81"/>
  <c r="F17" i="81"/>
  <c r="F16" i="81"/>
  <c r="F67" i="81"/>
  <c r="F63" i="81"/>
  <c r="F69" i="81"/>
  <c r="F68" i="81"/>
  <c r="F57" i="81"/>
  <c r="F49" i="81"/>
  <c r="F48" i="81"/>
  <c r="F71" i="81"/>
  <c r="F70" i="81"/>
  <c r="F51" i="81"/>
  <c r="F50" i="81"/>
  <c r="F39" i="81"/>
  <c r="F38" i="81"/>
  <c r="F22" i="81"/>
  <c r="F20" i="81"/>
  <c r="F54" i="81"/>
  <c r="F28" i="81"/>
  <c r="F65" i="81"/>
  <c r="F32" i="81"/>
  <c r="F73" i="81"/>
  <c r="F60" i="81"/>
  <c r="F25" i="81"/>
  <c r="F36" i="81"/>
  <c r="F33" i="81"/>
  <c r="F18" i="81"/>
  <c r="F52" i="81"/>
  <c r="F40" i="81"/>
  <c r="F29" i="81"/>
  <c r="F55" i="81"/>
  <c r="F26" i="81"/>
  <c r="F64" i="81"/>
  <c r="F58" i="81"/>
  <c r="F46" i="81"/>
  <c r="F41" i="81"/>
  <c r="F56" i="81"/>
  <c r="F34" i="81"/>
  <c r="F30" i="81"/>
  <c r="L12" i="81"/>
  <c r="F53" i="81"/>
  <c r="F42" i="81"/>
  <c r="F37" i="81"/>
  <c r="D20" i="81"/>
  <c r="F47" i="81"/>
  <c r="F43" i="81"/>
  <c r="F24" i="81"/>
  <c r="F23" i="81"/>
  <c r="F27" i="81"/>
  <c r="L38" i="81"/>
  <c r="N38" i="81" s="1"/>
  <c r="Z50" i="81"/>
  <c r="Z52" i="81"/>
  <c r="J108" i="75"/>
  <c r="L15" i="76"/>
  <c r="N15" i="76" s="1"/>
  <c r="L19" i="76"/>
  <c r="L23" i="76"/>
  <c r="J51" i="79"/>
  <c r="J41" i="79"/>
  <c r="J52" i="79"/>
  <c r="J42" i="79"/>
  <c r="N12" i="79"/>
  <c r="J43" i="79"/>
  <c r="J35" i="79"/>
  <c r="J31" i="79"/>
  <c r="J62" i="79"/>
  <c r="J44" i="79"/>
  <c r="J36" i="79"/>
  <c r="J22" i="79"/>
  <c r="J61" i="79"/>
  <c r="J53" i="79"/>
  <c r="J45" i="79"/>
  <c r="J37" i="79"/>
  <c r="J66" i="79"/>
  <c r="J60" i="79"/>
  <c r="J54" i="79"/>
  <c r="J59" i="79"/>
  <c r="J55" i="79"/>
  <c r="J23" i="79"/>
  <c r="J19" i="79"/>
  <c r="J58" i="79"/>
  <c r="J46" i="79"/>
  <c r="J57" i="79"/>
  <c r="J47" i="79"/>
  <c r="J33" i="79"/>
  <c r="J49" i="79"/>
  <c r="J39" i="79"/>
  <c r="Z14" i="79"/>
  <c r="R65" i="80"/>
  <c r="R58" i="80"/>
  <c r="R46" i="80"/>
  <c r="R31" i="80"/>
  <c r="R30" i="80"/>
  <c r="R26" i="80"/>
  <c r="R53" i="80"/>
  <c r="R17" i="80"/>
  <c r="R37" i="80"/>
  <c r="R36" i="80"/>
  <c r="R32" i="80"/>
  <c r="R66" i="80"/>
  <c r="R59" i="80"/>
  <c r="R47" i="80"/>
  <c r="R27" i="80"/>
  <c r="R55" i="80"/>
  <c r="R54" i="80"/>
  <c r="R39" i="80"/>
  <c r="R38" i="80"/>
  <c r="R23" i="80"/>
  <c r="R18" i="80"/>
  <c r="R68" i="80"/>
  <c r="R33" i="80"/>
  <c r="R22" i="80"/>
  <c r="R61" i="80"/>
  <c r="R60" i="80"/>
  <c r="R56" i="80"/>
  <c r="R49" i="80"/>
  <c r="R48" i="80"/>
  <c r="R41" i="80"/>
  <c r="R40" i="80"/>
  <c r="R28" i="80"/>
  <c r="R24" i="80"/>
  <c r="P20" i="80"/>
  <c r="R20" i="80" s="1"/>
  <c r="R62" i="80"/>
  <c r="R51" i="80"/>
  <c r="R50" i="80"/>
  <c r="R43" i="80"/>
  <c r="R42" i="80"/>
  <c r="R34" i="80"/>
  <c r="R72" i="80"/>
  <c r="R52" i="80"/>
  <c r="R45" i="80"/>
  <c r="R44" i="80"/>
  <c r="R16" i="80"/>
  <c r="J37" i="75"/>
  <c r="J41" i="75"/>
  <c r="J45" i="75"/>
  <c r="J49" i="75"/>
  <c r="J63" i="75"/>
  <c r="J75" i="75"/>
  <c r="J85" i="75"/>
  <c r="J97" i="75"/>
  <c r="J105" i="75"/>
  <c r="X17" i="77"/>
  <c r="Z17" i="77" s="1"/>
  <c r="N78" i="77"/>
  <c r="L82" i="77"/>
  <c r="N82" i="77" s="1"/>
  <c r="X14" i="79"/>
  <c r="J21" i="79"/>
  <c r="T12" i="80"/>
  <c r="F33" i="80"/>
  <c r="R57" i="80"/>
  <c r="L23" i="81"/>
  <c r="N23" i="81" s="1"/>
  <c r="Z38" i="81"/>
  <c r="Z44" i="81"/>
  <c r="J58" i="75"/>
  <c r="J62" i="75"/>
  <c r="J74" i="75"/>
  <c r="J84" i="75"/>
  <c r="Z53" i="76"/>
  <c r="L22" i="77"/>
  <c r="N22" i="77" s="1"/>
  <c r="X57" i="77"/>
  <c r="Z57" i="77" s="1"/>
  <c r="P96" i="77"/>
  <c r="X96" i="77" s="1"/>
  <c r="T96" i="77"/>
  <c r="V96" i="77" s="1"/>
  <c r="N44" i="79"/>
  <c r="T57" i="79"/>
  <c r="F22" i="80"/>
  <c r="Z37" i="80"/>
  <c r="N55" i="80"/>
  <c r="X48" i="81"/>
  <c r="Z48" i="81" s="1"/>
  <c r="J83" i="75"/>
  <c r="J91" i="75"/>
  <c r="Z71" i="76"/>
  <c r="Z84" i="77"/>
  <c r="J28" i="79"/>
  <c r="R35" i="80"/>
  <c r="J66" i="81"/>
  <c r="J62" i="81"/>
  <c r="J54" i="81"/>
  <c r="J56" i="81"/>
  <c r="J46" i="81"/>
  <c r="J36" i="81"/>
  <c r="N12" i="81"/>
  <c r="J68" i="81"/>
  <c r="J70" i="81"/>
  <c r="J64" i="81"/>
  <c r="J50" i="81"/>
  <c r="J58" i="81"/>
  <c r="J52" i="81"/>
  <c r="J40" i="81"/>
  <c r="J34" i="81"/>
  <c r="J73" i="81"/>
  <c r="J67" i="81"/>
  <c r="J65" i="81"/>
  <c r="J48" i="81"/>
  <c r="J44" i="81"/>
  <c r="J63" i="81"/>
  <c r="J60" i="81"/>
  <c r="J57" i="81"/>
  <c r="J51" i="81"/>
  <c r="J39" i="81"/>
  <c r="J25" i="81"/>
  <c r="J77" i="81"/>
  <c r="J33" i="81"/>
  <c r="J18" i="81"/>
  <c r="J55" i="81"/>
  <c r="J45" i="81"/>
  <c r="J29" i="81"/>
  <c r="J26" i="81"/>
  <c r="J61" i="81"/>
  <c r="J49" i="81"/>
  <c r="J41" i="81"/>
  <c r="J42" i="81"/>
  <c r="J30" i="81"/>
  <c r="J20" i="81"/>
  <c r="J53" i="81"/>
  <c r="J37" i="81"/>
  <c r="H20" i="81"/>
  <c r="J27" i="81"/>
  <c r="J23" i="81"/>
  <c r="J22" i="81"/>
  <c r="J16" i="81"/>
  <c r="J69" i="81"/>
  <c r="J38" i="81"/>
  <c r="J35" i="81"/>
  <c r="J31" i="81"/>
  <c r="L16" i="81"/>
  <c r="N16" i="81" s="1"/>
  <c r="J43" i="81"/>
  <c r="V15" i="86"/>
  <c r="V32" i="86"/>
  <c r="V21" i="86"/>
  <c r="V20" i="86"/>
  <c r="V16" i="86"/>
  <c r="V23" i="86"/>
  <c r="T18" i="86"/>
  <c r="V18" i="86" s="1"/>
  <c r="V25" i="86"/>
  <c r="V24" i="86"/>
  <c r="V22" i="86"/>
  <c r="V26" i="86"/>
  <c r="V28" i="86"/>
  <c r="X12" i="86"/>
  <c r="Z12" i="86" s="1"/>
  <c r="J36" i="75"/>
  <c r="J40" i="75"/>
  <c r="J44" i="75"/>
  <c r="J48" i="75"/>
  <c r="J82" i="75"/>
  <c r="J90" i="75"/>
  <c r="J96" i="75"/>
  <c r="L18" i="77"/>
  <c r="Z26" i="77"/>
  <c r="N15" i="79"/>
  <c r="N27" i="79"/>
  <c r="N49" i="79"/>
  <c r="N51" i="79"/>
  <c r="R29" i="80"/>
  <c r="J32" i="81"/>
  <c r="J47" i="81"/>
  <c r="J109" i="85"/>
  <c r="J105" i="85"/>
  <c r="J97" i="85"/>
  <c r="J110" i="85"/>
  <c r="J98" i="85"/>
  <c r="J111" i="85"/>
  <c r="J114" i="85"/>
  <c r="J115" i="85"/>
  <c r="J107" i="85"/>
  <c r="J108" i="85"/>
  <c r="J93" i="85"/>
  <c r="J82" i="85"/>
  <c r="J66" i="85"/>
  <c r="J62" i="85"/>
  <c r="J36" i="85"/>
  <c r="J94" i="85"/>
  <c r="J83" i="85"/>
  <c r="J53" i="85"/>
  <c r="J49" i="85"/>
  <c r="J45" i="85"/>
  <c r="J41" i="85"/>
  <c r="J37" i="85"/>
  <c r="J101" i="85"/>
  <c r="J84" i="85"/>
  <c r="J72" i="85"/>
  <c r="J112" i="85"/>
  <c r="J95" i="85"/>
  <c r="J85" i="85"/>
  <c r="J73" i="85"/>
  <c r="J67" i="85"/>
  <c r="J63" i="85"/>
  <c r="J106" i="85"/>
  <c r="J102" i="85"/>
  <c r="J86" i="85"/>
  <c r="J74" i="85"/>
  <c r="J68" i="85"/>
  <c r="J54" i="85"/>
  <c r="J50" i="85"/>
  <c r="J46" i="85"/>
  <c r="J42" i="85"/>
  <c r="J38" i="85"/>
  <c r="J87" i="85"/>
  <c r="J75" i="85"/>
  <c r="J69" i="85"/>
  <c r="J59" i="85"/>
  <c r="J103" i="85"/>
  <c r="J99" i="85"/>
  <c r="J96" i="85"/>
  <c r="J88" i="85"/>
  <c r="J76" i="85"/>
  <c r="J64" i="85"/>
  <c r="J60" i="85"/>
  <c r="J58" i="85"/>
  <c r="J89" i="85"/>
  <c r="J77" i="85"/>
  <c r="H56" i="85"/>
  <c r="J56" i="85" s="1"/>
  <c r="J51" i="85"/>
  <c r="J47" i="85"/>
  <c r="J43" i="85"/>
  <c r="J39" i="85"/>
  <c r="J117" i="85"/>
  <c r="J113" i="85"/>
  <c r="J90" i="85"/>
  <c r="J78" i="85"/>
  <c r="J70" i="85"/>
  <c r="J100" i="85"/>
  <c r="J92" i="85"/>
  <c r="J80" i="85"/>
  <c r="J52" i="85"/>
  <c r="J48" i="85"/>
  <c r="J44" i="85"/>
  <c r="J40" i="85"/>
  <c r="J65" i="85"/>
  <c r="J104" i="85"/>
  <c r="J61" i="85"/>
  <c r="J121" i="85"/>
  <c r="J71" i="85"/>
  <c r="H20" i="80"/>
  <c r="J41" i="80"/>
  <c r="J49" i="80"/>
  <c r="J61" i="80"/>
  <c r="N13" i="81"/>
  <c r="V55" i="81"/>
  <c r="V57" i="81"/>
  <c r="V63" i="81"/>
  <c r="V14" i="82"/>
  <c r="V20" i="82"/>
  <c r="N17" i="83"/>
  <c r="F19" i="83"/>
  <c r="Z23" i="83"/>
  <c r="N79" i="85"/>
  <c r="R95" i="85"/>
  <c r="Z102" i="85"/>
  <c r="R18" i="86"/>
  <c r="J23" i="80"/>
  <c r="J33" i="80"/>
  <c r="J39" i="80"/>
  <c r="J55" i="80"/>
  <c r="V48" i="81"/>
  <c r="P22" i="82"/>
  <c r="X14" i="83"/>
  <c r="N22" i="84"/>
  <c r="N52" i="84"/>
  <c r="Z58" i="84"/>
  <c r="T12" i="85"/>
  <c r="X15" i="85"/>
  <c r="N68" i="85"/>
  <c r="R85" i="85"/>
  <c r="J18" i="80"/>
  <c r="J38" i="80"/>
  <c r="J54" i="80"/>
  <c r="Z32" i="81"/>
  <c r="N42" i="81"/>
  <c r="V73" i="81"/>
  <c r="V29" i="82"/>
  <c r="V26" i="82"/>
  <c r="V24" i="82"/>
  <c r="Z12" i="82"/>
  <c r="T16" i="82"/>
  <c r="Z14" i="83"/>
  <c r="Z15" i="85"/>
  <c r="Z85" i="85"/>
  <c r="H24" i="87"/>
  <c r="N16" i="87"/>
  <c r="X46" i="88"/>
  <c r="R46" i="88"/>
  <c r="N54" i="92"/>
  <c r="L54" i="92"/>
  <c r="J27" i="80"/>
  <c r="J37" i="80"/>
  <c r="J47" i="80"/>
  <c r="J59" i="80"/>
  <c r="J66" i="80"/>
  <c r="V31" i="81"/>
  <c r="V32" i="81"/>
  <c r="V43" i="81"/>
  <c r="V47" i="81"/>
  <c r="F25" i="83"/>
  <c r="F24" i="83"/>
  <c r="F23" i="83"/>
  <c r="F27" i="83"/>
  <c r="L12" i="83"/>
  <c r="N12" i="83" s="1"/>
  <c r="F18" i="83"/>
  <c r="F17" i="83"/>
  <c r="Z22" i="84"/>
  <c r="Z52" i="84"/>
  <c r="D12" i="85"/>
  <c r="Z19" i="85"/>
  <c r="Z21" i="85"/>
  <c r="Z68" i="85"/>
  <c r="D16" i="87"/>
  <c r="F24" i="87"/>
  <c r="F22" i="87"/>
  <c r="F26" i="87"/>
  <c r="L12" i="87"/>
  <c r="F28" i="87"/>
  <c r="F20" i="87"/>
  <c r="F18" i="87"/>
  <c r="F14" i="87"/>
  <c r="F19" i="87"/>
  <c r="F31" i="87"/>
  <c r="F16" i="87"/>
  <c r="N12" i="80"/>
  <c r="X13" i="80"/>
  <c r="Z13" i="80" s="1"/>
  <c r="J32" i="80"/>
  <c r="J36" i="80"/>
  <c r="V70" i="81"/>
  <c r="V50" i="81"/>
  <c r="V69" i="81"/>
  <c r="V64" i="81"/>
  <c r="V52" i="81"/>
  <c r="V40" i="81"/>
  <c r="V28" i="81"/>
  <c r="V24" i="81"/>
  <c r="V60" i="81"/>
  <c r="V77" i="81"/>
  <c r="V66" i="81"/>
  <c r="V62" i="81"/>
  <c r="V54" i="81"/>
  <c r="V46" i="81"/>
  <c r="V30" i="81"/>
  <c r="V26" i="81"/>
  <c r="V68" i="81"/>
  <c r="V38" i="81"/>
  <c r="Z59" i="81"/>
  <c r="V16" i="82"/>
  <c r="V22" i="82"/>
  <c r="P12" i="84"/>
  <c r="Z50" i="84"/>
  <c r="X54" i="84"/>
  <c r="Z54" i="84" s="1"/>
  <c r="N14" i="85"/>
  <c r="Z25" i="85"/>
  <c r="X27" i="85"/>
  <c r="X68" i="85"/>
  <c r="Z73" i="85"/>
  <c r="Z110" i="85"/>
  <c r="Z23" i="88"/>
  <c r="V23" i="88"/>
  <c r="J17" i="80"/>
  <c r="J31" i="80"/>
  <c r="J53" i="80"/>
  <c r="J65" i="80"/>
  <c r="N14" i="81"/>
  <c r="V27" i="81"/>
  <c r="V37" i="81"/>
  <c r="V53" i="81"/>
  <c r="V56" i="81"/>
  <c r="V59" i="81"/>
  <c r="N68" i="81"/>
  <c r="L13" i="83"/>
  <c r="N13" i="83" s="1"/>
  <c r="N15" i="83"/>
  <c r="N18" i="85"/>
  <c r="J16" i="80"/>
  <c r="J26" i="80"/>
  <c r="J30" i="80"/>
  <c r="J46" i="80"/>
  <c r="J58" i="80"/>
  <c r="V16" i="81"/>
  <c r="V22" i="81"/>
  <c r="V34" i="81"/>
  <c r="N52" i="81"/>
  <c r="V58" i="81"/>
  <c r="N70" i="81"/>
  <c r="R31" i="83"/>
  <c r="R17" i="83"/>
  <c r="X12" i="83"/>
  <c r="R18" i="83"/>
  <c r="R24" i="83"/>
  <c r="R19" i="83"/>
  <c r="R23" i="83"/>
  <c r="R21" i="83"/>
  <c r="R29" i="83"/>
  <c r="R27" i="83"/>
  <c r="L13" i="84"/>
  <c r="N16" i="84"/>
  <c r="N32" i="84"/>
  <c r="N77" i="84"/>
  <c r="R112" i="85"/>
  <c r="R111" i="85"/>
  <c r="R106" i="85"/>
  <c r="R114" i="85"/>
  <c r="R113" i="85"/>
  <c r="R108" i="85"/>
  <c r="R96" i="85"/>
  <c r="R102" i="85"/>
  <c r="R101" i="85"/>
  <c r="R98" i="85"/>
  <c r="R68" i="85"/>
  <c r="R67" i="85"/>
  <c r="R63" i="85"/>
  <c r="R87" i="85"/>
  <c r="R86" i="85"/>
  <c r="R75" i="85"/>
  <c r="R74" i="85"/>
  <c r="R59" i="85"/>
  <c r="R54" i="85"/>
  <c r="R50" i="85"/>
  <c r="R46" i="85"/>
  <c r="R42" i="85"/>
  <c r="R38" i="85"/>
  <c r="R115" i="85"/>
  <c r="R69" i="85"/>
  <c r="R58" i="85"/>
  <c r="R109" i="85"/>
  <c r="R103" i="85"/>
  <c r="R99" i="85"/>
  <c r="R89" i="85"/>
  <c r="R88" i="85"/>
  <c r="R77" i="85"/>
  <c r="R76" i="85"/>
  <c r="R64" i="85"/>
  <c r="R60" i="85"/>
  <c r="P56" i="85"/>
  <c r="R56" i="85" s="1"/>
  <c r="R51" i="85"/>
  <c r="R47" i="85"/>
  <c r="R43" i="85"/>
  <c r="R39" i="85"/>
  <c r="R117" i="85"/>
  <c r="R104" i="85"/>
  <c r="R91" i="85"/>
  <c r="R90" i="85"/>
  <c r="R79" i="85"/>
  <c r="R78" i="85"/>
  <c r="R70" i="85"/>
  <c r="R121" i="85"/>
  <c r="R110" i="85"/>
  <c r="R107" i="85"/>
  <c r="R65" i="85"/>
  <c r="R61" i="85"/>
  <c r="R100" i="85"/>
  <c r="R92" i="85"/>
  <c r="R81" i="85"/>
  <c r="R80" i="85"/>
  <c r="R52" i="85"/>
  <c r="R48" i="85"/>
  <c r="R44" i="85"/>
  <c r="R40" i="85"/>
  <c r="R93" i="85"/>
  <c r="R71" i="85"/>
  <c r="R36" i="85"/>
  <c r="R94" i="85"/>
  <c r="R53" i="85"/>
  <c r="R49" i="85"/>
  <c r="R45" i="85"/>
  <c r="R41" i="85"/>
  <c r="R37" i="85"/>
  <c r="N22" i="85"/>
  <c r="Z31" i="85"/>
  <c r="Z33" i="85"/>
  <c r="Z36" i="85"/>
  <c r="L44" i="79"/>
  <c r="L62" i="79"/>
  <c r="L16" i="80"/>
  <c r="N16" i="80" s="1"/>
  <c r="X22" i="80"/>
  <c r="Z22" i="80" s="1"/>
  <c r="J35" i="80"/>
  <c r="J45" i="80"/>
  <c r="J64" i="80"/>
  <c r="T20" i="81"/>
  <c r="V23" i="81"/>
  <c r="Z42" i="81"/>
  <c r="V49" i="81"/>
  <c r="H12" i="84"/>
  <c r="N13" i="84"/>
  <c r="H30" i="86"/>
  <c r="J30" i="86" s="1"/>
  <c r="J18" i="86"/>
  <c r="J44" i="80"/>
  <c r="J52" i="80"/>
  <c r="J63" i="80"/>
  <c r="X65" i="80"/>
  <c r="Z65" i="80" s="1"/>
  <c r="V20" i="81"/>
  <c r="V41" i="81"/>
  <c r="V42" i="81"/>
  <c r="Z46" i="81"/>
  <c r="N48" i="81"/>
  <c r="Z68" i="81"/>
  <c r="Z16" i="84"/>
  <c r="D20" i="84"/>
  <c r="F20" i="84" s="1"/>
  <c r="X68" i="84"/>
  <c r="N30" i="85"/>
  <c r="Z63" i="88"/>
  <c r="J25" i="80"/>
  <c r="J29" i="80"/>
  <c r="J43" i="80"/>
  <c r="J51" i="80"/>
  <c r="J57" i="80"/>
  <c r="N32" i="81"/>
  <c r="X42" i="81"/>
  <c r="T12" i="84"/>
  <c r="X13" i="84"/>
  <c r="Z13" i="84" s="1"/>
  <c r="Z68" i="84"/>
  <c r="J19" i="83"/>
  <c r="F22" i="84"/>
  <c r="F47" i="84"/>
  <c r="F58" i="84"/>
  <c r="F59" i="84"/>
  <c r="F71" i="84"/>
  <c r="N22" i="88"/>
  <c r="Z59" i="88"/>
  <c r="X12" i="82"/>
  <c r="F32" i="84"/>
  <c r="F33" i="84"/>
  <c r="F37" i="84"/>
  <c r="F56" i="84"/>
  <c r="F57" i="84"/>
  <c r="D12" i="86"/>
  <c r="L13" i="86"/>
  <c r="N21" i="86"/>
  <c r="L19" i="87"/>
  <c r="J75" i="88"/>
  <c r="J69" i="88"/>
  <c r="J63" i="88"/>
  <c r="J78" i="88"/>
  <c r="J70" i="88"/>
  <c r="J80" i="88"/>
  <c r="J60" i="88"/>
  <c r="J50" i="88"/>
  <c r="J71" i="88"/>
  <c r="J67" i="88"/>
  <c r="J84" i="88"/>
  <c r="J62" i="88"/>
  <c r="J45" i="88"/>
  <c r="J17" i="88"/>
  <c r="J59" i="88"/>
  <c r="J53" i="88"/>
  <c r="J46" i="88"/>
  <c r="J36" i="88"/>
  <c r="J37" i="88"/>
  <c r="J31" i="88"/>
  <c r="J27" i="88"/>
  <c r="J74" i="88"/>
  <c r="J54" i="88"/>
  <c r="J47" i="88"/>
  <c r="J38" i="88"/>
  <c r="J32" i="88"/>
  <c r="J18" i="88"/>
  <c r="J39" i="88"/>
  <c r="J33" i="88"/>
  <c r="J23" i="88"/>
  <c r="J55" i="88"/>
  <c r="J48" i="88"/>
  <c r="J72" i="88"/>
  <c r="J64" i="88"/>
  <c r="J41" i="88"/>
  <c r="H20" i="88"/>
  <c r="J65" i="88"/>
  <c r="J61" i="88"/>
  <c r="J49" i="88"/>
  <c r="J42" i="88"/>
  <c r="J34" i="88"/>
  <c r="J68" i="88"/>
  <c r="J56" i="88"/>
  <c r="J43" i="88"/>
  <c r="J29" i="88"/>
  <c r="J25" i="88"/>
  <c r="J28" i="88"/>
  <c r="N32" i="88"/>
  <c r="V36" i="88"/>
  <c r="J58" i="88"/>
  <c r="F73" i="89"/>
  <c r="J18" i="83"/>
  <c r="F18" i="84"/>
  <c r="F45" i="84"/>
  <c r="F46" i="84"/>
  <c r="F70" i="84"/>
  <c r="F74" i="84"/>
  <c r="X110" i="85"/>
  <c r="J25" i="86"/>
  <c r="J26" i="86"/>
  <c r="J28" i="86"/>
  <c r="J15" i="86"/>
  <c r="J16" i="86"/>
  <c r="J21" i="86"/>
  <c r="J23" i="86"/>
  <c r="N50" i="88"/>
  <c r="D16" i="82"/>
  <c r="J17" i="83"/>
  <c r="F27" i="84"/>
  <c r="F31" i="84"/>
  <c r="F54" i="84"/>
  <c r="F55" i="84"/>
  <c r="F62" i="84"/>
  <c r="F63" i="84"/>
  <c r="L13" i="85"/>
  <c r="N19" i="87"/>
  <c r="V18" i="88"/>
  <c r="V22" i="88"/>
  <c r="V48" i="88"/>
  <c r="X14" i="89"/>
  <c r="Z14" i="89" s="1"/>
  <c r="N48" i="89"/>
  <c r="L48" i="89"/>
  <c r="N52" i="89"/>
  <c r="L16" i="94"/>
  <c r="N16" i="94" s="1"/>
  <c r="F43" i="84"/>
  <c r="F44" i="84"/>
  <c r="N20" i="86"/>
  <c r="X32" i="88"/>
  <c r="Z32" i="88" s="1"/>
  <c r="Z54" i="88"/>
  <c r="V74" i="88"/>
  <c r="H16" i="82"/>
  <c r="J31" i="83"/>
  <c r="F16" i="84"/>
  <c r="F17" i="84"/>
  <c r="F52" i="84"/>
  <c r="F53" i="84"/>
  <c r="F61" i="84"/>
  <c r="F68" i="84"/>
  <c r="F69" i="84"/>
  <c r="F73" i="84"/>
  <c r="L112" i="85"/>
  <c r="N112" i="85" s="1"/>
  <c r="J20" i="86"/>
  <c r="V16" i="88"/>
  <c r="V32" i="88"/>
  <c r="N37" i="88"/>
  <c r="N39" i="88"/>
  <c r="L39" i="88"/>
  <c r="Z50" i="88"/>
  <c r="V54" i="88"/>
  <c r="V78" i="88"/>
  <c r="N46" i="89"/>
  <c r="F84" i="84"/>
  <c r="L102" i="85"/>
  <c r="N102" i="85" s="1"/>
  <c r="L20" i="86"/>
  <c r="Z23" i="86"/>
  <c r="X23" i="86"/>
  <c r="J32" i="86"/>
  <c r="N18" i="87"/>
  <c r="D12" i="88"/>
  <c r="L14" i="88"/>
  <c r="X37" i="88"/>
  <c r="Z37" i="88" s="1"/>
  <c r="V47" i="88"/>
  <c r="X54" i="88"/>
  <c r="Z32" i="89"/>
  <c r="R24" i="82"/>
  <c r="J27" i="83"/>
  <c r="F35" i="84"/>
  <c r="F50" i="84"/>
  <c r="F51" i="84"/>
  <c r="F66" i="84"/>
  <c r="F67" i="84"/>
  <c r="F80" i="84"/>
  <c r="J22" i="86"/>
  <c r="L14" i="87"/>
  <c r="N14" i="88"/>
  <c r="R37" i="88"/>
  <c r="Z39" i="88"/>
  <c r="N43" i="88"/>
  <c r="J73" i="88"/>
  <c r="N60" i="92"/>
  <c r="L60" i="92"/>
  <c r="H21" i="83"/>
  <c r="F39" i="84"/>
  <c r="F40" i="84"/>
  <c r="F60" i="84"/>
  <c r="F72" i="84"/>
  <c r="Z13" i="85"/>
  <c r="X98" i="85"/>
  <c r="Z98" i="85" s="1"/>
  <c r="V84" i="88"/>
  <c r="V72" i="88"/>
  <c r="V68" i="88"/>
  <c r="V75" i="88"/>
  <c r="V63" i="88"/>
  <c r="V80" i="88"/>
  <c r="V67" i="88"/>
  <c r="V60" i="88"/>
  <c r="V41" i="88"/>
  <c r="V33" i="88"/>
  <c r="T20" i="88"/>
  <c r="V55" i="88"/>
  <c r="V40" i="88"/>
  <c r="V28" i="88"/>
  <c r="V24" i="88"/>
  <c r="V65" i="88"/>
  <c r="V64" i="88"/>
  <c r="V43" i="88"/>
  <c r="V50" i="88"/>
  <c r="V49" i="88"/>
  <c r="V42" i="88"/>
  <c r="V34" i="88"/>
  <c r="V61" i="88"/>
  <c r="V57" i="88"/>
  <c r="V56" i="88"/>
  <c r="V29" i="88"/>
  <c r="V25" i="88"/>
  <c r="V77" i="88"/>
  <c r="V76" i="88"/>
  <c r="V70" i="88"/>
  <c r="V44" i="88"/>
  <c r="V73" i="88"/>
  <c r="V52" i="88"/>
  <c r="V51" i="88"/>
  <c r="V35" i="88"/>
  <c r="V66" i="88"/>
  <c r="V46" i="88"/>
  <c r="V30" i="88"/>
  <c r="V26" i="88"/>
  <c r="V62" i="88"/>
  <c r="V59" i="88"/>
  <c r="V58" i="88"/>
  <c r="V45" i="88"/>
  <c r="V37" i="88"/>
  <c r="V17" i="88"/>
  <c r="N23" i="88"/>
  <c r="L23" i="88"/>
  <c r="V31" i="88"/>
  <c r="V39" i="88"/>
  <c r="L57" i="88"/>
  <c r="N57" i="88" s="1"/>
  <c r="D77" i="89"/>
  <c r="J21" i="83"/>
  <c r="J23" i="83"/>
  <c r="F25" i="84"/>
  <c r="F29" i="84"/>
  <c r="F48" i="84"/>
  <c r="F49" i="84"/>
  <c r="X95" i="85"/>
  <c r="Z95" i="85" s="1"/>
  <c r="R32" i="86"/>
  <c r="R15" i="86"/>
  <c r="R21" i="86"/>
  <c r="R16" i="86"/>
  <c r="R23" i="86"/>
  <c r="R22" i="86"/>
  <c r="P18" i="86"/>
  <c r="R28" i="86"/>
  <c r="X12" i="88"/>
  <c r="Z12" i="88" s="1"/>
  <c r="Z14" i="88"/>
  <c r="Z43" i="88"/>
  <c r="J57" i="88"/>
  <c r="N77" i="88"/>
  <c r="N68" i="89"/>
  <c r="L68" i="89"/>
  <c r="R30" i="88"/>
  <c r="Z46" i="88"/>
  <c r="R52" i="88"/>
  <c r="P77" i="89"/>
  <c r="F56" i="89"/>
  <c r="N17" i="93"/>
  <c r="R22" i="87"/>
  <c r="R24" i="87"/>
  <c r="R16" i="88"/>
  <c r="R35" i="88"/>
  <c r="R51" i="88"/>
  <c r="R77" i="88"/>
  <c r="R20" i="89"/>
  <c r="J29" i="89"/>
  <c r="F33" i="89"/>
  <c r="F37" i="89"/>
  <c r="Z40" i="89"/>
  <c r="N56" i="89"/>
  <c r="L56" i="89"/>
  <c r="F58" i="89"/>
  <c r="X48" i="92"/>
  <c r="Z48" i="92" s="1"/>
  <c r="P16" i="87"/>
  <c r="R44" i="88"/>
  <c r="R57" i="88"/>
  <c r="L65" i="88"/>
  <c r="N65" i="88" s="1"/>
  <c r="R76" i="88"/>
  <c r="Z77" i="88"/>
  <c r="R77" i="89"/>
  <c r="R64" i="89"/>
  <c r="R60" i="89"/>
  <c r="R44" i="89"/>
  <c r="R43" i="89"/>
  <c r="R35" i="89"/>
  <c r="R16" i="89"/>
  <c r="R66" i="89"/>
  <c r="R65" i="89"/>
  <c r="R61" i="89"/>
  <c r="R46" i="89"/>
  <c r="R45" i="89"/>
  <c r="R17" i="89"/>
  <c r="R36" i="89"/>
  <c r="R68" i="89"/>
  <c r="R67" i="89"/>
  <c r="R56" i="89"/>
  <c r="R55" i="89"/>
  <c r="R48" i="89"/>
  <c r="R47" i="89"/>
  <c r="R32" i="89"/>
  <c r="R31" i="89"/>
  <c r="R27" i="89"/>
  <c r="R62" i="89"/>
  <c r="R23" i="89"/>
  <c r="R18" i="89"/>
  <c r="R69" i="89"/>
  <c r="R57" i="89"/>
  <c r="R50" i="89"/>
  <c r="R49" i="89"/>
  <c r="R73" i="89"/>
  <c r="R71" i="89"/>
  <c r="R28" i="89"/>
  <c r="R63" i="89"/>
  <c r="R52" i="89"/>
  <c r="R51" i="89"/>
  <c r="R40" i="89"/>
  <c r="R39" i="89"/>
  <c r="F16" i="89"/>
  <c r="J23" i="89"/>
  <c r="J33" i="89"/>
  <c r="J37" i="89"/>
  <c r="R38" i="89"/>
  <c r="R42" i="89"/>
  <c r="Z59" i="89"/>
  <c r="F62" i="89"/>
  <c r="F69" i="89"/>
  <c r="T12" i="89"/>
  <c r="Z13" i="89"/>
  <c r="X42" i="89"/>
  <c r="Z42" i="89" s="1"/>
  <c r="J69" i="89"/>
  <c r="T16" i="87"/>
  <c r="R19" i="87"/>
  <c r="N13" i="88"/>
  <c r="R34" i="88"/>
  <c r="R42" i="88"/>
  <c r="R43" i="88"/>
  <c r="R49" i="88"/>
  <c r="R65" i="88"/>
  <c r="F28" i="89"/>
  <c r="F24" i="89"/>
  <c r="F23" i="89"/>
  <c r="F63" i="89"/>
  <c r="F51" i="89"/>
  <c r="F50" i="89"/>
  <c r="F39" i="89"/>
  <c r="F38" i="89"/>
  <c r="F22" i="89"/>
  <c r="F20" i="89"/>
  <c r="F75" i="89"/>
  <c r="F53" i="89"/>
  <c r="F52" i="89"/>
  <c r="F41" i="89"/>
  <c r="F40" i="89"/>
  <c r="F29" i="89"/>
  <c r="F25" i="89"/>
  <c r="F64" i="89"/>
  <c r="F60" i="89"/>
  <c r="F59" i="89"/>
  <c r="F43" i="89"/>
  <c r="F42" i="89"/>
  <c r="F35" i="89"/>
  <c r="F77" i="89"/>
  <c r="F54" i="89"/>
  <c r="F30" i="89"/>
  <c r="F26" i="89"/>
  <c r="F65" i="89"/>
  <c r="F61" i="89"/>
  <c r="F45" i="89"/>
  <c r="F44" i="89"/>
  <c r="F36" i="89"/>
  <c r="F67" i="89"/>
  <c r="F66" i="89"/>
  <c r="F55" i="89"/>
  <c r="F47" i="89"/>
  <c r="F46" i="89"/>
  <c r="F31" i="89"/>
  <c r="F27" i="89"/>
  <c r="X13" i="89"/>
  <c r="R58" i="89"/>
  <c r="Z56" i="92"/>
  <c r="N66" i="92"/>
  <c r="L66" i="92"/>
  <c r="D85" i="92"/>
  <c r="L85" i="92" s="1"/>
  <c r="L86" i="92"/>
  <c r="N86" i="92" s="1"/>
  <c r="V14" i="87"/>
  <c r="V16" i="87"/>
  <c r="V18" i="87"/>
  <c r="J28" i="87"/>
  <c r="J31" i="87"/>
  <c r="X57" i="88"/>
  <c r="Z57" i="88" s="1"/>
  <c r="R64" i="88"/>
  <c r="Z65" i="88"/>
  <c r="J71" i="89"/>
  <c r="J63" i="89"/>
  <c r="J51" i="89"/>
  <c r="J39" i="89"/>
  <c r="H20" i="89"/>
  <c r="J58" i="89"/>
  <c r="J52" i="89"/>
  <c r="J40" i="89"/>
  <c r="J34" i="89"/>
  <c r="J64" i="89"/>
  <c r="J60" i="89"/>
  <c r="J42" i="89"/>
  <c r="J43" i="89"/>
  <c r="J35" i="89"/>
  <c r="J54" i="89"/>
  <c r="J44" i="89"/>
  <c r="J30" i="89"/>
  <c r="J26" i="89"/>
  <c r="J16" i="89"/>
  <c r="J65" i="89"/>
  <c r="J61" i="89"/>
  <c r="J45" i="89"/>
  <c r="J17" i="89"/>
  <c r="J66" i="89"/>
  <c r="J46" i="89"/>
  <c r="J67" i="89"/>
  <c r="J55" i="89"/>
  <c r="J47" i="89"/>
  <c r="J31" i="89"/>
  <c r="J27" i="89"/>
  <c r="J68" i="89"/>
  <c r="J62" i="89"/>
  <c r="J56" i="89"/>
  <c r="J48" i="89"/>
  <c r="J32" i="89"/>
  <c r="J18" i="89"/>
  <c r="F18" i="89"/>
  <c r="J22" i="89"/>
  <c r="R25" i="89"/>
  <c r="R33" i="89"/>
  <c r="R37" i="89"/>
  <c r="R41" i="89"/>
  <c r="J53" i="89"/>
  <c r="N13" i="86"/>
  <c r="V19" i="87"/>
  <c r="P20" i="88"/>
  <c r="R24" i="88"/>
  <c r="R28" i="88"/>
  <c r="R40" i="88"/>
  <c r="R41" i="88"/>
  <c r="R55" i="88"/>
  <c r="R75" i="88"/>
  <c r="R80" i="88"/>
  <c r="L12" i="89"/>
  <c r="N12" i="89" s="1"/>
  <c r="F32" i="89"/>
  <c r="F57" i="89"/>
  <c r="J75" i="89"/>
  <c r="N42" i="92"/>
  <c r="L42" i="92"/>
  <c r="R20" i="88"/>
  <c r="R22" i="88"/>
  <c r="R33" i="88"/>
  <c r="R48" i="88"/>
  <c r="J57" i="89"/>
  <c r="T96" i="92"/>
  <c r="R78" i="88"/>
  <c r="R70" i="88"/>
  <c r="R66" i="88"/>
  <c r="R59" i="88"/>
  <c r="R58" i="88"/>
  <c r="R71" i="88"/>
  <c r="R67" i="88"/>
  <c r="R61" i="88"/>
  <c r="R54" i="88"/>
  <c r="R53" i="88"/>
  <c r="R73" i="88"/>
  <c r="R72" i="88"/>
  <c r="R68" i="88"/>
  <c r="R18" i="88"/>
  <c r="R23" i="88"/>
  <c r="R38" i="88"/>
  <c r="R39" i="88"/>
  <c r="R47" i="88"/>
  <c r="N52" i="88"/>
  <c r="X63" i="88"/>
  <c r="R69" i="88"/>
  <c r="R74" i="88"/>
  <c r="J28" i="89"/>
  <c r="R53" i="89"/>
  <c r="F68" i="89"/>
  <c r="R75" i="89"/>
  <c r="Z23" i="93"/>
  <c r="X14" i="95"/>
  <c r="P12" i="95"/>
  <c r="D16" i="92"/>
  <c r="J21" i="92"/>
  <c r="R22" i="92"/>
  <c r="J25" i="92"/>
  <c r="R26" i="92"/>
  <c r="J41" i="92"/>
  <c r="J53" i="92"/>
  <c r="R56" i="92"/>
  <c r="J59" i="92"/>
  <c r="R69" i="92"/>
  <c r="R74" i="92"/>
  <c r="R80" i="92"/>
  <c r="J91" i="92"/>
  <c r="V67" i="93"/>
  <c r="V63" i="93"/>
  <c r="V51" i="93"/>
  <c r="V39" i="93"/>
  <c r="V70" i="93"/>
  <c r="V58" i="93"/>
  <c r="V50" i="93"/>
  <c r="V69" i="93"/>
  <c r="V41" i="93"/>
  <c r="V29" i="93"/>
  <c r="V25" i="93"/>
  <c r="V64" i="93"/>
  <c r="V60" i="93"/>
  <c r="V52" i="93"/>
  <c r="V40" i="93"/>
  <c r="V73" i="93"/>
  <c r="V71" i="93"/>
  <c r="V59" i="93"/>
  <c r="V43" i="93"/>
  <c r="V35" i="93"/>
  <c r="V54" i="93"/>
  <c r="V42" i="93"/>
  <c r="V30" i="93"/>
  <c r="V26" i="93"/>
  <c r="V65" i="93"/>
  <c r="V61" i="93"/>
  <c r="V53" i="93"/>
  <c r="V45" i="93"/>
  <c r="V56" i="93"/>
  <c r="V44" i="93"/>
  <c r="V36" i="93"/>
  <c r="V32" i="93"/>
  <c r="V77" i="93"/>
  <c r="V55" i="93"/>
  <c r="V47" i="93"/>
  <c r="V31" i="93"/>
  <c r="V27" i="93"/>
  <c r="V23" i="93"/>
  <c r="V57" i="93"/>
  <c r="V49" i="93"/>
  <c r="V37" i="93"/>
  <c r="V33" i="93"/>
  <c r="T20" i="93"/>
  <c r="V46" i="93"/>
  <c r="V48" i="93"/>
  <c r="V62" i="93"/>
  <c r="J69" i="94"/>
  <c r="J53" i="94"/>
  <c r="J45" i="94"/>
  <c r="J55" i="94"/>
  <c r="J49" i="94"/>
  <c r="J50" i="94"/>
  <c r="J36" i="94"/>
  <c r="J64" i="94"/>
  <c r="J60" i="94"/>
  <c r="J31" i="94"/>
  <c r="J27" i="94"/>
  <c r="J57" i="94"/>
  <c r="J32" i="94"/>
  <c r="J18" i="94"/>
  <c r="J65" i="94"/>
  <c r="J61" i="94"/>
  <c r="J46" i="94"/>
  <c r="J37" i="94"/>
  <c r="J33" i="94"/>
  <c r="J23" i="94"/>
  <c r="J54" i="94"/>
  <c r="J38" i="94"/>
  <c r="J28" i="94"/>
  <c r="J24" i="94"/>
  <c r="J22" i="94"/>
  <c r="J20" i="94"/>
  <c r="J51" i="94"/>
  <c r="J47" i="94"/>
  <c r="J39" i="94"/>
  <c r="H20" i="94"/>
  <c r="J48" i="94"/>
  <c r="J40" i="94"/>
  <c r="J34" i="94"/>
  <c r="J62" i="94"/>
  <c r="J58" i="94"/>
  <c r="J41" i="94"/>
  <c r="J29" i="94"/>
  <c r="J25" i="94"/>
  <c r="J52" i="94"/>
  <c r="J42" i="94"/>
  <c r="J59" i="94"/>
  <c r="J56" i="94"/>
  <c r="J30" i="94"/>
  <c r="J26" i="94"/>
  <c r="J16" i="94"/>
  <c r="J30" i="92"/>
  <c r="R31" i="92"/>
  <c r="J34" i="92"/>
  <c r="R35" i="92"/>
  <c r="R36" i="92"/>
  <c r="R43" i="92"/>
  <c r="R44" i="92"/>
  <c r="V46" i="92"/>
  <c r="F50" i="92"/>
  <c r="F51" i="92"/>
  <c r="J52" i="92"/>
  <c r="R55" i="92"/>
  <c r="F65" i="92"/>
  <c r="V69" i="92"/>
  <c r="F76" i="92"/>
  <c r="V80" i="92"/>
  <c r="F96" i="92"/>
  <c r="D20" i="93"/>
  <c r="F32" i="93"/>
  <c r="R23" i="94"/>
  <c r="R36" i="94"/>
  <c r="V72" i="95"/>
  <c r="V60" i="95"/>
  <c r="V48" i="95"/>
  <c r="V28" i="95"/>
  <c r="V24" i="95"/>
  <c r="V71" i="95"/>
  <c r="V59" i="95"/>
  <c r="V51" i="95"/>
  <c r="V39" i="95"/>
  <c r="V66" i="95"/>
  <c r="V62" i="95"/>
  <c r="V50" i="95"/>
  <c r="V38" i="95"/>
  <c r="V34" i="95"/>
  <c r="V75" i="95"/>
  <c r="V73" i="95"/>
  <c r="V61" i="95"/>
  <c r="V53" i="95"/>
  <c r="V41" i="95"/>
  <c r="V29" i="95"/>
  <c r="V25" i="95"/>
  <c r="V52" i="95"/>
  <c r="V40" i="95"/>
  <c r="V54" i="95"/>
  <c r="V42" i="95"/>
  <c r="V30" i="95"/>
  <c r="V26" i="95"/>
  <c r="V79" i="95"/>
  <c r="V45" i="95"/>
  <c r="V68" i="95"/>
  <c r="V64" i="95"/>
  <c r="V56" i="95"/>
  <c r="V44" i="95"/>
  <c r="V36" i="95"/>
  <c r="V32" i="95"/>
  <c r="V70" i="95"/>
  <c r="V58" i="95"/>
  <c r="V46" i="95"/>
  <c r="V22" i="95"/>
  <c r="V18" i="95"/>
  <c r="V43" i="95"/>
  <c r="V16" i="95"/>
  <c r="V67" i="95"/>
  <c r="V23" i="95"/>
  <c r="V69" i="95"/>
  <c r="V27" i="95"/>
  <c r="V37" i="95"/>
  <c r="V35" i="95"/>
  <c r="V33" i="95"/>
  <c r="V31" i="95"/>
  <c r="T20" i="95"/>
  <c r="V17" i="95"/>
  <c r="V55" i="95"/>
  <c r="D12" i="101"/>
  <c r="L14" i="101"/>
  <c r="H16" i="92"/>
  <c r="J29" i="92"/>
  <c r="V43" i="92"/>
  <c r="J51" i="92"/>
  <c r="V55" i="92"/>
  <c r="V56" i="92"/>
  <c r="R60" i="92"/>
  <c r="V63" i="92"/>
  <c r="J65" i="92"/>
  <c r="V71" i="92"/>
  <c r="J79" i="92"/>
  <c r="F85" i="92"/>
  <c r="P85" i="92"/>
  <c r="X85" i="92" s="1"/>
  <c r="Z85" i="92" s="1"/>
  <c r="V87" i="92"/>
  <c r="J96" i="92"/>
  <c r="F73" i="93"/>
  <c r="F44" i="93"/>
  <c r="F43" i="93"/>
  <c r="F36" i="93"/>
  <c r="F77" i="93"/>
  <c r="F55" i="93"/>
  <c r="F54" i="93"/>
  <c r="F66" i="93"/>
  <c r="F62" i="93"/>
  <c r="F46" i="93"/>
  <c r="F45" i="93"/>
  <c r="F18" i="93"/>
  <c r="F17" i="93"/>
  <c r="F57" i="93"/>
  <c r="F56" i="93"/>
  <c r="F48" i="93"/>
  <c r="F47" i="93"/>
  <c r="F28" i="93"/>
  <c r="F24" i="93"/>
  <c r="F67" i="93"/>
  <c r="F63" i="93"/>
  <c r="F22" i="93"/>
  <c r="F58" i="93"/>
  <c r="F50" i="93"/>
  <c r="F49" i="93"/>
  <c r="F38" i="93"/>
  <c r="F34" i="93"/>
  <c r="F69" i="93"/>
  <c r="F68" i="93"/>
  <c r="F29" i="93"/>
  <c r="F25" i="93"/>
  <c r="F64" i="93"/>
  <c r="F52" i="93"/>
  <c r="F51" i="93"/>
  <c r="F40" i="93"/>
  <c r="F39" i="93"/>
  <c r="F42" i="93"/>
  <c r="F41" i="93"/>
  <c r="F30" i="93"/>
  <c r="F26" i="93"/>
  <c r="Z22" i="93"/>
  <c r="V38" i="93"/>
  <c r="Z23" i="94"/>
  <c r="Z40" i="94"/>
  <c r="J43" i="94"/>
  <c r="J14" i="92"/>
  <c r="J16" i="92"/>
  <c r="J18" i="92"/>
  <c r="J20" i="92"/>
  <c r="R21" i="92"/>
  <c r="J24" i="92"/>
  <c r="R25" i="92"/>
  <c r="J28" i="92"/>
  <c r="V36" i="92"/>
  <c r="J40" i="92"/>
  <c r="R41" i="92"/>
  <c r="R42" i="92"/>
  <c r="V44" i="92"/>
  <c r="F48" i="92"/>
  <c r="F49" i="92"/>
  <c r="J50" i="92"/>
  <c r="R53" i="92"/>
  <c r="R54" i="92"/>
  <c r="F58" i="92"/>
  <c r="R59" i="92"/>
  <c r="Z60" i="92"/>
  <c r="R73" i="92"/>
  <c r="R82" i="92"/>
  <c r="H85" i="92"/>
  <c r="R86" i="92"/>
  <c r="V22" i="93"/>
  <c r="V24" i="93"/>
  <c r="V28" i="93"/>
  <c r="T64" i="94"/>
  <c r="Z32" i="95"/>
  <c r="F79" i="92"/>
  <c r="F78" i="92"/>
  <c r="F71" i="92"/>
  <c r="F67" i="92"/>
  <c r="F66" i="92"/>
  <c r="F80" i="92"/>
  <c r="F72" i="92"/>
  <c r="F68" i="92"/>
  <c r="F81" i="92"/>
  <c r="F73" i="92"/>
  <c r="F69" i="92"/>
  <c r="F83" i="92"/>
  <c r="F82" i="92"/>
  <c r="F75" i="92"/>
  <c r="F74" i="92"/>
  <c r="J19" i="92"/>
  <c r="V21" i="92"/>
  <c r="V25" i="92"/>
  <c r="R30" i="92"/>
  <c r="J33" i="92"/>
  <c r="R34" i="92"/>
  <c r="V41" i="92"/>
  <c r="J49" i="92"/>
  <c r="V53" i="92"/>
  <c r="J58" i="92"/>
  <c r="V59" i="92"/>
  <c r="V60" i="92"/>
  <c r="V66" i="92"/>
  <c r="J68" i="92"/>
  <c r="V73" i="92"/>
  <c r="Z86" i="92"/>
  <c r="L13" i="93"/>
  <c r="N13" i="93" s="1"/>
  <c r="V17" i="93"/>
  <c r="L41" i="93"/>
  <c r="N41" i="93" s="1"/>
  <c r="F53" i="93"/>
  <c r="L73" i="93"/>
  <c r="X38" i="94"/>
  <c r="Z38" i="94" s="1"/>
  <c r="J62" i="92"/>
  <c r="J56" i="92"/>
  <c r="J81" i="92"/>
  <c r="J73" i="92"/>
  <c r="J69" i="92"/>
  <c r="J82" i="92"/>
  <c r="J74" i="92"/>
  <c r="J64" i="92"/>
  <c r="J86" i="92"/>
  <c r="J76" i="92"/>
  <c r="J70" i="92"/>
  <c r="J48" i="92"/>
  <c r="R51" i="92"/>
  <c r="R52" i="92"/>
  <c r="V54" i="92"/>
  <c r="V65" i="92"/>
  <c r="F70" i="92"/>
  <c r="J75" i="92"/>
  <c r="R76" i="92"/>
  <c r="V79" i="92"/>
  <c r="V86" i="92"/>
  <c r="F89" i="92"/>
  <c r="R96" i="92"/>
  <c r="P12" i="93"/>
  <c r="V34" i="93"/>
  <c r="F59" i="93"/>
  <c r="F61" i="93"/>
  <c r="V68" i="93"/>
  <c r="D12" i="94"/>
  <c r="L14" i="94"/>
  <c r="N14" i="94" s="1"/>
  <c r="J17" i="94"/>
  <c r="L12" i="92"/>
  <c r="P16" i="92"/>
  <c r="R20" i="92"/>
  <c r="J23" i="92"/>
  <c r="R24" i="92"/>
  <c r="J27" i="92"/>
  <c r="R28" i="92"/>
  <c r="R29" i="92"/>
  <c r="J39" i="92"/>
  <c r="R40" i="92"/>
  <c r="J47" i="92"/>
  <c r="V51" i="92"/>
  <c r="F57" i="92"/>
  <c r="R62" i="92"/>
  <c r="F64" i="92"/>
  <c r="R68" i="92"/>
  <c r="J72" i="92"/>
  <c r="N78" i="92"/>
  <c r="R81" i="92"/>
  <c r="J89" i="92"/>
  <c r="F93" i="92"/>
  <c r="Z13" i="93"/>
  <c r="F23" i="93"/>
  <c r="F27" i="93"/>
  <c r="F31" i="93"/>
  <c r="L43" i="93"/>
  <c r="N43" i="93" s="1"/>
  <c r="V66" i="93"/>
  <c r="Z32" i="94"/>
  <c r="T94" i="96"/>
  <c r="V94" i="96" s="1"/>
  <c r="N12" i="92"/>
  <c r="R14" i="92"/>
  <c r="R16" i="92"/>
  <c r="R18" i="92"/>
  <c r="J32" i="92"/>
  <c r="R33" i="92"/>
  <c r="J38" i="92"/>
  <c r="J46" i="92"/>
  <c r="R49" i="92"/>
  <c r="R50" i="92"/>
  <c r="J57" i="92"/>
  <c r="V68" i="92"/>
  <c r="V70" i="92"/>
  <c r="V76" i="92"/>
  <c r="J78" i="92"/>
  <c r="V81" i="92"/>
  <c r="J93" i="92"/>
  <c r="V20" i="93"/>
  <c r="Z22" i="94"/>
  <c r="J35" i="94"/>
  <c r="R63" i="92"/>
  <c r="R89" i="92"/>
  <c r="R87" i="92"/>
  <c r="R85" i="92"/>
  <c r="R70" i="92"/>
  <c r="R91" i="92"/>
  <c r="R78" i="92"/>
  <c r="R77" i="92"/>
  <c r="R66" i="92"/>
  <c r="R65" i="92"/>
  <c r="R61" i="92"/>
  <c r="R79" i="92"/>
  <c r="R71" i="92"/>
  <c r="R19" i="92"/>
  <c r="J37" i="92"/>
  <c r="J45" i="92"/>
  <c r="J61" i="92"/>
  <c r="J67" i="92"/>
  <c r="R75" i="92"/>
  <c r="J83" i="92"/>
  <c r="L22" i="93"/>
  <c r="N22" i="93" s="1"/>
  <c r="L23" i="93"/>
  <c r="N23" i="93" s="1"/>
  <c r="Z47" i="93"/>
  <c r="R55" i="94"/>
  <c r="R54" i="94"/>
  <c r="R65" i="94"/>
  <c r="R62" i="94"/>
  <c r="R50" i="94"/>
  <c r="R61" i="94"/>
  <c r="R46" i="94"/>
  <c r="R38" i="94"/>
  <c r="R37" i="94"/>
  <c r="R33" i="94"/>
  <c r="R22" i="94"/>
  <c r="R28" i="94"/>
  <c r="R24" i="94"/>
  <c r="P20" i="94"/>
  <c r="R20" i="94" s="1"/>
  <c r="R51" i="94"/>
  <c r="R48" i="94"/>
  <c r="R47" i="94"/>
  <c r="R40" i="94"/>
  <c r="R39" i="94"/>
  <c r="R34" i="94"/>
  <c r="R58" i="94"/>
  <c r="R52" i="94"/>
  <c r="R42" i="94"/>
  <c r="R41" i="94"/>
  <c r="R29" i="94"/>
  <c r="R25" i="94"/>
  <c r="R49" i="94"/>
  <c r="R43" i="94"/>
  <c r="R35" i="94"/>
  <c r="R16" i="94"/>
  <c r="R59" i="94"/>
  <c r="R56" i="94"/>
  <c r="R44" i="94"/>
  <c r="R30" i="94"/>
  <c r="R26" i="94"/>
  <c r="R17" i="94"/>
  <c r="R69" i="94"/>
  <c r="R60" i="94"/>
  <c r="R32" i="94"/>
  <c r="R31" i="94"/>
  <c r="R27" i="94"/>
  <c r="X22" i="94"/>
  <c r="J44" i="94"/>
  <c r="V82" i="92"/>
  <c r="V74" i="92"/>
  <c r="V58" i="92"/>
  <c r="V85" i="92"/>
  <c r="V83" i="92"/>
  <c r="V75" i="92"/>
  <c r="V96" i="92"/>
  <c r="V93" i="92"/>
  <c r="V91" i="92"/>
  <c r="V77" i="92"/>
  <c r="V14" i="92"/>
  <c r="V16" i="92"/>
  <c r="V18" i="92"/>
  <c r="J22" i="92"/>
  <c r="R23" i="92"/>
  <c r="J26" i="92"/>
  <c r="R27" i="92"/>
  <c r="F31" i="92"/>
  <c r="F35" i="92"/>
  <c r="J36" i="92"/>
  <c r="R39" i="92"/>
  <c r="F42" i="92"/>
  <c r="F43" i="92"/>
  <c r="J44" i="92"/>
  <c r="R47" i="92"/>
  <c r="R48" i="92"/>
  <c r="V50" i="92"/>
  <c r="F54" i="92"/>
  <c r="F55" i="92"/>
  <c r="F60" i="92"/>
  <c r="R64" i="92"/>
  <c r="R72" i="92"/>
  <c r="J80" i="92"/>
  <c r="F87" i="92"/>
  <c r="V89" i="92"/>
  <c r="H12" i="93"/>
  <c r="X23" i="93"/>
  <c r="F35" i="93"/>
  <c r="Z39" i="93"/>
  <c r="X49" i="93"/>
  <c r="Z49" i="93" s="1"/>
  <c r="L42" i="94"/>
  <c r="N42" i="94" s="1"/>
  <c r="Z46" i="94"/>
  <c r="Z48" i="94"/>
  <c r="R53" i="94"/>
  <c r="V65" i="95"/>
  <c r="T12" i="94"/>
  <c r="X12" i="94" s="1"/>
  <c r="L14" i="95"/>
  <c r="N14" i="95" s="1"/>
  <c r="D20" i="95"/>
  <c r="F24" i="95"/>
  <c r="F26" i="95"/>
  <c r="N70" i="95"/>
  <c r="R26" i="96"/>
  <c r="R37" i="96"/>
  <c r="Z52" i="96"/>
  <c r="P12" i="99"/>
  <c r="X13" i="99"/>
  <c r="X44" i="94"/>
  <c r="Z44" i="94" s="1"/>
  <c r="Z14" i="95"/>
  <c r="F41" i="95"/>
  <c r="D12" i="96"/>
  <c r="L14" i="96"/>
  <c r="F56" i="98"/>
  <c r="F28" i="98"/>
  <c r="F24" i="98"/>
  <c r="F23" i="98"/>
  <c r="F63" i="98"/>
  <c r="F47" i="98"/>
  <c r="F22" i="98"/>
  <c r="F74" i="98"/>
  <c r="F70" i="98"/>
  <c r="F58" i="98"/>
  <c r="F57" i="98"/>
  <c r="F38" i="98"/>
  <c r="F34" i="98"/>
  <c r="D20" i="98"/>
  <c r="F49" i="98"/>
  <c r="F48" i="98"/>
  <c r="F29" i="98"/>
  <c r="F25" i="98"/>
  <c r="F76" i="98"/>
  <c r="F75" i="98"/>
  <c r="F64" i="98"/>
  <c r="F40" i="98"/>
  <c r="F39" i="98"/>
  <c r="F71" i="98"/>
  <c r="F59" i="98"/>
  <c r="F51" i="98"/>
  <c r="F50" i="98"/>
  <c r="F35" i="98"/>
  <c r="F78" i="98"/>
  <c r="F77" i="98"/>
  <c r="F66" i="98"/>
  <c r="F65" i="98"/>
  <c r="F42" i="98"/>
  <c r="F41" i="98"/>
  <c r="F30" i="98"/>
  <c r="F26" i="98"/>
  <c r="F53" i="98"/>
  <c r="F52" i="98"/>
  <c r="F17" i="98"/>
  <c r="F16" i="98"/>
  <c r="F81" i="98"/>
  <c r="F72" i="98"/>
  <c r="F68" i="98"/>
  <c r="F67" i="98"/>
  <c r="F60" i="98"/>
  <c r="F44" i="98"/>
  <c r="F43" i="98"/>
  <c r="F36" i="98"/>
  <c r="L12" i="98"/>
  <c r="N12" i="98" s="1"/>
  <c r="F55" i="98"/>
  <c r="F27" i="98"/>
  <c r="F61" i="98"/>
  <c r="F33" i="98"/>
  <c r="F37" i="98"/>
  <c r="F31" i="98"/>
  <c r="F85" i="98"/>
  <c r="F45" i="98"/>
  <c r="F18" i="98"/>
  <c r="F73" i="98"/>
  <c r="F69" i="98"/>
  <c r="F54" i="98"/>
  <c r="F62" i="98"/>
  <c r="L23" i="95"/>
  <c r="N23" i="95" s="1"/>
  <c r="F48" i="95"/>
  <c r="X70" i="95"/>
  <c r="Z70" i="95" s="1"/>
  <c r="N14" i="96"/>
  <c r="H12" i="95"/>
  <c r="F52" i="95"/>
  <c r="R78" i="96"/>
  <c r="R77" i="96"/>
  <c r="R73" i="96"/>
  <c r="R62" i="96"/>
  <c r="R45" i="96"/>
  <c r="R44" i="96"/>
  <c r="R36" i="96"/>
  <c r="R80" i="96"/>
  <c r="R79" i="96"/>
  <c r="R74" i="96"/>
  <c r="R46" i="96"/>
  <c r="R23" i="96"/>
  <c r="R82" i="96"/>
  <c r="R81" i="96"/>
  <c r="R70" i="96"/>
  <c r="R69" i="96"/>
  <c r="R58" i="96"/>
  <c r="R57" i="96"/>
  <c r="R64" i="96"/>
  <c r="R83" i="96"/>
  <c r="R75" i="96"/>
  <c r="R71" i="96"/>
  <c r="R59" i="96"/>
  <c r="R48" i="96"/>
  <c r="R47" i="96"/>
  <c r="R65" i="96"/>
  <c r="R50" i="96"/>
  <c r="R49" i="96"/>
  <c r="R29" i="96"/>
  <c r="R68" i="96"/>
  <c r="R66" i="96"/>
  <c r="R40" i="96"/>
  <c r="R17" i="96"/>
  <c r="R60" i="96"/>
  <c r="R55" i="96"/>
  <c r="R43" i="96"/>
  <c r="R32" i="96"/>
  <c r="R27" i="96"/>
  <c r="R24" i="96"/>
  <c r="R35" i="96"/>
  <c r="R53" i="96"/>
  <c r="R41" i="96"/>
  <c r="R33" i="96"/>
  <c r="R30" i="96"/>
  <c r="R18" i="96"/>
  <c r="R38" i="96"/>
  <c r="R25" i="96"/>
  <c r="R56" i="96"/>
  <c r="R67" i="96"/>
  <c r="R63" i="96"/>
  <c r="R54" i="96"/>
  <c r="R39" i="96"/>
  <c r="P20" i="96"/>
  <c r="R85" i="96"/>
  <c r="R51" i="96"/>
  <c r="R28" i="96"/>
  <c r="R22" i="96"/>
  <c r="R16" i="96"/>
  <c r="R76" i="96"/>
  <c r="R72" i="96"/>
  <c r="R52" i="96"/>
  <c r="R34" i="96"/>
  <c r="R31" i="96"/>
  <c r="T12" i="98"/>
  <c r="X14" i="98"/>
  <c r="Z14" i="98" s="1"/>
  <c r="X52" i="94"/>
  <c r="Z52" i="94" s="1"/>
  <c r="L13" i="95"/>
  <c r="N13" i="95" s="1"/>
  <c r="F25" i="95"/>
  <c r="L58" i="95"/>
  <c r="L62" i="95"/>
  <c r="R89" i="96"/>
  <c r="N61" i="94"/>
  <c r="L16" i="95"/>
  <c r="N16" i="95" s="1"/>
  <c r="F47" i="95"/>
  <c r="N58" i="95"/>
  <c r="N62" i="95"/>
  <c r="X12" i="96"/>
  <c r="Z12" i="96" s="1"/>
  <c r="F54" i="95"/>
  <c r="N46" i="94"/>
  <c r="L65" i="94"/>
  <c r="N65" i="94" s="1"/>
  <c r="Z13" i="95"/>
  <c r="X16" i="95"/>
  <c r="N22" i="95"/>
  <c r="Z23" i="95"/>
  <c r="F32" i="95"/>
  <c r="F40" i="95"/>
  <c r="X56" i="95"/>
  <c r="Z56" i="95" s="1"/>
  <c r="Z58" i="95"/>
  <c r="Z17" i="100"/>
  <c r="L32" i="94"/>
  <c r="N32" i="94" s="1"/>
  <c r="X42" i="94"/>
  <c r="Z42" i="94" s="1"/>
  <c r="L12" i="95"/>
  <c r="Z16" i="95"/>
  <c r="F30" i="95"/>
  <c r="Z41" i="95"/>
  <c r="F51" i="95"/>
  <c r="R61" i="96"/>
  <c r="F46" i="98"/>
  <c r="X65" i="94"/>
  <c r="Z65" i="94" s="1"/>
  <c r="F79" i="95"/>
  <c r="F17" i="95"/>
  <c r="F16" i="95"/>
  <c r="F68" i="95"/>
  <c r="F64" i="95"/>
  <c r="F44" i="95"/>
  <c r="F43" i="95"/>
  <c r="F36" i="95"/>
  <c r="F55" i="95"/>
  <c r="F31" i="95"/>
  <c r="F27" i="95"/>
  <c r="F46" i="95"/>
  <c r="F45" i="95"/>
  <c r="F18" i="95"/>
  <c r="F69" i="95"/>
  <c r="F65" i="95"/>
  <c r="F57" i="95"/>
  <c r="F56" i="95"/>
  <c r="F71" i="95"/>
  <c r="F70" i="95"/>
  <c r="F59" i="95"/>
  <c r="F58" i="95"/>
  <c r="F22" i="95"/>
  <c r="F20" i="95"/>
  <c r="F66" i="95"/>
  <c r="F50" i="95"/>
  <c r="F49" i="95"/>
  <c r="F38" i="95"/>
  <c r="F34" i="95"/>
  <c r="F73" i="95"/>
  <c r="F72" i="95"/>
  <c r="F61" i="95"/>
  <c r="F60" i="95"/>
  <c r="F29" i="95"/>
  <c r="F67" i="95"/>
  <c r="F63" i="95"/>
  <c r="F62" i="95"/>
  <c r="F35" i="95"/>
  <c r="F28" i="95"/>
  <c r="X32" i="95"/>
  <c r="F53" i="95"/>
  <c r="X23" i="96"/>
  <c r="Z23" i="96" s="1"/>
  <c r="L16" i="99"/>
  <c r="D18" i="99"/>
  <c r="L38" i="99"/>
  <c r="F38" i="99"/>
  <c r="V80" i="96"/>
  <c r="V68" i="96"/>
  <c r="V79" i="96"/>
  <c r="V67" i="96"/>
  <c r="V63" i="96"/>
  <c r="V55" i="96"/>
  <c r="V31" i="96"/>
  <c r="V27" i="96"/>
  <c r="V23" i="96"/>
  <c r="V82" i="96"/>
  <c r="V81" i="96"/>
  <c r="V69" i="96"/>
  <c r="V57" i="96"/>
  <c r="V37" i="96"/>
  <c r="V33" i="96"/>
  <c r="V64" i="96"/>
  <c r="V87" i="96"/>
  <c r="V85" i="96"/>
  <c r="V83" i="96"/>
  <c r="V75" i="96"/>
  <c r="V71" i="96"/>
  <c r="V59" i="96"/>
  <c r="V47" i="96"/>
  <c r="V39" i="96"/>
  <c r="V50" i="96"/>
  <c r="V38" i="96"/>
  <c r="V34" i="96"/>
  <c r="V76" i="96"/>
  <c r="V72" i="96"/>
  <c r="V60" i="96"/>
  <c r="V52" i="96"/>
  <c r="V40" i="96"/>
  <c r="H20" i="96"/>
  <c r="J65" i="96"/>
  <c r="V74" i="96"/>
  <c r="V89" i="96"/>
  <c r="J63" i="98"/>
  <c r="J57" i="98"/>
  <c r="J47" i="98"/>
  <c r="H20" i="98"/>
  <c r="J74" i="98"/>
  <c r="J70" i="98"/>
  <c r="J58" i="98"/>
  <c r="J48" i="98"/>
  <c r="J38" i="98"/>
  <c r="J34" i="98"/>
  <c r="J75" i="98"/>
  <c r="J49" i="98"/>
  <c r="J39" i="98"/>
  <c r="J29" i="98"/>
  <c r="J25" i="98"/>
  <c r="J76" i="98"/>
  <c r="J64" i="98"/>
  <c r="J50" i="98"/>
  <c r="J40" i="98"/>
  <c r="J77" i="98"/>
  <c r="J71" i="98"/>
  <c r="J65" i="98"/>
  <c r="J59" i="98"/>
  <c r="J51" i="98"/>
  <c r="J41" i="98"/>
  <c r="J35" i="98"/>
  <c r="J78" i="98"/>
  <c r="J66" i="98"/>
  <c r="J52" i="98"/>
  <c r="J42" i="98"/>
  <c r="J30" i="98"/>
  <c r="J26" i="98"/>
  <c r="J16" i="98"/>
  <c r="J81" i="98"/>
  <c r="J67" i="98"/>
  <c r="J53" i="98"/>
  <c r="J43" i="98"/>
  <c r="J17" i="98"/>
  <c r="J80" i="98"/>
  <c r="J72" i="98"/>
  <c r="J68" i="98"/>
  <c r="J60" i="98"/>
  <c r="J54" i="98"/>
  <c r="J44" i="98"/>
  <c r="J36" i="98"/>
  <c r="J85" i="98"/>
  <c r="J61" i="98"/>
  <c r="J55" i="98"/>
  <c r="J45" i="98"/>
  <c r="J31" i="98"/>
  <c r="J27" i="98"/>
  <c r="Z39" i="98"/>
  <c r="J46" i="98"/>
  <c r="R59" i="101"/>
  <c r="R53" i="101"/>
  <c r="R38" i="101"/>
  <c r="R37" i="101"/>
  <c r="R29" i="101"/>
  <c r="R22" i="101"/>
  <c r="R49" i="101"/>
  <c r="R48" i="101"/>
  <c r="R24" i="101"/>
  <c r="P20" i="101"/>
  <c r="R20" i="101" s="1"/>
  <c r="R63" i="101"/>
  <c r="R40" i="101"/>
  <c r="R39" i="101"/>
  <c r="R55" i="101"/>
  <c r="R54" i="101"/>
  <c r="R50" i="101"/>
  <c r="R30" i="101"/>
  <c r="R42" i="101"/>
  <c r="R41" i="101"/>
  <c r="R25" i="101"/>
  <c r="R56" i="101"/>
  <c r="R51" i="101"/>
  <c r="R43" i="101"/>
  <c r="R32" i="101"/>
  <c r="R31" i="101"/>
  <c r="R16" i="101"/>
  <c r="R58" i="101"/>
  <c r="R27" i="101"/>
  <c r="R26" i="101"/>
  <c r="R34" i="101"/>
  <c r="R33" i="101"/>
  <c r="R17" i="101"/>
  <c r="R46" i="101"/>
  <c r="R44" i="101"/>
  <c r="R18" i="101"/>
  <c r="R28" i="101"/>
  <c r="R47" i="101"/>
  <c r="R45" i="101"/>
  <c r="X12" i="101"/>
  <c r="R35" i="101"/>
  <c r="J25" i="96"/>
  <c r="V26" i="96"/>
  <c r="V42" i="96"/>
  <c r="J44" i="96"/>
  <c r="N56" i="96"/>
  <c r="V61" i="96"/>
  <c r="V70" i="96"/>
  <c r="X78" i="96"/>
  <c r="Z78" i="96" s="1"/>
  <c r="L23" i="98"/>
  <c r="N23" i="98" s="1"/>
  <c r="N32" i="98"/>
  <c r="Z57" i="98"/>
  <c r="T12" i="99"/>
  <c r="Z13" i="99"/>
  <c r="Z16" i="96"/>
  <c r="V28" i="96"/>
  <c r="J30" i="96"/>
  <c r="J33" i="96"/>
  <c r="J38" i="96"/>
  <c r="V45" i="96"/>
  <c r="J47" i="96"/>
  <c r="V48" i="96"/>
  <c r="V51" i="96"/>
  <c r="V65" i="96"/>
  <c r="J69" i="96"/>
  <c r="J81" i="96"/>
  <c r="J28" i="98"/>
  <c r="J32" i="98"/>
  <c r="J56" i="98"/>
  <c r="J62" i="98"/>
  <c r="D80" i="98"/>
  <c r="L80" i="98" s="1"/>
  <c r="X36" i="99"/>
  <c r="F43" i="100"/>
  <c r="F41" i="100"/>
  <c r="F28" i="100"/>
  <c r="F24" i="100"/>
  <c r="F45" i="100"/>
  <c r="F40" i="100"/>
  <c r="F15" i="100"/>
  <c r="F14" i="100"/>
  <c r="F30" i="100"/>
  <c r="F29" i="100"/>
  <c r="F25" i="100"/>
  <c r="F21" i="100"/>
  <c r="F20" i="100"/>
  <c r="F50" i="100"/>
  <c r="F47" i="100"/>
  <c r="F32" i="100"/>
  <c r="F31" i="100"/>
  <c r="D17" i="100"/>
  <c r="F34" i="100"/>
  <c r="F33" i="100"/>
  <c r="F26" i="100"/>
  <c r="F22" i="100"/>
  <c r="F36" i="100"/>
  <c r="F35" i="100"/>
  <c r="L12" i="100"/>
  <c r="F37" i="100"/>
  <c r="F17" i="100"/>
  <c r="F38" i="100"/>
  <c r="F19" i="100"/>
  <c r="V16" i="96"/>
  <c r="V22" i="96"/>
  <c r="V36" i="96"/>
  <c r="Z54" i="96"/>
  <c r="J22" i="98"/>
  <c r="Z50" i="98"/>
  <c r="J45" i="100"/>
  <c r="J29" i="100"/>
  <c r="J15" i="100"/>
  <c r="J30" i="100"/>
  <c r="J20" i="100"/>
  <c r="J50" i="100"/>
  <c r="J47" i="100"/>
  <c r="J31" i="100"/>
  <c r="J25" i="100"/>
  <c r="J21" i="100"/>
  <c r="J19" i="100"/>
  <c r="J17" i="100"/>
  <c r="J32" i="100"/>
  <c r="H17" i="100"/>
  <c r="J33" i="100"/>
  <c r="J34" i="100"/>
  <c r="J26" i="100"/>
  <c r="J22" i="100"/>
  <c r="J35" i="100"/>
  <c r="J36" i="100"/>
  <c r="N12" i="100"/>
  <c r="J37" i="100"/>
  <c r="J27" i="100"/>
  <c r="J23" i="100"/>
  <c r="J43" i="100"/>
  <c r="J40" i="100"/>
  <c r="J24" i="100"/>
  <c r="J14" i="100"/>
  <c r="J41" i="100"/>
  <c r="J38" i="100"/>
  <c r="J28" i="100"/>
  <c r="J76" i="96"/>
  <c r="J72" i="96"/>
  <c r="J89" i="96"/>
  <c r="J51" i="96"/>
  <c r="J41" i="96"/>
  <c r="J35" i="96"/>
  <c r="J77" i="96"/>
  <c r="J73" i="96"/>
  <c r="J61" i="96"/>
  <c r="J53" i="96"/>
  <c r="J43" i="96"/>
  <c r="J78" i="96"/>
  <c r="J62" i="96"/>
  <c r="J54" i="96"/>
  <c r="J79" i="96"/>
  <c r="J67" i="96"/>
  <c r="J63" i="96"/>
  <c r="J55" i="96"/>
  <c r="J45" i="96"/>
  <c r="J80" i="96"/>
  <c r="J74" i="96"/>
  <c r="J68" i="96"/>
  <c r="J56" i="96"/>
  <c r="J46" i="96"/>
  <c r="J32" i="96"/>
  <c r="J18" i="96"/>
  <c r="J82" i="96"/>
  <c r="J70" i="96"/>
  <c r="J64" i="96"/>
  <c r="J58" i="96"/>
  <c r="J28" i="96"/>
  <c r="J50" i="96"/>
  <c r="J71" i="96"/>
  <c r="V73" i="96"/>
  <c r="J75" i="96"/>
  <c r="V77" i="96"/>
  <c r="V91" i="96"/>
  <c r="Z16" i="103"/>
  <c r="T50" i="103"/>
  <c r="L13" i="96"/>
  <c r="N13" i="96" s="1"/>
  <c r="Z14" i="96"/>
  <c r="V20" i="96"/>
  <c r="J24" i="96"/>
  <c r="V25" i="96"/>
  <c r="J27" i="96"/>
  <c r="L32" i="96"/>
  <c r="N32" i="96" s="1"/>
  <c r="N43" i="96"/>
  <c r="V56" i="96"/>
  <c r="L58" i="96"/>
  <c r="N58" i="96" s="1"/>
  <c r="J60" i="96"/>
  <c r="P12" i="98"/>
  <c r="X13" i="98"/>
  <c r="J24" i="98"/>
  <c r="J69" i="98"/>
  <c r="J73" i="98"/>
  <c r="F35" i="99"/>
  <c r="F34" i="99"/>
  <c r="F30" i="99"/>
  <c r="F29" i="99"/>
  <c r="F37" i="99"/>
  <c r="F36" i="99"/>
  <c r="F25" i="99"/>
  <c r="F45" i="99"/>
  <c r="F27" i="99"/>
  <c r="F23" i="99"/>
  <c r="F39" i="99"/>
  <c r="F33" i="99"/>
  <c r="F31" i="99"/>
  <c r="F28" i="99"/>
  <c r="F26" i="99"/>
  <c r="F41" i="99"/>
  <c r="F32" i="99"/>
  <c r="F24" i="99"/>
  <c r="F18" i="99"/>
  <c r="F16" i="99"/>
  <c r="R23" i="101"/>
  <c r="T12" i="102"/>
  <c r="V18" i="96"/>
  <c r="L23" i="96"/>
  <c r="N23" i="96" s="1"/>
  <c r="V30" i="96"/>
  <c r="J40" i="96"/>
  <c r="L43" i="96"/>
  <c r="J49" i="96"/>
  <c r="V53" i="96"/>
  <c r="J66" i="96"/>
  <c r="Z13" i="98"/>
  <c r="J18" i="98"/>
  <c r="N45" i="98"/>
  <c r="J36" i="99"/>
  <c r="J30" i="99"/>
  <c r="J37" i="99"/>
  <c r="J25" i="99"/>
  <c r="J38" i="99"/>
  <c r="J39" i="99"/>
  <c r="J31" i="99"/>
  <c r="J32" i="99"/>
  <c r="J45" i="99"/>
  <c r="J33" i="99"/>
  <c r="J28" i="99"/>
  <c r="J50" i="99"/>
  <c r="J34" i="99"/>
  <c r="J23" i="99"/>
  <c r="J41" i="99"/>
  <c r="J26" i="99"/>
  <c r="J29" i="99"/>
  <c r="J18" i="99"/>
  <c r="J16" i="99"/>
  <c r="J24" i="99"/>
  <c r="J21" i="99"/>
  <c r="J20" i="99"/>
  <c r="H18" i="99"/>
  <c r="J47" i="99"/>
  <c r="J43" i="99"/>
  <c r="N12" i="99"/>
  <c r="T61" i="101"/>
  <c r="Z23" i="101"/>
  <c r="R36" i="101"/>
  <c r="R52" i="101"/>
  <c r="P12" i="102"/>
  <c r="X18" i="104"/>
  <c r="Z18" i="104" s="1"/>
  <c r="X41" i="95"/>
  <c r="L47" i="95"/>
  <c r="N47" i="95" s="1"/>
  <c r="X53" i="95"/>
  <c r="Z53" i="95" s="1"/>
  <c r="L16" i="96"/>
  <c r="N16" i="96" s="1"/>
  <c r="J17" i="96"/>
  <c r="J29" i="96"/>
  <c r="V35" i="96"/>
  <c r="J37" i="96"/>
  <c r="V41" i="96"/>
  <c r="X43" i="96"/>
  <c r="Z43" i="96" s="1"/>
  <c r="X50" i="96"/>
  <c r="Z50" i="96" s="1"/>
  <c r="N68" i="96"/>
  <c r="L80" i="96"/>
  <c r="J37" i="98"/>
  <c r="L61" i="98"/>
  <c r="X75" i="98"/>
  <c r="Z75" i="98" s="1"/>
  <c r="Z77" i="98"/>
  <c r="L12" i="99"/>
  <c r="F20" i="99"/>
  <c r="V20" i="101"/>
  <c r="Z36" i="101"/>
  <c r="X38" i="101"/>
  <c r="V24" i="96"/>
  <c r="J52" i="96"/>
  <c r="V58" i="96"/>
  <c r="J33" i="98"/>
  <c r="Z19" i="102"/>
  <c r="N22" i="96"/>
  <c r="J23" i="96"/>
  <c r="J26" i="96"/>
  <c r="J31" i="96"/>
  <c r="J34" i="96"/>
  <c r="J42" i="96"/>
  <c r="V46" i="96"/>
  <c r="N48" i="96"/>
  <c r="V49" i="96"/>
  <c r="J57" i="96"/>
  <c r="Z62" i="96"/>
  <c r="N70" i="96"/>
  <c r="N82" i="96"/>
  <c r="J85" i="96"/>
  <c r="X39" i="98"/>
  <c r="Z41" i="98"/>
  <c r="N61" i="98"/>
  <c r="Z65" i="98"/>
  <c r="F22" i="99"/>
  <c r="H80" i="98"/>
  <c r="N80" i="98" s="1"/>
  <c r="V48" i="101"/>
  <c r="V40" i="101"/>
  <c r="V24" i="101"/>
  <c r="V63" i="101"/>
  <c r="V55" i="101"/>
  <c r="V39" i="101"/>
  <c r="V54" i="101"/>
  <c r="V50" i="101"/>
  <c r="V42" i="101"/>
  <c r="V30" i="101"/>
  <c r="V41" i="101"/>
  <c r="V25" i="101"/>
  <c r="V56" i="101"/>
  <c r="V32" i="101"/>
  <c r="V16" i="101"/>
  <c r="V51" i="101"/>
  <c r="V43" i="101"/>
  <c r="V31" i="101"/>
  <c r="V27" i="101"/>
  <c r="V59" i="101"/>
  <c r="V58" i="101"/>
  <c r="V34" i="101"/>
  <c r="V26" i="101"/>
  <c r="V45" i="101"/>
  <c r="V33" i="101"/>
  <c r="V17" i="101"/>
  <c r="V52" i="101"/>
  <c r="V44" i="101"/>
  <c r="V36" i="101"/>
  <c r="V28" i="101"/>
  <c r="Z12" i="101"/>
  <c r="V23" i="101"/>
  <c r="J26" i="101"/>
  <c r="F37" i="102"/>
  <c r="F46" i="102"/>
  <c r="H40" i="100"/>
  <c r="N41" i="100"/>
  <c r="Z14" i="101"/>
  <c r="V37" i="101"/>
  <c r="X47" i="101"/>
  <c r="F60" i="102"/>
  <c r="F59" i="102"/>
  <c r="F52" i="102"/>
  <c r="F51" i="102"/>
  <c r="F40" i="102"/>
  <c r="F36" i="102"/>
  <c r="F35" i="102"/>
  <c r="F71" i="102"/>
  <c r="F67" i="102"/>
  <c r="F31" i="102"/>
  <c r="F62" i="102"/>
  <c r="F61" i="102"/>
  <c r="F54" i="102"/>
  <c r="F53" i="102"/>
  <c r="F42" i="102"/>
  <c r="F41" i="102"/>
  <c r="F25" i="102"/>
  <c r="F73" i="102"/>
  <c r="F72" i="102"/>
  <c r="F68" i="102"/>
  <c r="F75" i="102"/>
  <c r="F74" i="102"/>
  <c r="F63" i="102"/>
  <c r="F77" i="102"/>
  <c r="F76" i="102"/>
  <c r="F69" i="102"/>
  <c r="F65" i="102"/>
  <c r="F64" i="102"/>
  <c r="F57" i="102"/>
  <c r="F33" i="102"/>
  <c r="F29" i="102"/>
  <c r="F80" i="102"/>
  <c r="F66" i="102"/>
  <c r="F30" i="102"/>
  <c r="F50" i="102"/>
  <c r="F43" i="102"/>
  <c r="F38" i="102"/>
  <c r="F28" i="102"/>
  <c r="F84" i="102"/>
  <c r="F47" i="102"/>
  <c r="D23" i="102"/>
  <c r="F19" i="102"/>
  <c r="F55" i="102"/>
  <c r="F44" i="102"/>
  <c r="F79" i="102"/>
  <c r="F48" i="102"/>
  <c r="F20" i="102"/>
  <c r="F58" i="102"/>
  <c r="F39" i="102"/>
  <c r="F56" i="102"/>
  <c r="R82" i="104"/>
  <c r="R63" i="104"/>
  <c r="R56" i="104"/>
  <c r="R55" i="104"/>
  <c r="R44" i="104"/>
  <c r="R43" i="104"/>
  <c r="R19" i="104"/>
  <c r="R74" i="104"/>
  <c r="R73" i="104"/>
  <c r="R69" i="104"/>
  <c r="R58" i="104"/>
  <c r="R57" i="104"/>
  <c r="R46" i="104"/>
  <c r="R45" i="104"/>
  <c r="R86" i="104"/>
  <c r="R64" i="104"/>
  <c r="R76" i="104"/>
  <c r="R75" i="104"/>
  <c r="R59" i="104"/>
  <c r="R48" i="104"/>
  <c r="R47" i="104"/>
  <c r="R70" i="104"/>
  <c r="R35" i="104"/>
  <c r="R34" i="104"/>
  <c r="R30" i="104"/>
  <c r="R26" i="104"/>
  <c r="P22" i="104"/>
  <c r="R78" i="104"/>
  <c r="R77" i="104"/>
  <c r="R66" i="104"/>
  <c r="R65" i="104"/>
  <c r="R50" i="104"/>
  <c r="R49" i="104"/>
  <c r="R60" i="104"/>
  <c r="R40" i="104"/>
  <c r="R36" i="104"/>
  <c r="R79" i="104"/>
  <c r="R71" i="104"/>
  <c r="R67" i="104"/>
  <c r="R52" i="104"/>
  <c r="R51" i="104"/>
  <c r="R31" i="104"/>
  <c r="R27" i="104"/>
  <c r="R38" i="104"/>
  <c r="R22" i="104"/>
  <c r="R61" i="104"/>
  <c r="R33" i="104"/>
  <c r="X12" i="104"/>
  <c r="R29" i="104"/>
  <c r="R24" i="104"/>
  <c r="R62" i="104"/>
  <c r="R53" i="104"/>
  <c r="R41" i="104"/>
  <c r="R25" i="104"/>
  <c r="R68" i="104"/>
  <c r="R42" i="104"/>
  <c r="R39" i="104"/>
  <c r="R54" i="104"/>
  <c r="R37" i="104"/>
  <c r="R32" i="104"/>
  <c r="R20" i="104"/>
  <c r="R80" i="104"/>
  <c r="R28" i="104"/>
  <c r="R18" i="104"/>
  <c r="Z19" i="100"/>
  <c r="Z22" i="101"/>
  <c r="H12" i="102"/>
  <c r="X14" i="104"/>
  <c r="Z14" i="104" s="1"/>
  <c r="X31" i="100"/>
  <c r="J52" i="101"/>
  <c r="J44" i="101"/>
  <c r="J34" i="101"/>
  <c r="J28" i="101"/>
  <c r="N12" i="101"/>
  <c r="J61" i="101"/>
  <c r="J45" i="101"/>
  <c r="J35" i="101"/>
  <c r="J46" i="101"/>
  <c r="J36" i="101"/>
  <c r="J18" i="101"/>
  <c r="J53" i="101"/>
  <c r="J47" i="101"/>
  <c r="J37" i="101"/>
  <c r="J29" i="101"/>
  <c r="J23" i="101"/>
  <c r="J48" i="101"/>
  <c r="J38" i="101"/>
  <c r="J24" i="101"/>
  <c r="J22" i="101"/>
  <c r="J20" i="101"/>
  <c r="J63" i="101"/>
  <c r="J49" i="101"/>
  <c r="J39" i="101"/>
  <c r="H20" i="101"/>
  <c r="J54" i="101"/>
  <c r="J50" i="101"/>
  <c r="J40" i="101"/>
  <c r="J30" i="101"/>
  <c r="J55" i="101"/>
  <c r="J41" i="101"/>
  <c r="J25" i="101"/>
  <c r="J65" i="101"/>
  <c r="J56" i="101"/>
  <c r="J42" i="101"/>
  <c r="V22" i="101"/>
  <c r="J32" i="101"/>
  <c r="L14" i="102"/>
  <c r="N14" i="102" s="1"/>
  <c r="X19" i="102"/>
  <c r="N41" i="103"/>
  <c r="P12" i="105"/>
  <c r="X14" i="105"/>
  <c r="J16" i="101"/>
  <c r="X22" i="101"/>
  <c r="L32" i="101"/>
  <c r="V47" i="101"/>
  <c r="V49" i="101"/>
  <c r="Z16" i="102"/>
  <c r="F45" i="102"/>
  <c r="Z31" i="100"/>
  <c r="X32" i="103"/>
  <c r="Z32" i="103" s="1"/>
  <c r="X34" i="99"/>
  <c r="X17" i="100"/>
  <c r="Z33" i="100"/>
  <c r="L37" i="100"/>
  <c r="N37" i="100" s="1"/>
  <c r="J27" i="101"/>
  <c r="Z32" i="101"/>
  <c r="L49" i="102"/>
  <c r="X20" i="99"/>
  <c r="J31" i="101"/>
  <c r="X36" i="101"/>
  <c r="N80" i="102"/>
  <c r="H79" i="102"/>
  <c r="L79" i="102" s="1"/>
  <c r="V15" i="100"/>
  <c r="V17" i="100"/>
  <c r="V19" i="100"/>
  <c r="V31" i="100"/>
  <c r="P40" i="100"/>
  <c r="X40" i="100" s="1"/>
  <c r="V45" i="100"/>
  <c r="V47" i="100"/>
  <c r="V50" i="100"/>
  <c r="X14" i="102"/>
  <c r="Z14" i="102" s="1"/>
  <c r="L16" i="102"/>
  <c r="Z30" i="103"/>
  <c r="F79" i="104"/>
  <c r="F78" i="104"/>
  <c r="F71" i="104"/>
  <c r="F67" i="104"/>
  <c r="F66" i="104"/>
  <c r="F51" i="104"/>
  <c r="F50" i="104"/>
  <c r="F31" i="104"/>
  <c r="F27" i="104"/>
  <c r="F61" i="104"/>
  <c r="F53" i="104"/>
  <c r="F52" i="104"/>
  <c r="F41" i="104"/>
  <c r="F37" i="104"/>
  <c r="F80" i="104"/>
  <c r="F72" i="104"/>
  <c r="F68" i="104"/>
  <c r="F63" i="104"/>
  <c r="F62" i="104"/>
  <c r="F55" i="104"/>
  <c r="F54" i="104"/>
  <c r="F38" i="104"/>
  <c r="F82" i="104"/>
  <c r="F73" i="104"/>
  <c r="F69" i="104"/>
  <c r="F57" i="104"/>
  <c r="F56" i="104"/>
  <c r="F45" i="104"/>
  <c r="F44" i="104"/>
  <c r="F33" i="104"/>
  <c r="F29" i="104"/>
  <c r="F86" i="104"/>
  <c r="F64" i="104"/>
  <c r="F75" i="104"/>
  <c r="F74" i="104"/>
  <c r="F59" i="104"/>
  <c r="F58" i="104"/>
  <c r="F47" i="104"/>
  <c r="F46" i="104"/>
  <c r="F39" i="104"/>
  <c r="F49" i="104"/>
  <c r="F76" i="104"/>
  <c r="F28" i="104"/>
  <c r="F26" i="104"/>
  <c r="F40" i="104"/>
  <c r="F35" i="104"/>
  <c r="F65" i="104"/>
  <c r="F43" i="104"/>
  <c r="F18" i="104"/>
  <c r="F48" i="104"/>
  <c r="F36" i="104"/>
  <c r="D22" i="104"/>
  <c r="L12" i="104"/>
  <c r="F19" i="104"/>
  <c r="F77" i="104"/>
  <c r="F24" i="104"/>
  <c r="F70" i="104"/>
  <c r="V20" i="100"/>
  <c r="V24" i="100"/>
  <c r="V28" i="100"/>
  <c r="J52" i="104"/>
  <c r="J61" i="104"/>
  <c r="J53" i="104"/>
  <c r="J80" i="104"/>
  <c r="J72" i="104"/>
  <c r="J68" i="104"/>
  <c r="J62" i="104"/>
  <c r="J54" i="104"/>
  <c r="J42" i="104"/>
  <c r="J63" i="104"/>
  <c r="J55" i="104"/>
  <c r="J82" i="104"/>
  <c r="J56" i="104"/>
  <c r="J44" i="104"/>
  <c r="J73" i="104"/>
  <c r="J69" i="104"/>
  <c r="J57" i="104"/>
  <c r="J45" i="104"/>
  <c r="J33" i="104"/>
  <c r="J29" i="104"/>
  <c r="J86" i="104"/>
  <c r="J74" i="104"/>
  <c r="J64" i="104"/>
  <c r="J58" i="104"/>
  <c r="J46" i="104"/>
  <c r="J20" i="104"/>
  <c r="J75" i="104"/>
  <c r="J59" i="104"/>
  <c r="J47" i="104"/>
  <c r="J39" i="104"/>
  <c r="J76" i="104"/>
  <c r="J70" i="104"/>
  <c r="J48" i="104"/>
  <c r="J34" i="104"/>
  <c r="J30" i="104"/>
  <c r="J26" i="104"/>
  <c r="J24" i="104"/>
  <c r="J22" i="104"/>
  <c r="J35" i="104"/>
  <c r="J28" i="104"/>
  <c r="J67" i="104"/>
  <c r="J40" i="104"/>
  <c r="J18" i="104"/>
  <c r="J65" i="104"/>
  <c r="J50" i="104"/>
  <c r="J43" i="104"/>
  <c r="J38" i="104"/>
  <c r="H22" i="104"/>
  <c r="J79" i="104"/>
  <c r="J36" i="104"/>
  <c r="N12" i="104"/>
  <c r="J71" i="104"/>
  <c r="J31" i="104"/>
  <c r="J19" i="104"/>
  <c r="J77" i="104"/>
  <c r="J27" i="104"/>
  <c r="J66" i="104"/>
  <c r="J51" i="104"/>
  <c r="J41" i="104"/>
  <c r="J25" i="104"/>
  <c r="V29" i="100"/>
  <c r="R38" i="100"/>
  <c r="T40" i="100"/>
  <c r="T43" i="100" s="1"/>
  <c r="R41" i="100"/>
  <c r="N74" i="102"/>
  <c r="R18" i="103"/>
  <c r="R29" i="103"/>
  <c r="R43" i="103"/>
  <c r="L13" i="104"/>
  <c r="F32" i="104"/>
  <c r="J37" i="104"/>
  <c r="V14" i="100"/>
  <c r="V38" i="100"/>
  <c r="V40" i="100"/>
  <c r="L55" i="102"/>
  <c r="N55" i="102" s="1"/>
  <c r="Z18" i="103"/>
  <c r="N13" i="104"/>
  <c r="J32" i="104"/>
  <c r="V23" i="100"/>
  <c r="V27" i="100"/>
  <c r="V41" i="100"/>
  <c r="V43" i="100"/>
  <c r="Z49" i="102"/>
  <c r="X49" i="102"/>
  <c r="X55" i="102"/>
  <c r="Z55" i="102" s="1"/>
  <c r="Z72" i="102"/>
  <c r="R14" i="103"/>
  <c r="R20" i="103"/>
  <c r="L48" i="103"/>
  <c r="F20" i="104"/>
  <c r="N42" i="104"/>
  <c r="Z12" i="100"/>
  <c r="V36" i="100"/>
  <c r="N13" i="101"/>
  <c r="Z74" i="102"/>
  <c r="Z79" i="102"/>
  <c r="R24" i="103"/>
  <c r="L38" i="103"/>
  <c r="N38" i="103" s="1"/>
  <c r="F25" i="104"/>
  <c r="F30" i="104"/>
  <c r="L42" i="104"/>
  <c r="X39" i="105"/>
  <c r="Z39" i="105" s="1"/>
  <c r="V37" i="100"/>
  <c r="L23" i="101"/>
  <c r="N23" i="101" s="1"/>
  <c r="L47" i="101"/>
  <c r="X13" i="102"/>
  <c r="Z13" i="102" s="1"/>
  <c r="R42" i="103"/>
  <c r="N66" i="104"/>
  <c r="L66" i="104"/>
  <c r="V22" i="100"/>
  <c r="V26" i="100"/>
  <c r="V34" i="100"/>
  <c r="L43" i="102"/>
  <c r="N43" i="102" s="1"/>
  <c r="N64" i="102"/>
  <c r="P16" i="103"/>
  <c r="X35" i="104"/>
  <c r="Z35" i="104" s="1"/>
  <c r="J49" i="104"/>
  <c r="J78" i="104"/>
  <c r="N47" i="106"/>
  <c r="Z51" i="106"/>
  <c r="X15" i="102"/>
  <c r="Z15" i="102" s="1"/>
  <c r="X43" i="102"/>
  <c r="Z43" i="102" s="1"/>
  <c r="R39" i="103"/>
  <c r="R57" i="103"/>
  <c r="R54" i="103"/>
  <c r="R44" i="103"/>
  <c r="R32" i="103"/>
  <c r="R31" i="103"/>
  <c r="R45" i="103"/>
  <c r="R34" i="103"/>
  <c r="R33" i="103"/>
  <c r="R25" i="103"/>
  <c r="R21" i="103"/>
  <c r="R52" i="103"/>
  <c r="R40" i="103"/>
  <c r="R46" i="103"/>
  <c r="R36" i="103"/>
  <c r="R35" i="103"/>
  <c r="R41" i="103"/>
  <c r="R26" i="103"/>
  <c r="R22" i="103"/>
  <c r="R37" i="103"/>
  <c r="R38" i="103"/>
  <c r="X12" i="103"/>
  <c r="R48" i="103"/>
  <c r="R28" i="103"/>
  <c r="R27" i="103"/>
  <c r="R23" i="103"/>
  <c r="R16" i="103"/>
  <c r="V44" i="103"/>
  <c r="V57" i="103"/>
  <c r="V54" i="103"/>
  <c r="V52" i="103"/>
  <c r="V14" i="103"/>
  <c r="V16" i="103"/>
  <c r="V18" i="103"/>
  <c r="J22" i="103"/>
  <c r="J26" i="103"/>
  <c r="V30" i="103"/>
  <c r="F34" i="103"/>
  <c r="F35" i="103"/>
  <c r="J36" i="103"/>
  <c r="J41" i="103"/>
  <c r="V42" i="103"/>
  <c r="L15" i="104"/>
  <c r="N15" i="104" s="1"/>
  <c r="X42" i="104"/>
  <c r="Z42" i="104" s="1"/>
  <c r="F47" i="105"/>
  <c r="F46" i="105"/>
  <c r="F53" i="105"/>
  <c r="F45" i="105"/>
  <c r="F29" i="105"/>
  <c r="F28" i="105"/>
  <c r="F31" i="105"/>
  <c r="F19" i="105"/>
  <c r="F38" i="105"/>
  <c r="F32" i="105"/>
  <c r="F49" i="105"/>
  <c r="F43" i="105"/>
  <c r="F24" i="105"/>
  <c r="F25" i="105"/>
  <c r="F23" i="105"/>
  <c r="F21" i="105"/>
  <c r="F40" i="105"/>
  <c r="F39" i="105"/>
  <c r="F34" i="105"/>
  <c r="F33" i="105"/>
  <c r="D21" i="105"/>
  <c r="F44" i="105"/>
  <c r="F35" i="105"/>
  <c r="F26" i="105"/>
  <c r="L12" i="105"/>
  <c r="N12" i="105" s="1"/>
  <c r="F41" i="105"/>
  <c r="F36" i="105"/>
  <c r="F30" i="105"/>
  <c r="T12" i="105"/>
  <c r="Z14" i="105"/>
  <c r="L45" i="106"/>
  <c r="Z23" i="108"/>
  <c r="J35" i="103"/>
  <c r="T12" i="104"/>
  <c r="N24" i="104"/>
  <c r="Z54" i="104"/>
  <c r="N45" i="106"/>
  <c r="Z78" i="106"/>
  <c r="P79" i="102"/>
  <c r="X79" i="102" s="1"/>
  <c r="F21" i="103"/>
  <c r="F25" i="103"/>
  <c r="F32" i="103"/>
  <c r="F33" i="103"/>
  <c r="J34" i="103"/>
  <c r="Z38" i="103"/>
  <c r="F40" i="103"/>
  <c r="X41" i="103"/>
  <c r="Z41" i="103" s="1"/>
  <c r="V48" i="103"/>
  <c r="J52" i="103"/>
  <c r="X13" i="104"/>
  <c r="Z13" i="104" s="1"/>
  <c r="L48" i="104"/>
  <c r="X62" i="104"/>
  <c r="Z62" i="104" s="1"/>
  <c r="N31" i="105"/>
  <c r="D16" i="103"/>
  <c r="J21" i="103"/>
  <c r="J25" i="103"/>
  <c r="J33" i="103"/>
  <c r="J45" i="103"/>
  <c r="X56" i="104"/>
  <c r="Z56" i="104" s="1"/>
  <c r="J42" i="105"/>
  <c r="J44" i="105"/>
  <c r="J36" i="105"/>
  <c r="J46" i="105"/>
  <c r="J40" i="105"/>
  <c r="J53" i="105"/>
  <c r="J49" i="105"/>
  <c r="J45" i="105"/>
  <c r="J38" i="105"/>
  <c r="J32" i="105"/>
  <c r="J28" i="105"/>
  <c r="J24" i="105"/>
  <c r="J43" i="105"/>
  <c r="J23" i="105"/>
  <c r="J21" i="105"/>
  <c r="J39" i="105"/>
  <c r="J33" i="105"/>
  <c r="J25" i="105"/>
  <c r="H21" i="105"/>
  <c r="J34" i="105"/>
  <c r="J29" i="105"/>
  <c r="J35" i="105"/>
  <c r="J41" i="105"/>
  <c r="J26" i="105"/>
  <c r="J30" i="105"/>
  <c r="J17" i="105"/>
  <c r="J18" i="105"/>
  <c r="J31" i="105"/>
  <c r="F30" i="103"/>
  <c r="F31" i="103"/>
  <c r="J32" i="103"/>
  <c r="F44" i="103"/>
  <c r="N48" i="104"/>
  <c r="L13" i="105"/>
  <c r="N37" i="105"/>
  <c r="Z14" i="107"/>
  <c r="T16" i="107"/>
  <c r="H16" i="103"/>
  <c r="F19" i="103"/>
  <c r="F20" i="103"/>
  <c r="F24" i="103"/>
  <c r="J31" i="103"/>
  <c r="V35" i="103"/>
  <c r="V41" i="103"/>
  <c r="F43" i="103"/>
  <c r="J44" i="103"/>
  <c r="V46" i="103"/>
  <c r="F50" i="103"/>
  <c r="F57" i="103"/>
  <c r="N18" i="104"/>
  <c r="Z24" i="104"/>
  <c r="L35" i="104"/>
  <c r="N35" i="104" s="1"/>
  <c r="Z44" i="104"/>
  <c r="N13" i="105"/>
  <c r="F18" i="105"/>
  <c r="J27" i="105"/>
  <c r="J37" i="105"/>
  <c r="J14" i="103"/>
  <c r="J16" i="103"/>
  <c r="J18" i="103"/>
  <c r="J20" i="103"/>
  <c r="J24" i="103"/>
  <c r="F28" i="103"/>
  <c r="F29" i="103"/>
  <c r="J30" i="103"/>
  <c r="Z48" i="104"/>
  <c r="L76" i="104"/>
  <c r="P24" i="107"/>
  <c r="J19" i="103"/>
  <c r="J29" i="103"/>
  <c r="J39" i="103"/>
  <c r="H12" i="106"/>
  <c r="N14" i="106"/>
  <c r="N23" i="106"/>
  <c r="Z55" i="106"/>
  <c r="Z67" i="106"/>
  <c r="P84" i="108"/>
  <c r="X21" i="108"/>
  <c r="J57" i="103"/>
  <c r="J54" i="103"/>
  <c r="J40" i="103"/>
  <c r="J46" i="103"/>
  <c r="J50" i="103"/>
  <c r="J48" i="103"/>
  <c r="J28" i="103"/>
  <c r="N76" i="104"/>
  <c r="N78" i="104"/>
  <c r="Z53" i="106"/>
  <c r="T84" i="108"/>
  <c r="Z21" i="108"/>
  <c r="L17" i="106"/>
  <c r="N17" i="106" s="1"/>
  <c r="Z23" i="106"/>
  <c r="V75" i="108"/>
  <c r="V59" i="108"/>
  <c r="V47" i="108"/>
  <c r="V23" i="108"/>
  <c r="V21" i="108"/>
  <c r="V78" i="108"/>
  <c r="V70" i="108"/>
  <c r="V66" i="108"/>
  <c r="V58" i="108"/>
  <c r="V46" i="108"/>
  <c r="V38" i="108"/>
  <c r="V77" i="108"/>
  <c r="V65" i="108"/>
  <c r="V49" i="108"/>
  <c r="V33" i="108"/>
  <c r="V29" i="108"/>
  <c r="V60" i="108"/>
  <c r="V48" i="108"/>
  <c r="V79" i="108"/>
  <c r="V71" i="108"/>
  <c r="V67" i="108"/>
  <c r="V62" i="108"/>
  <c r="V50" i="108"/>
  <c r="V30" i="108"/>
  <c r="V26" i="108"/>
  <c r="V61" i="108"/>
  <c r="V53" i="108"/>
  <c r="V41" i="108"/>
  <c r="V84" i="108"/>
  <c r="V82" i="108"/>
  <c r="V80" i="108"/>
  <c r="V72" i="108"/>
  <c r="V68" i="108"/>
  <c r="V52" i="108"/>
  <c r="V40" i="108"/>
  <c r="V36" i="108"/>
  <c r="V63" i="108"/>
  <c r="V55" i="108"/>
  <c r="V43" i="108"/>
  <c r="V73" i="108"/>
  <c r="V69" i="108"/>
  <c r="V57" i="108"/>
  <c r="V45" i="108"/>
  <c r="V37" i="108"/>
  <c r="V74" i="108"/>
  <c r="V86" i="108"/>
  <c r="V31" i="108"/>
  <c r="V17" i="108"/>
  <c r="V76" i="108"/>
  <c r="V34" i="108"/>
  <c r="Z12" i="108"/>
  <c r="V27" i="108"/>
  <c r="V25" i="108"/>
  <c r="V18" i="108"/>
  <c r="V54" i="108"/>
  <c r="V44" i="108"/>
  <c r="V32" i="108"/>
  <c r="V64" i="108"/>
  <c r="V42" i="108"/>
  <c r="V56" i="108"/>
  <c r="V19" i="108"/>
  <c r="V35" i="108"/>
  <c r="V28" i="108"/>
  <c r="R24" i="107"/>
  <c r="R22" i="107"/>
  <c r="R26" i="107"/>
  <c r="R31" i="107"/>
  <c r="R28" i="107"/>
  <c r="X12" i="107"/>
  <c r="R18" i="107"/>
  <c r="R16" i="107"/>
  <c r="R14" i="107"/>
  <c r="R33" i="108"/>
  <c r="X13" i="105"/>
  <c r="Z13" i="105" s="1"/>
  <c r="V79" i="106"/>
  <c r="V63" i="106"/>
  <c r="V55" i="106"/>
  <c r="V43" i="106"/>
  <c r="V31" i="106"/>
  <c r="V27" i="106"/>
  <c r="V62" i="106"/>
  <c r="V54" i="106"/>
  <c r="V42" i="106"/>
  <c r="V85" i="106"/>
  <c r="V83" i="106"/>
  <c r="V81" i="106"/>
  <c r="V73" i="106"/>
  <c r="V69" i="106"/>
  <c r="V57" i="106"/>
  <c r="V45" i="106"/>
  <c r="V37" i="106"/>
  <c r="V64" i="106"/>
  <c r="V56" i="106"/>
  <c r="V44" i="106"/>
  <c r="V32" i="106"/>
  <c r="V28" i="106"/>
  <c r="V24" i="106"/>
  <c r="V59" i="106"/>
  <c r="V47" i="106"/>
  <c r="V23" i="106"/>
  <c r="V21" i="106"/>
  <c r="V19" i="106"/>
  <c r="V74" i="106"/>
  <c r="V70" i="106"/>
  <c r="V58" i="106"/>
  <c r="V46" i="106"/>
  <c r="V38" i="106"/>
  <c r="V34" i="106"/>
  <c r="V87" i="106"/>
  <c r="V65" i="106"/>
  <c r="V49" i="106"/>
  <c r="V33" i="106"/>
  <c r="V29" i="106"/>
  <c r="V25" i="106"/>
  <c r="V76" i="106"/>
  <c r="V60" i="106"/>
  <c r="V48" i="106"/>
  <c r="V75" i="106"/>
  <c r="V71" i="106"/>
  <c r="V67" i="106"/>
  <c r="V51" i="106"/>
  <c r="V39" i="106"/>
  <c r="V35" i="106"/>
  <c r="V77" i="106"/>
  <c r="V61" i="106"/>
  <c r="V53" i="106"/>
  <c r="V41" i="106"/>
  <c r="V17" i="106"/>
  <c r="Z17" i="106"/>
  <c r="R19" i="107"/>
  <c r="X22" i="107"/>
  <c r="X23" i="108"/>
  <c r="V36" i="106"/>
  <c r="V52" i="106"/>
  <c r="V68" i="106"/>
  <c r="X57" i="108"/>
  <c r="Z57" i="108" s="1"/>
  <c r="N46" i="105"/>
  <c r="V26" i="106"/>
  <c r="Z41" i="106"/>
  <c r="V50" i="106"/>
  <c r="N59" i="106"/>
  <c r="V66" i="106"/>
  <c r="F80" i="108"/>
  <c r="F72" i="108"/>
  <c r="F68" i="108"/>
  <c r="F52" i="108"/>
  <c r="F51" i="108"/>
  <c r="F40" i="108"/>
  <c r="F36" i="108"/>
  <c r="F63" i="108"/>
  <c r="F62" i="108"/>
  <c r="F54" i="108"/>
  <c r="F53" i="108"/>
  <c r="F42" i="108"/>
  <c r="F41" i="108"/>
  <c r="F82" i="108"/>
  <c r="F73" i="108"/>
  <c r="F69" i="108"/>
  <c r="F86" i="108"/>
  <c r="F64" i="108"/>
  <c r="F56" i="108"/>
  <c r="F55" i="108"/>
  <c r="F75" i="108"/>
  <c r="F74" i="108"/>
  <c r="F70" i="108"/>
  <c r="F58" i="108"/>
  <c r="F57" i="108"/>
  <c r="F46" i="108"/>
  <c r="F45" i="108"/>
  <c r="F38" i="108"/>
  <c r="F77" i="108"/>
  <c r="F76" i="108"/>
  <c r="F65" i="108"/>
  <c r="F33" i="108"/>
  <c r="F29" i="108"/>
  <c r="F25" i="108"/>
  <c r="F24" i="108"/>
  <c r="F60" i="108"/>
  <c r="F59" i="108"/>
  <c r="F48" i="108"/>
  <c r="F47" i="108"/>
  <c r="F50" i="108"/>
  <c r="F49" i="108"/>
  <c r="F37" i="108"/>
  <c r="F28" i="108"/>
  <c r="F19" i="108"/>
  <c r="F26" i="108"/>
  <c r="F43" i="108"/>
  <c r="F39" i="108"/>
  <c r="F67" i="108"/>
  <c r="F61" i="108"/>
  <c r="D21" i="108"/>
  <c r="F78" i="108"/>
  <c r="F31" i="108"/>
  <c r="F23" i="108"/>
  <c r="F34" i="108"/>
  <c r="F27" i="108"/>
  <c r="L12" i="108"/>
  <c r="T33" i="109"/>
  <c r="D12" i="106"/>
  <c r="L13" i="106"/>
  <c r="R86" i="108"/>
  <c r="R64" i="108"/>
  <c r="R57" i="108"/>
  <c r="R56" i="108"/>
  <c r="R45" i="108"/>
  <c r="R44" i="108"/>
  <c r="R32" i="108"/>
  <c r="R28" i="108"/>
  <c r="R76" i="108"/>
  <c r="R75" i="108"/>
  <c r="R70" i="108"/>
  <c r="R59" i="108"/>
  <c r="R58" i="108"/>
  <c r="R47" i="108"/>
  <c r="R46" i="108"/>
  <c r="R38" i="108"/>
  <c r="R78" i="108"/>
  <c r="R77" i="108"/>
  <c r="R66" i="108"/>
  <c r="R65" i="108"/>
  <c r="R60" i="108"/>
  <c r="R79" i="108"/>
  <c r="R71" i="108"/>
  <c r="R67" i="108"/>
  <c r="R39" i="108"/>
  <c r="R35" i="108"/>
  <c r="R51" i="108"/>
  <c r="R50" i="108"/>
  <c r="R30" i="108"/>
  <c r="R26" i="108"/>
  <c r="R62" i="108"/>
  <c r="R61" i="108"/>
  <c r="R80" i="108"/>
  <c r="R72" i="108"/>
  <c r="R68" i="108"/>
  <c r="R53" i="108"/>
  <c r="R52" i="108"/>
  <c r="R41" i="108"/>
  <c r="R40" i="108"/>
  <c r="R36" i="108"/>
  <c r="R55" i="108"/>
  <c r="R54" i="108"/>
  <c r="R43" i="108"/>
  <c r="R42" i="108"/>
  <c r="R63" i="108"/>
  <c r="R23" i="108"/>
  <c r="R24" i="108"/>
  <c r="R74" i="108"/>
  <c r="R31" i="108"/>
  <c r="R29" i="108"/>
  <c r="R17" i="108"/>
  <c r="X12" i="108"/>
  <c r="R84" i="108"/>
  <c r="R69" i="108"/>
  <c r="R34" i="108"/>
  <c r="R27" i="108"/>
  <c r="R48" i="108"/>
  <c r="R25" i="108"/>
  <c r="R18" i="108"/>
  <c r="R73" i="108"/>
  <c r="R19" i="108"/>
  <c r="R49" i="108"/>
  <c r="R37" i="108"/>
  <c r="R21" i="108"/>
  <c r="N13" i="106"/>
  <c r="N57" i="106"/>
  <c r="X18" i="107"/>
  <c r="L13" i="108"/>
  <c r="X48" i="104"/>
  <c r="X76" i="104"/>
  <c r="Z76" i="104" s="1"/>
  <c r="N24" i="105"/>
  <c r="N28" i="105"/>
  <c r="L33" i="105"/>
  <c r="N33" i="105" s="1"/>
  <c r="Z46" i="105"/>
  <c r="P12" i="106"/>
  <c r="X13" i="106"/>
  <c r="T85" i="106"/>
  <c r="Z18" i="107"/>
  <c r="J63" i="108"/>
  <c r="J53" i="108"/>
  <c r="J41" i="108"/>
  <c r="J31" i="108"/>
  <c r="J27" i="108"/>
  <c r="J82" i="108"/>
  <c r="J54" i="108"/>
  <c r="J42" i="108"/>
  <c r="J73" i="108"/>
  <c r="J69" i="108"/>
  <c r="J55" i="108"/>
  <c r="J43" i="108"/>
  <c r="J37" i="108"/>
  <c r="J86" i="108"/>
  <c r="J74" i="108"/>
  <c r="J64" i="108"/>
  <c r="J56" i="108"/>
  <c r="J75" i="108"/>
  <c r="J57" i="108"/>
  <c r="J76" i="108"/>
  <c r="J70" i="108"/>
  <c r="J58" i="108"/>
  <c r="J46" i="108"/>
  <c r="J38" i="108"/>
  <c r="J77" i="108"/>
  <c r="J65" i="108"/>
  <c r="J59" i="108"/>
  <c r="J47" i="108"/>
  <c r="J33" i="108"/>
  <c r="J29" i="108"/>
  <c r="J25" i="108"/>
  <c r="J23" i="108"/>
  <c r="J78" i="108"/>
  <c r="J66" i="108"/>
  <c r="J60" i="108"/>
  <c r="J48" i="108"/>
  <c r="J34" i="108"/>
  <c r="J79" i="108"/>
  <c r="J71" i="108"/>
  <c r="J67" i="108"/>
  <c r="J49" i="108"/>
  <c r="J39" i="108"/>
  <c r="J35" i="108"/>
  <c r="J61" i="108"/>
  <c r="J51" i="108"/>
  <c r="J26" i="108"/>
  <c r="H21" i="108"/>
  <c r="J21" i="108" s="1"/>
  <c r="J72" i="108"/>
  <c r="J80" i="108"/>
  <c r="J36" i="108"/>
  <c r="J24" i="108"/>
  <c r="J52" i="108"/>
  <c r="N12" i="108"/>
  <c r="J50" i="108"/>
  <c r="J17" i="108"/>
  <c r="J62" i="108"/>
  <c r="J44" i="108"/>
  <c r="J40" i="108"/>
  <c r="J32" i="108"/>
  <c r="J18" i="108"/>
  <c r="J68" i="108"/>
  <c r="J30" i="108"/>
  <c r="X14" i="108"/>
  <c r="Z14" i="108" s="1"/>
  <c r="L37" i="105"/>
  <c r="Z13" i="106"/>
  <c r="V18" i="106"/>
  <c r="X14" i="107"/>
  <c r="N13" i="108"/>
  <c r="N12" i="107"/>
  <c r="V20" i="107"/>
  <c r="V22" i="107"/>
  <c r="V24" i="107"/>
  <c r="F28" i="107"/>
  <c r="F31" i="107"/>
  <c r="F67" i="110"/>
  <c r="F71" i="110"/>
  <c r="F66" i="110"/>
  <c r="F57" i="110"/>
  <c r="F49" i="110"/>
  <c r="F48" i="110"/>
  <c r="F37" i="110"/>
  <c r="F36" i="110"/>
  <c r="F65" i="110"/>
  <c r="F32" i="110"/>
  <c r="F51" i="110"/>
  <c r="F50" i="110"/>
  <c r="F39" i="110"/>
  <c r="F38" i="110"/>
  <c r="F27" i="110"/>
  <c r="F23" i="110"/>
  <c r="F58" i="110"/>
  <c r="F53" i="110"/>
  <c r="F52" i="110"/>
  <c r="F41" i="110"/>
  <c r="F40" i="110"/>
  <c r="F33" i="110"/>
  <c r="F54" i="110"/>
  <c r="F34" i="110"/>
  <c r="F30" i="110"/>
  <c r="F29" i="110"/>
  <c r="F56" i="110"/>
  <c r="F55" i="110"/>
  <c r="L12" i="110"/>
  <c r="N12" i="110" s="1"/>
  <c r="D17" i="110"/>
  <c r="F19" i="110"/>
  <c r="F60" i="110"/>
  <c r="F46" i="110"/>
  <c r="F43" i="110"/>
  <c r="F25" i="110"/>
  <c r="F20" i="110"/>
  <c r="F63" i="110"/>
  <c r="F61" i="110"/>
  <c r="F28" i="110"/>
  <c r="F21" i="110"/>
  <c r="F44" i="110"/>
  <c r="F47" i="110"/>
  <c r="F26" i="110"/>
  <c r="F45" i="110"/>
  <c r="F42" i="110"/>
  <c r="F35" i="110"/>
  <c r="F15" i="110"/>
  <c r="F24" i="110"/>
  <c r="V14" i="107"/>
  <c r="V16" i="107"/>
  <c r="V18" i="107"/>
  <c r="J28" i="107"/>
  <c r="J31" i="107"/>
  <c r="R19" i="110"/>
  <c r="N42" i="110"/>
  <c r="L42" i="110"/>
  <c r="V19" i="107"/>
  <c r="F26" i="107"/>
  <c r="X45" i="108"/>
  <c r="Z45" i="108" s="1"/>
  <c r="Z13" i="110"/>
  <c r="Z12" i="107"/>
  <c r="F22" i="107"/>
  <c r="F24" i="107"/>
  <c r="J26" i="107"/>
  <c r="N34" i="108"/>
  <c r="X33" i="109"/>
  <c r="L15" i="110"/>
  <c r="F22" i="110"/>
  <c r="F62" i="110"/>
  <c r="D16" i="107"/>
  <c r="X35" i="109"/>
  <c r="Z35" i="109" s="1"/>
  <c r="F14" i="107"/>
  <c r="F16" i="107"/>
  <c r="F18" i="107"/>
  <c r="J22" i="107"/>
  <c r="J24" i="107"/>
  <c r="N74" i="108"/>
  <c r="F31" i="110"/>
  <c r="X23" i="106"/>
  <c r="L41" i="106"/>
  <c r="N41" i="106" s="1"/>
  <c r="X47" i="106"/>
  <c r="Z47" i="106" s="1"/>
  <c r="L53" i="106"/>
  <c r="X59" i="106"/>
  <c r="Z59" i="106" s="1"/>
  <c r="H16" i="107"/>
  <c r="F19" i="107"/>
  <c r="Z66" i="110"/>
  <c r="T65" i="110"/>
  <c r="X65" i="110" s="1"/>
  <c r="V28" i="107"/>
  <c r="N41" i="108"/>
  <c r="H69" i="110"/>
  <c r="N43" i="108"/>
  <c r="L43" i="108"/>
  <c r="N55" i="108"/>
  <c r="R58" i="110"/>
  <c r="R53" i="110"/>
  <c r="R42" i="110"/>
  <c r="R41" i="110"/>
  <c r="R33" i="110"/>
  <c r="R29" i="110"/>
  <c r="R28" i="110"/>
  <c r="R60" i="110"/>
  <c r="R59" i="110"/>
  <c r="R44" i="110"/>
  <c r="R43" i="110"/>
  <c r="R20" i="110"/>
  <c r="R55" i="110"/>
  <c r="R54" i="110"/>
  <c r="R62" i="110"/>
  <c r="R61" i="110"/>
  <c r="R46" i="110"/>
  <c r="R45" i="110"/>
  <c r="R25" i="110"/>
  <c r="R21" i="110"/>
  <c r="R65" i="110"/>
  <c r="R26" i="110"/>
  <c r="R22" i="110"/>
  <c r="R32" i="110"/>
  <c r="R66" i="110"/>
  <c r="R51" i="110"/>
  <c r="R34" i="110"/>
  <c r="R23" i="110"/>
  <c r="R63" i="110"/>
  <c r="R56" i="110"/>
  <c r="R30" i="110"/>
  <c r="R49" i="110"/>
  <c r="R39" i="110"/>
  <c r="R67" i="110"/>
  <c r="R52" i="110"/>
  <c r="R15" i="110"/>
  <c r="R47" i="110"/>
  <c r="R37" i="110"/>
  <c r="R50" i="110"/>
  <c r="R24" i="110"/>
  <c r="R17" i="110"/>
  <c r="R48" i="110"/>
  <c r="R35" i="110"/>
  <c r="R31" i="110"/>
  <c r="P17" i="110"/>
  <c r="R71" i="110"/>
  <c r="R38" i="110"/>
  <c r="R36" i="110"/>
  <c r="R27" i="110"/>
  <c r="Z20" i="110"/>
  <c r="X36" i="110"/>
  <c r="Z36" i="110" s="1"/>
  <c r="F59" i="110"/>
  <c r="X43" i="108"/>
  <c r="Z43" i="108" s="1"/>
  <c r="L51" i="108"/>
  <c r="X55" i="108"/>
  <c r="Z55" i="108" s="1"/>
  <c r="Z27" i="109"/>
  <c r="X34" i="109"/>
  <c r="Z34" i="109" s="1"/>
  <c r="D16" i="109"/>
  <c r="J21" i="109"/>
  <c r="J25" i="109"/>
  <c r="F31" i="109"/>
  <c r="R35" i="109"/>
  <c r="V37" i="109"/>
  <c r="T12" i="110"/>
  <c r="J22" i="110"/>
  <c r="Z46" i="110"/>
  <c r="J59" i="110"/>
  <c r="X74" i="108"/>
  <c r="Z74" i="108" s="1"/>
  <c r="H16" i="109"/>
  <c r="F19" i="109"/>
  <c r="F20" i="109"/>
  <c r="F24" i="109"/>
  <c r="V27" i="109"/>
  <c r="V33" i="109"/>
  <c r="V34" i="109"/>
  <c r="V35" i="109"/>
  <c r="R44" i="109"/>
  <c r="J14" i="109"/>
  <c r="J16" i="109"/>
  <c r="J18" i="109"/>
  <c r="J20" i="109"/>
  <c r="R21" i="109"/>
  <c r="J24" i="109"/>
  <c r="F29" i="109"/>
  <c r="J30" i="109"/>
  <c r="J26" i="110"/>
  <c r="X48" i="110"/>
  <c r="Z48" i="110" s="1"/>
  <c r="J54" i="110"/>
  <c r="L67" i="110"/>
  <c r="F37" i="109"/>
  <c r="F35" i="109"/>
  <c r="V25" i="109"/>
  <c r="V31" i="109"/>
  <c r="V44" i="109"/>
  <c r="J39" i="109"/>
  <c r="J33" i="109"/>
  <c r="F23" i="109"/>
  <c r="J44" i="110"/>
  <c r="J56" i="110"/>
  <c r="P16" i="109"/>
  <c r="J23" i="109"/>
  <c r="F27" i="109"/>
  <c r="F28" i="109"/>
  <c r="V41" i="109"/>
  <c r="L13" i="110"/>
  <c r="N13" i="110" s="1"/>
  <c r="J23" i="110"/>
  <c r="J30" i="110"/>
  <c r="H65" i="110"/>
  <c r="Z67" i="110"/>
  <c r="V20" i="109"/>
  <c r="V24" i="109"/>
  <c r="J28" i="109"/>
  <c r="D33" i="109"/>
  <c r="L33" i="109" s="1"/>
  <c r="N33" i="109" s="1"/>
  <c r="F34" i="109"/>
  <c r="J37" i="109"/>
  <c r="V39" i="109"/>
  <c r="J34" i="110"/>
  <c r="J66" i="110"/>
  <c r="R34" i="109"/>
  <c r="R31" i="109"/>
  <c r="T16" i="109"/>
  <c r="R19" i="109"/>
  <c r="F22" i="109"/>
  <c r="F26" i="109"/>
  <c r="J27" i="109"/>
  <c r="V29" i="109"/>
  <c r="V30" i="109"/>
  <c r="F33" i="109"/>
  <c r="J35" i="109"/>
  <c r="X13" i="110"/>
  <c r="N20" i="110"/>
  <c r="N60" i="110"/>
  <c r="X49" i="108"/>
  <c r="Z49" i="108" s="1"/>
  <c r="L55" i="108"/>
  <c r="V14" i="109"/>
  <c r="V16" i="109"/>
  <c r="V18" i="109"/>
  <c r="J22" i="109"/>
  <c r="J26" i="109"/>
  <c r="J34" i="109"/>
  <c r="F44" i="109"/>
  <c r="J71" i="110"/>
  <c r="J57" i="110"/>
  <c r="J49" i="110"/>
  <c r="J37" i="110"/>
  <c r="J50" i="110"/>
  <c r="J38" i="110"/>
  <c r="J32" i="110"/>
  <c r="J51" i="110"/>
  <c r="J39" i="110"/>
  <c r="J58" i="110"/>
  <c r="J52" i="110"/>
  <c r="J40" i="110"/>
  <c r="J53" i="110"/>
  <c r="J41" i="110"/>
  <c r="J42" i="110"/>
  <c r="J28" i="110"/>
  <c r="J24" i="110"/>
  <c r="J61" i="110"/>
  <c r="J55" i="110"/>
  <c r="J45" i="110"/>
  <c r="J25" i="110"/>
  <c r="J21" i="110"/>
  <c r="J19" i="110"/>
  <c r="J17" i="110"/>
  <c r="J15" i="110"/>
  <c r="J67" i="110"/>
  <c r="J63" i="110"/>
  <c r="J47" i="110"/>
  <c r="J35" i="110"/>
  <c r="J31" i="110"/>
  <c r="J20" i="110"/>
  <c r="J27" i="110"/>
  <c r="J36" i="110"/>
  <c r="J46" i="110"/>
  <c r="J60" i="110"/>
  <c r="X66" i="110"/>
  <c r="X12" i="109"/>
  <c r="V19" i="109"/>
  <c r="R28" i="109"/>
  <c r="R37" i="109"/>
  <c r="L66" i="110"/>
  <c r="N66" i="110" s="1"/>
  <c r="T47" i="100" l="1"/>
  <c r="T37" i="109"/>
  <c r="Z16" i="109"/>
  <c r="H73" i="110"/>
  <c r="H87" i="96"/>
  <c r="J20" i="96"/>
  <c r="H73" i="89"/>
  <c r="N20" i="89"/>
  <c r="J20" i="89"/>
  <c r="L20" i="89"/>
  <c r="V92" i="75"/>
  <c r="V76" i="75"/>
  <c r="V68" i="75"/>
  <c r="V64" i="75"/>
  <c r="T51" i="75"/>
  <c r="V99" i="75"/>
  <c r="V87" i="75"/>
  <c r="V59" i="75"/>
  <c r="V55" i="75"/>
  <c r="V112" i="75"/>
  <c r="V98" i="75"/>
  <c r="V94" i="75"/>
  <c r="V86" i="75"/>
  <c r="V78" i="75"/>
  <c r="V70" i="75"/>
  <c r="V46" i="75"/>
  <c r="V42" i="75"/>
  <c r="V38" i="75"/>
  <c r="V34" i="75"/>
  <c r="V101" i="75"/>
  <c r="V69" i="75"/>
  <c r="V65" i="75"/>
  <c r="V100" i="75"/>
  <c r="V88" i="75"/>
  <c r="V80" i="75"/>
  <c r="V72" i="75"/>
  <c r="V103" i="75"/>
  <c r="V95" i="75"/>
  <c r="V102" i="75"/>
  <c r="V90" i="75"/>
  <c r="V82" i="75"/>
  <c r="V66" i="75"/>
  <c r="V104" i="75"/>
  <c r="V96" i="75"/>
  <c r="V84" i="75"/>
  <c r="V48" i="75"/>
  <c r="V44" i="75"/>
  <c r="V40" i="75"/>
  <c r="V36" i="75"/>
  <c r="V91" i="75"/>
  <c r="V83" i="75"/>
  <c r="V75" i="75"/>
  <c r="V67" i="75"/>
  <c r="V63" i="75"/>
  <c r="V79" i="75"/>
  <c r="V74" i="75"/>
  <c r="V107" i="75"/>
  <c r="V56" i="75"/>
  <c r="V35" i="75"/>
  <c r="V105" i="75"/>
  <c r="V58" i="75"/>
  <c r="V37" i="75"/>
  <c r="V93" i="75"/>
  <c r="V60" i="75"/>
  <c r="V51" i="75"/>
  <c r="V39" i="75"/>
  <c r="V71" i="75"/>
  <c r="V62" i="75"/>
  <c r="V41" i="75"/>
  <c r="V108" i="75"/>
  <c r="V73" i="75"/>
  <c r="V45" i="75"/>
  <c r="V43" i="75"/>
  <c r="V85" i="75"/>
  <c r="V53" i="75"/>
  <c r="V47" i="75"/>
  <c r="V57" i="75"/>
  <c r="V49" i="75"/>
  <c r="V54" i="75"/>
  <c r="V89" i="75"/>
  <c r="V77" i="75"/>
  <c r="V97" i="75"/>
  <c r="V61" i="75"/>
  <c r="X12" i="75"/>
  <c r="Z12" i="75" s="1"/>
  <c r="V81" i="75"/>
  <c r="D92" i="45"/>
  <c r="L24" i="45"/>
  <c r="F261" i="12"/>
  <c r="F244" i="12"/>
  <c r="F243" i="12"/>
  <c r="F228" i="12"/>
  <c r="F204" i="12"/>
  <c r="F203" i="12"/>
  <c r="F180" i="12"/>
  <c r="F260" i="12"/>
  <c r="F251" i="12"/>
  <c r="F239" i="12"/>
  <c r="F223" i="12"/>
  <c r="F222" i="12"/>
  <c r="F215" i="12"/>
  <c r="F214" i="12"/>
  <c r="F195" i="12"/>
  <c r="F194" i="12"/>
  <c r="F187" i="12"/>
  <c r="F186" i="12"/>
  <c r="F175" i="12"/>
  <c r="F171" i="12"/>
  <c r="F167" i="12"/>
  <c r="F166" i="12"/>
  <c r="F259" i="12"/>
  <c r="F234" i="12"/>
  <c r="F165" i="12"/>
  <c r="F163" i="12"/>
  <c r="F158" i="12"/>
  <c r="F154" i="12"/>
  <c r="F150" i="12"/>
  <c r="F146" i="12"/>
  <c r="F142" i="12"/>
  <c r="F138" i="12"/>
  <c r="F134" i="12"/>
  <c r="F130" i="12"/>
  <c r="F126" i="12"/>
  <c r="F122" i="12"/>
  <c r="F118" i="12"/>
  <c r="F114" i="12"/>
  <c r="F110" i="12"/>
  <c r="F109" i="12"/>
  <c r="F258" i="12"/>
  <c r="F253" i="12"/>
  <c r="F252" i="12"/>
  <c r="F245" i="12"/>
  <c r="F229" i="12"/>
  <c r="F217" i="12"/>
  <c r="F216" i="12"/>
  <c r="F205" i="12"/>
  <c r="F181" i="12"/>
  <c r="F177" i="12"/>
  <c r="F176" i="12"/>
  <c r="D163" i="12"/>
  <c r="F257" i="12"/>
  <c r="F240" i="12"/>
  <c r="F236" i="12"/>
  <c r="F235" i="12"/>
  <c r="F224" i="12"/>
  <c r="F196" i="12"/>
  <c r="F188" i="12"/>
  <c r="F172" i="12"/>
  <c r="F168" i="12"/>
  <c r="F256" i="12"/>
  <c r="F247" i="12"/>
  <c r="F246" i="12"/>
  <c r="F219" i="12"/>
  <c r="F218" i="12"/>
  <c r="F255" i="12"/>
  <c r="F230" i="12"/>
  <c r="F198" i="12"/>
  <c r="F197" i="12"/>
  <c r="F190" i="12"/>
  <c r="F189" i="12"/>
  <c r="F182" i="12"/>
  <c r="F178" i="12"/>
  <c r="F249" i="12"/>
  <c r="F248" i="12"/>
  <c r="F241" i="12"/>
  <c r="F237" i="12"/>
  <c r="F225" i="12"/>
  <c r="F209" i="12"/>
  <c r="F208" i="12"/>
  <c r="F173" i="12"/>
  <c r="F169" i="12"/>
  <c r="F220" i="12"/>
  <c r="F200" i="12"/>
  <c r="F199" i="12"/>
  <c r="F192" i="12"/>
  <c r="F191" i="12"/>
  <c r="F160" i="12"/>
  <c r="F156" i="12"/>
  <c r="F152" i="12"/>
  <c r="F148" i="12"/>
  <c r="F144" i="12"/>
  <c r="F140" i="12"/>
  <c r="F136" i="12"/>
  <c r="F132" i="12"/>
  <c r="F128" i="12"/>
  <c r="F124" i="12"/>
  <c r="F120" i="12"/>
  <c r="F116" i="12"/>
  <c r="F112" i="12"/>
  <c r="F264" i="12"/>
  <c r="F231" i="12"/>
  <c r="F227" i="12"/>
  <c r="F226" i="12"/>
  <c r="F211" i="12"/>
  <c r="F210" i="12"/>
  <c r="F183" i="12"/>
  <c r="F179" i="12"/>
  <c r="F268" i="12"/>
  <c r="F263" i="12"/>
  <c r="F250" i="12"/>
  <c r="F242" i="12"/>
  <c r="F238" i="12"/>
  <c r="F202" i="12"/>
  <c r="F201" i="12"/>
  <c r="F174" i="12"/>
  <c r="F170" i="12"/>
  <c r="F232" i="12"/>
  <c r="F221" i="12"/>
  <c r="F185" i="12"/>
  <c r="F149" i="12"/>
  <c r="F141" i="12"/>
  <c r="F135" i="12"/>
  <c r="F121" i="12"/>
  <c r="F159" i="12"/>
  <c r="F151" i="12"/>
  <c r="F143" i="12"/>
  <c r="F115" i="12"/>
  <c r="F207" i="12"/>
  <c r="F127" i="12"/>
  <c r="F113" i="12"/>
  <c r="F129" i="12"/>
  <c r="F212" i="12"/>
  <c r="F123" i="12"/>
  <c r="F193" i="12"/>
  <c r="F161" i="12"/>
  <c r="F153" i="12"/>
  <c r="F137" i="12"/>
  <c r="F233" i="12"/>
  <c r="F206" i="12"/>
  <c r="F145" i="12"/>
  <c r="F131" i="12"/>
  <c r="F117" i="12"/>
  <c r="F262" i="12"/>
  <c r="F184" i="12"/>
  <c r="F111" i="12"/>
  <c r="L12" i="12"/>
  <c r="N12" i="12" s="1"/>
  <c r="F155" i="12"/>
  <c r="F147" i="12"/>
  <c r="F139" i="12"/>
  <c r="F125" i="12"/>
  <c r="F213" i="12"/>
  <c r="F119" i="12"/>
  <c r="F133" i="12"/>
  <c r="F157" i="12"/>
  <c r="D37" i="109"/>
  <c r="L16" i="109"/>
  <c r="V43" i="89"/>
  <c r="V35" i="89"/>
  <c r="V66" i="89"/>
  <c r="V54" i="89"/>
  <c r="V46" i="89"/>
  <c r="V30" i="89"/>
  <c r="V26" i="89"/>
  <c r="V68" i="89"/>
  <c r="V56" i="89"/>
  <c r="V48" i="89"/>
  <c r="V36" i="89"/>
  <c r="V32" i="89"/>
  <c r="Z12" i="89"/>
  <c r="V67" i="89"/>
  <c r="V55" i="89"/>
  <c r="V47" i="89"/>
  <c r="V31" i="89"/>
  <c r="V62" i="89"/>
  <c r="V50" i="89"/>
  <c r="V38" i="89"/>
  <c r="V22" i="89"/>
  <c r="V18" i="89"/>
  <c r="V71" i="89"/>
  <c r="V69" i="89"/>
  <c r="V57" i="89"/>
  <c r="V49" i="89"/>
  <c r="V37" i="89"/>
  <c r="V33" i="89"/>
  <c r="T20" i="89"/>
  <c r="V52" i="89"/>
  <c r="V40" i="89"/>
  <c r="V63" i="89"/>
  <c r="V59" i="89"/>
  <c r="V51" i="89"/>
  <c r="V39" i="89"/>
  <c r="V58" i="89"/>
  <c r="V42" i="89"/>
  <c r="V34" i="89"/>
  <c r="X12" i="89"/>
  <c r="V45" i="89"/>
  <c r="V16" i="89"/>
  <c r="V65" i="89"/>
  <c r="V60" i="89"/>
  <c r="V41" i="89"/>
  <c r="V25" i="89"/>
  <c r="V23" i="89"/>
  <c r="V29" i="89"/>
  <c r="V27" i="89"/>
  <c r="V44" i="89"/>
  <c r="V17" i="89"/>
  <c r="V64" i="89"/>
  <c r="V24" i="89"/>
  <c r="V53" i="89"/>
  <c r="V28" i="89"/>
  <c r="V61" i="89"/>
  <c r="V75" i="89"/>
  <c r="V53" i="110"/>
  <c r="V41" i="110"/>
  <c r="V60" i="110"/>
  <c r="V44" i="110"/>
  <c r="V28" i="110"/>
  <c r="V24" i="110"/>
  <c r="V20" i="110"/>
  <c r="V59" i="110"/>
  <c r="V55" i="110"/>
  <c r="V43" i="110"/>
  <c r="V62" i="110"/>
  <c r="V54" i="110"/>
  <c r="V46" i="110"/>
  <c r="V34" i="110"/>
  <c r="V30" i="110"/>
  <c r="V67" i="110"/>
  <c r="V61" i="110"/>
  <c r="V45" i="110"/>
  <c r="V66" i="110"/>
  <c r="V56" i="110"/>
  <c r="V48" i="110"/>
  <c r="V36" i="110"/>
  <c r="V71" i="110"/>
  <c r="V57" i="110"/>
  <c r="V49" i="110"/>
  <c r="V37" i="110"/>
  <c r="V51" i="110"/>
  <c r="V39" i="110"/>
  <c r="V25" i="110"/>
  <c r="V23" i="110"/>
  <c r="V63" i="110"/>
  <c r="V32" i="110"/>
  <c r="V58" i="110"/>
  <c r="V52" i="110"/>
  <c r="V21" i="110"/>
  <c r="V15" i="110"/>
  <c r="V26" i="110"/>
  <c r="V50" i="110"/>
  <c r="V47" i="110"/>
  <c r="V17" i="110"/>
  <c r="V42" i="110"/>
  <c r="V33" i="110"/>
  <c r="T17" i="110"/>
  <c r="V65" i="110"/>
  <c r="V40" i="110"/>
  <c r="V35" i="110"/>
  <c r="V31" i="110"/>
  <c r="V29" i="110"/>
  <c r="V22" i="110"/>
  <c r="V19" i="110"/>
  <c r="V38" i="110"/>
  <c r="Z12" i="110"/>
  <c r="V27" i="110"/>
  <c r="T88" i="108"/>
  <c r="Z84" i="108"/>
  <c r="P88" i="108"/>
  <c r="X84" i="108"/>
  <c r="P28" i="107"/>
  <c r="V44" i="105"/>
  <c r="V40" i="105"/>
  <c r="V49" i="105"/>
  <c r="V32" i="105"/>
  <c r="V46" i="105"/>
  <c r="V29" i="105"/>
  <c r="V41" i="105"/>
  <c r="V17" i="105"/>
  <c r="V26" i="105"/>
  <c r="V37" i="105"/>
  <c r="V36" i="105"/>
  <c r="V31" i="105"/>
  <c r="V30" i="105"/>
  <c r="V18" i="105"/>
  <c r="V42" i="105"/>
  <c r="V47" i="105"/>
  <c r="V27" i="105"/>
  <c r="V28" i="105"/>
  <c r="V24" i="105"/>
  <c r="V23" i="105"/>
  <c r="V19" i="105"/>
  <c r="V39" i="105"/>
  <c r="V33" i="105"/>
  <c r="T21" i="105"/>
  <c r="V35" i="105"/>
  <c r="V25" i="105"/>
  <c r="V43" i="105"/>
  <c r="V53" i="105"/>
  <c r="V45" i="105"/>
  <c r="V38" i="105"/>
  <c r="V34" i="105"/>
  <c r="P50" i="103"/>
  <c r="X16" i="103"/>
  <c r="D84" i="104"/>
  <c r="L22" i="104"/>
  <c r="N22" i="104" s="1"/>
  <c r="J71" i="102"/>
  <c r="J67" i="102"/>
  <c r="J61" i="102"/>
  <c r="J53" i="102"/>
  <c r="J41" i="102"/>
  <c r="J31" i="102"/>
  <c r="J27" i="102"/>
  <c r="J25" i="102"/>
  <c r="J72" i="102"/>
  <c r="J62" i="102"/>
  <c r="J54" i="102"/>
  <c r="J42" i="102"/>
  <c r="J73" i="102"/>
  <c r="J55" i="102"/>
  <c r="J43" i="102"/>
  <c r="J37" i="102"/>
  <c r="J74" i="102"/>
  <c r="J68" i="102"/>
  <c r="J75" i="102"/>
  <c r="J63" i="102"/>
  <c r="J76" i="102"/>
  <c r="J64" i="102"/>
  <c r="J46" i="102"/>
  <c r="J38" i="102"/>
  <c r="J80" i="102"/>
  <c r="J48" i="102"/>
  <c r="J59" i="102"/>
  <c r="J35" i="102"/>
  <c r="J30" i="102"/>
  <c r="J50" i="102"/>
  <c r="J40" i="102"/>
  <c r="N12" i="102"/>
  <c r="J57" i="102"/>
  <c r="J47" i="102"/>
  <c r="J28" i="102"/>
  <c r="J19" i="102"/>
  <c r="J84" i="102"/>
  <c r="J60" i="102"/>
  <c r="J36" i="102"/>
  <c r="J33" i="102"/>
  <c r="H23" i="102"/>
  <c r="J23" i="102" s="1"/>
  <c r="J69" i="102"/>
  <c r="J51" i="102"/>
  <c r="J79" i="102"/>
  <c r="J44" i="102"/>
  <c r="J65" i="102"/>
  <c r="J52" i="102"/>
  <c r="J20" i="102"/>
  <c r="J58" i="102"/>
  <c r="J45" i="102"/>
  <c r="J39" i="102"/>
  <c r="J29" i="102"/>
  <c r="J26" i="102"/>
  <c r="J49" i="102"/>
  <c r="J34" i="102"/>
  <c r="J66" i="102"/>
  <c r="J56" i="102"/>
  <c r="J77" i="102"/>
  <c r="J70" i="102"/>
  <c r="J21" i="102"/>
  <c r="J32" i="102"/>
  <c r="L12" i="102"/>
  <c r="N40" i="100"/>
  <c r="L40" i="100"/>
  <c r="F80" i="98"/>
  <c r="D83" i="98"/>
  <c r="L20" i="98"/>
  <c r="R39" i="99"/>
  <c r="R31" i="99"/>
  <c r="R41" i="99"/>
  <c r="R26" i="99"/>
  <c r="R22" i="99"/>
  <c r="R32" i="99"/>
  <c r="R34" i="99"/>
  <c r="R33" i="99"/>
  <c r="R36" i="99"/>
  <c r="R35" i="99"/>
  <c r="R23" i="99"/>
  <c r="R45" i="99"/>
  <c r="R29" i="99"/>
  <c r="R18" i="99"/>
  <c r="R16" i="99"/>
  <c r="R37" i="99"/>
  <c r="R20" i="99"/>
  <c r="P18" i="99"/>
  <c r="R24" i="99"/>
  <c r="R21" i="99"/>
  <c r="R38" i="99"/>
  <c r="X12" i="99"/>
  <c r="R30" i="99"/>
  <c r="R27" i="99"/>
  <c r="R25" i="99"/>
  <c r="R28" i="99"/>
  <c r="P30" i="86"/>
  <c r="X18" i="86"/>
  <c r="T82" i="88"/>
  <c r="F24" i="86"/>
  <c r="F23" i="86"/>
  <c r="D18" i="86"/>
  <c r="L12" i="86"/>
  <c r="N12" i="86" s="1"/>
  <c r="F26" i="86"/>
  <c r="F25" i="86"/>
  <c r="F32" i="86"/>
  <c r="F18" i="86"/>
  <c r="F15" i="86"/>
  <c r="F28" i="86"/>
  <c r="F22" i="86"/>
  <c r="F16" i="86"/>
  <c r="F20" i="86"/>
  <c r="F21" i="86"/>
  <c r="J80" i="84"/>
  <c r="J72" i="84"/>
  <c r="J66" i="84"/>
  <c r="J60" i="84"/>
  <c r="J50" i="84"/>
  <c r="J40" i="84"/>
  <c r="J67" i="84"/>
  <c r="J51" i="84"/>
  <c r="J41" i="84"/>
  <c r="J35" i="84"/>
  <c r="J84" i="84"/>
  <c r="J68" i="84"/>
  <c r="J52" i="84"/>
  <c r="J42" i="84"/>
  <c r="J30" i="84"/>
  <c r="J26" i="84"/>
  <c r="J16" i="84"/>
  <c r="J73" i="84"/>
  <c r="J69" i="84"/>
  <c r="J61" i="84"/>
  <c r="J53" i="84"/>
  <c r="J43" i="84"/>
  <c r="J62" i="84"/>
  <c r="J54" i="84"/>
  <c r="J44" i="84"/>
  <c r="J36" i="84"/>
  <c r="J63" i="84"/>
  <c r="J55" i="84"/>
  <c r="J45" i="84"/>
  <c r="J31" i="84"/>
  <c r="J27" i="84"/>
  <c r="J74" i="84"/>
  <c r="J70" i="84"/>
  <c r="J56" i="84"/>
  <c r="J46" i="84"/>
  <c r="J32" i="84"/>
  <c r="J18" i="84"/>
  <c r="J75" i="84"/>
  <c r="J57" i="84"/>
  <c r="J37" i="84"/>
  <c r="J33" i="84"/>
  <c r="J23" i="84"/>
  <c r="J76" i="84"/>
  <c r="J64" i="84"/>
  <c r="J58" i="84"/>
  <c r="J28" i="84"/>
  <c r="J24" i="84"/>
  <c r="J22" i="84"/>
  <c r="J78" i="84"/>
  <c r="J48" i="84"/>
  <c r="J38" i="84"/>
  <c r="J34" i="84"/>
  <c r="J39" i="84"/>
  <c r="H20" i="84"/>
  <c r="L20" i="84" s="1"/>
  <c r="J71" i="84"/>
  <c r="J77" i="84"/>
  <c r="J49" i="84"/>
  <c r="J47" i="84"/>
  <c r="J25" i="84"/>
  <c r="J59" i="84"/>
  <c r="L12" i="84"/>
  <c r="N12" i="84" s="1"/>
  <c r="J29" i="84"/>
  <c r="J17" i="84"/>
  <c r="J65" i="84"/>
  <c r="H28" i="87"/>
  <c r="P26" i="82"/>
  <c r="V20" i="88"/>
  <c r="F69" i="73"/>
  <c r="F33" i="73"/>
  <c r="F29" i="73"/>
  <c r="F28" i="73"/>
  <c r="F77" i="73"/>
  <c r="F64" i="73"/>
  <c r="F63" i="73"/>
  <c r="F56" i="73"/>
  <c r="F55" i="73"/>
  <c r="F44" i="73"/>
  <c r="F43" i="73"/>
  <c r="F27" i="73"/>
  <c r="F25" i="73"/>
  <c r="F81" i="73"/>
  <c r="F39" i="73"/>
  <c r="D25" i="73"/>
  <c r="F70" i="73"/>
  <c r="F66" i="73"/>
  <c r="F65" i="73"/>
  <c r="F58" i="73"/>
  <c r="F57" i="73"/>
  <c r="F46" i="73"/>
  <c r="F45" i="73"/>
  <c r="F34" i="73"/>
  <c r="F30" i="73"/>
  <c r="F48" i="73"/>
  <c r="F47" i="73"/>
  <c r="F40" i="73"/>
  <c r="L12" i="73"/>
  <c r="N12" i="73" s="1"/>
  <c r="F71" i="73"/>
  <c r="F67" i="73"/>
  <c r="F59" i="73"/>
  <c r="F35" i="73"/>
  <c r="F31" i="73"/>
  <c r="F50" i="73"/>
  <c r="F49" i="73"/>
  <c r="F22" i="73"/>
  <c r="F21" i="73"/>
  <c r="F73" i="73"/>
  <c r="F72" i="73"/>
  <c r="F41" i="73"/>
  <c r="F68" i="73"/>
  <c r="F60" i="73"/>
  <c r="F52" i="73"/>
  <c r="F51" i="73"/>
  <c r="F36" i="73"/>
  <c r="F32" i="73"/>
  <c r="F75" i="73"/>
  <c r="F54" i="73"/>
  <c r="F62" i="73"/>
  <c r="F38" i="73"/>
  <c r="F74" i="73"/>
  <c r="F53" i="73"/>
  <c r="F42" i="73"/>
  <c r="F23" i="73"/>
  <c r="F61" i="73"/>
  <c r="F37" i="73"/>
  <c r="L112" i="71"/>
  <c r="R112" i="69"/>
  <c r="R111" i="69"/>
  <c r="R104" i="69"/>
  <c r="R103" i="69"/>
  <c r="R79" i="69"/>
  <c r="R75" i="69"/>
  <c r="R95" i="69"/>
  <c r="R94" i="69"/>
  <c r="R66" i="69"/>
  <c r="R62" i="69"/>
  <c r="R58" i="69"/>
  <c r="R54" i="69"/>
  <c r="R50" i="69"/>
  <c r="R113" i="69"/>
  <c r="R105" i="69"/>
  <c r="R86" i="69"/>
  <c r="R85" i="69"/>
  <c r="R115" i="69"/>
  <c r="R97" i="69"/>
  <c r="R96" i="69"/>
  <c r="R81" i="69"/>
  <c r="R80" i="69"/>
  <c r="R76" i="69"/>
  <c r="R88" i="69"/>
  <c r="R87" i="69"/>
  <c r="R72" i="69"/>
  <c r="R67" i="69"/>
  <c r="R63" i="69"/>
  <c r="R59" i="69"/>
  <c r="R55" i="69"/>
  <c r="R51" i="69"/>
  <c r="R107" i="69"/>
  <c r="R106" i="69"/>
  <c r="R99" i="69"/>
  <c r="R98" i="69"/>
  <c r="R82" i="69"/>
  <c r="R71" i="69"/>
  <c r="R119" i="69"/>
  <c r="R90" i="69"/>
  <c r="R89" i="69"/>
  <c r="R77" i="69"/>
  <c r="R73" i="69"/>
  <c r="P69" i="69"/>
  <c r="R69" i="69" s="1"/>
  <c r="R108" i="69"/>
  <c r="R101" i="69"/>
  <c r="R100" i="69"/>
  <c r="R64" i="69"/>
  <c r="R60" i="69"/>
  <c r="R56" i="69"/>
  <c r="R52" i="69"/>
  <c r="R91" i="69"/>
  <c r="R83" i="69"/>
  <c r="R48" i="69"/>
  <c r="R110" i="69"/>
  <c r="R109" i="69"/>
  <c r="R65" i="69"/>
  <c r="R61" i="69"/>
  <c r="R57" i="69"/>
  <c r="R53" i="69"/>
  <c r="R49" i="69"/>
  <c r="R93" i="69"/>
  <c r="R84" i="69"/>
  <c r="R74" i="69"/>
  <c r="R102" i="69"/>
  <c r="X12" i="69"/>
  <c r="Z12" i="69" s="1"/>
  <c r="R92" i="69"/>
  <c r="R78" i="69"/>
  <c r="T69" i="70"/>
  <c r="L16" i="54"/>
  <c r="D22" i="54"/>
  <c r="P66" i="59"/>
  <c r="X62" i="59"/>
  <c r="T69" i="48"/>
  <c r="F24" i="45"/>
  <c r="V79" i="42"/>
  <c r="V67" i="42"/>
  <c r="V39" i="42"/>
  <c r="V35" i="42"/>
  <c r="V90" i="42"/>
  <c r="V86" i="42"/>
  <c r="V78" i="42"/>
  <c r="V58" i="42"/>
  <c r="V50" i="42"/>
  <c r="V26" i="42"/>
  <c r="V109" i="42"/>
  <c r="V101" i="42"/>
  <c r="V97" i="42"/>
  <c r="V85" i="42"/>
  <c r="V69" i="42"/>
  <c r="V49" i="42"/>
  <c r="V45" i="42"/>
  <c r="V92" i="42"/>
  <c r="V80" i="42"/>
  <c r="V60" i="42"/>
  <c r="V52" i="42"/>
  <c r="V40" i="42"/>
  <c r="V36" i="42"/>
  <c r="V32" i="42"/>
  <c r="V117" i="42"/>
  <c r="V111" i="42"/>
  <c r="V103" i="42"/>
  <c r="V91" i="42"/>
  <c r="V87" i="42"/>
  <c r="V71" i="42"/>
  <c r="V59" i="42"/>
  <c r="V51" i="42"/>
  <c r="V31" i="42"/>
  <c r="V27" i="42"/>
  <c r="V116" i="42"/>
  <c r="V110" i="42"/>
  <c r="V102" i="42"/>
  <c r="V98" i="42"/>
  <c r="V94" i="42"/>
  <c r="V70" i="42"/>
  <c r="V62" i="42"/>
  <c r="V54" i="42"/>
  <c r="V46" i="42"/>
  <c r="V42" i="42"/>
  <c r="T29" i="42"/>
  <c r="V115" i="42"/>
  <c r="V105" i="42"/>
  <c r="V93" i="42"/>
  <c r="V81" i="42"/>
  <c r="V73" i="42"/>
  <c r="V61" i="42"/>
  <c r="V53" i="42"/>
  <c r="V41" i="42"/>
  <c r="V37" i="42"/>
  <c r="V33" i="42"/>
  <c r="V114" i="42"/>
  <c r="V112" i="42"/>
  <c r="V104" i="42"/>
  <c r="V88" i="42"/>
  <c r="V72" i="42"/>
  <c r="V64" i="42"/>
  <c r="V56" i="42"/>
  <c r="V121" i="42"/>
  <c r="V107" i="42"/>
  <c r="V99" i="42"/>
  <c r="V95" i="42"/>
  <c r="V83" i="42"/>
  <c r="V75" i="42"/>
  <c r="V63" i="42"/>
  <c r="V55" i="42"/>
  <c r="V47" i="42"/>
  <c r="V43" i="42"/>
  <c r="V106" i="42"/>
  <c r="V82" i="42"/>
  <c r="V74" i="42"/>
  <c r="V66" i="42"/>
  <c r="V38" i="42"/>
  <c r="V34" i="42"/>
  <c r="V89" i="42"/>
  <c r="V77" i="42"/>
  <c r="V65" i="42"/>
  <c r="V57" i="42"/>
  <c r="V25" i="42"/>
  <c r="V108" i="42"/>
  <c r="V100" i="42"/>
  <c r="V96" i="42"/>
  <c r="V84" i="42"/>
  <c r="V76" i="42"/>
  <c r="V68" i="42"/>
  <c r="V48" i="42"/>
  <c r="V44" i="42"/>
  <c r="Z12" i="42"/>
  <c r="P266" i="12"/>
  <c r="T27" i="112"/>
  <c r="Z18" i="112"/>
  <c r="T27" i="52"/>
  <c r="Z18" i="52"/>
  <c r="H27" i="49"/>
  <c r="N18" i="49"/>
  <c r="X18" i="41"/>
  <c r="P27" i="41"/>
  <c r="T27" i="25"/>
  <c r="Z18" i="25"/>
  <c r="H27" i="17"/>
  <c r="N18" i="17"/>
  <c r="L18" i="5"/>
  <c r="D27" i="5"/>
  <c r="N112" i="71"/>
  <c r="P90" i="9"/>
  <c r="X16" i="9"/>
  <c r="N16" i="103"/>
  <c r="H50" i="103"/>
  <c r="P89" i="92"/>
  <c r="X16" i="92"/>
  <c r="H110" i="75"/>
  <c r="J51" i="75"/>
  <c r="J69" i="110"/>
  <c r="H84" i="104"/>
  <c r="R77" i="98"/>
  <c r="R76" i="98"/>
  <c r="R65" i="98"/>
  <c r="R64" i="98"/>
  <c r="R41" i="98"/>
  <c r="R40" i="98"/>
  <c r="R71" i="98"/>
  <c r="R59" i="98"/>
  <c r="R52" i="98"/>
  <c r="R51" i="98"/>
  <c r="R35" i="98"/>
  <c r="R16" i="98"/>
  <c r="R81" i="98"/>
  <c r="R78" i="98"/>
  <c r="R67" i="98"/>
  <c r="R66" i="98"/>
  <c r="R43" i="98"/>
  <c r="R42" i="98"/>
  <c r="R30" i="98"/>
  <c r="R26" i="98"/>
  <c r="R80" i="98"/>
  <c r="R54" i="98"/>
  <c r="R53" i="98"/>
  <c r="R17" i="98"/>
  <c r="R72" i="98"/>
  <c r="R68" i="98"/>
  <c r="R61" i="98"/>
  <c r="R60" i="98"/>
  <c r="R45" i="98"/>
  <c r="R44" i="98"/>
  <c r="R36" i="98"/>
  <c r="X12" i="98"/>
  <c r="R85" i="98"/>
  <c r="R55" i="98"/>
  <c r="R32" i="98"/>
  <c r="R31" i="98"/>
  <c r="R27" i="98"/>
  <c r="R62" i="98"/>
  <c r="R46" i="98"/>
  <c r="R23" i="98"/>
  <c r="R18" i="98"/>
  <c r="R73" i="98"/>
  <c r="R69" i="98"/>
  <c r="R37" i="98"/>
  <c r="R33" i="98"/>
  <c r="R22" i="98"/>
  <c r="R57" i="98"/>
  <c r="R56" i="98"/>
  <c r="R28" i="98"/>
  <c r="R24" i="98"/>
  <c r="P20" i="98"/>
  <c r="R20" i="98" s="1"/>
  <c r="R63" i="98"/>
  <c r="R75" i="98"/>
  <c r="R49" i="98"/>
  <c r="R47" i="98"/>
  <c r="R58" i="98"/>
  <c r="R34" i="98"/>
  <c r="R50" i="98"/>
  <c r="R38" i="98"/>
  <c r="R70" i="98"/>
  <c r="R48" i="98"/>
  <c r="R25" i="98"/>
  <c r="R74" i="98"/>
  <c r="R39" i="98"/>
  <c r="R29" i="98"/>
  <c r="T54" i="103"/>
  <c r="D43" i="99"/>
  <c r="L18" i="99"/>
  <c r="H67" i="94"/>
  <c r="T75" i="93"/>
  <c r="D89" i="92"/>
  <c r="L16" i="92"/>
  <c r="Z16" i="87"/>
  <c r="T24" i="87"/>
  <c r="N16" i="82"/>
  <c r="H22" i="82"/>
  <c r="N107" i="75"/>
  <c r="J107" i="75"/>
  <c r="T64" i="79"/>
  <c r="F88" i="77"/>
  <c r="F90" i="77"/>
  <c r="F89" i="77"/>
  <c r="F70" i="77"/>
  <c r="F96" i="77"/>
  <c r="F87" i="77"/>
  <c r="F86" i="77"/>
  <c r="F75" i="77"/>
  <c r="F74" i="77"/>
  <c r="F63" i="77"/>
  <c r="F59" i="77"/>
  <c r="F76" i="77"/>
  <c r="F52" i="77"/>
  <c r="F49" i="77"/>
  <c r="F46" i="77"/>
  <c r="F43" i="77"/>
  <c r="F40" i="77"/>
  <c r="F72" i="77"/>
  <c r="F69" i="77"/>
  <c r="F62" i="77"/>
  <c r="F94" i="77"/>
  <c r="F82" i="77"/>
  <c r="F77" i="77"/>
  <c r="F73" i="77"/>
  <c r="F65" i="77"/>
  <c r="L12" i="77"/>
  <c r="F103" i="77"/>
  <c r="F83" i="77"/>
  <c r="F78" i="77"/>
  <c r="F50" i="77"/>
  <c r="F47" i="77"/>
  <c r="F44" i="77"/>
  <c r="F41" i="77"/>
  <c r="F79" i="77"/>
  <c r="F60" i="77"/>
  <c r="D54" i="77"/>
  <c r="F54" i="77" s="1"/>
  <c r="F91" i="77"/>
  <c r="F66" i="77"/>
  <c r="F57" i="77"/>
  <c r="F56" i="77"/>
  <c r="F38" i="77"/>
  <c r="F97" i="77"/>
  <c r="F92" i="77"/>
  <c r="F84" i="77"/>
  <c r="F58" i="77"/>
  <c r="F51" i="77"/>
  <c r="F48" i="77"/>
  <c r="F45" i="77"/>
  <c r="F42" i="77"/>
  <c r="F39" i="77"/>
  <c r="F99" i="77"/>
  <c r="F98" i="77"/>
  <c r="F85" i="77"/>
  <c r="F80" i="77"/>
  <c r="F71" i="77"/>
  <c r="F67" i="77"/>
  <c r="F61" i="77"/>
  <c r="F64" i="77"/>
  <c r="F68" i="77"/>
  <c r="F81" i="77"/>
  <c r="F93" i="77"/>
  <c r="P110" i="75"/>
  <c r="X51" i="75"/>
  <c r="H117" i="71"/>
  <c r="Z16" i="55"/>
  <c r="T33" i="55"/>
  <c r="P95" i="64"/>
  <c r="X16" i="64"/>
  <c r="N16" i="58"/>
  <c r="H71" i="58"/>
  <c r="Z96" i="51"/>
  <c r="D69" i="48"/>
  <c r="J77" i="51"/>
  <c r="J69" i="51"/>
  <c r="J99" i="51"/>
  <c r="J93" i="51"/>
  <c r="J83" i="51"/>
  <c r="J71" i="51"/>
  <c r="J57" i="51"/>
  <c r="J84" i="51"/>
  <c r="J78" i="51"/>
  <c r="J72" i="51"/>
  <c r="J65" i="51"/>
  <c r="J58" i="51"/>
  <c r="J51" i="51"/>
  <c r="J38" i="51"/>
  <c r="J94" i="51"/>
  <c r="J90" i="51"/>
  <c r="J62" i="51"/>
  <c r="J103" i="51"/>
  <c r="J66" i="51"/>
  <c r="J52" i="51"/>
  <c r="J42" i="51"/>
  <c r="J96" i="51"/>
  <c r="J91" i="51"/>
  <c r="J86" i="51"/>
  <c r="J80" i="51"/>
  <c r="J97" i="51"/>
  <c r="J87" i="51"/>
  <c r="J81" i="51"/>
  <c r="J75" i="51"/>
  <c r="J54" i="51"/>
  <c r="J46" i="51"/>
  <c r="J98" i="51"/>
  <c r="J92" i="51"/>
  <c r="J64" i="51"/>
  <c r="J50" i="51"/>
  <c r="J47" i="51"/>
  <c r="J88" i="51"/>
  <c r="J61" i="51"/>
  <c r="J89" i="51"/>
  <c r="J44" i="51"/>
  <c r="J41" i="51"/>
  <c r="J68" i="51"/>
  <c r="J45" i="51"/>
  <c r="H54" i="51"/>
  <c r="L54" i="51" s="1"/>
  <c r="J79" i="51"/>
  <c r="J70" i="51"/>
  <c r="J60" i="51"/>
  <c r="J39" i="51"/>
  <c r="J49" i="51"/>
  <c r="J43" i="51"/>
  <c r="J76" i="51"/>
  <c r="J74" i="51"/>
  <c r="J67" i="51"/>
  <c r="N12" i="51"/>
  <c r="J85" i="51"/>
  <c r="J56" i="51"/>
  <c r="J82" i="51"/>
  <c r="J63" i="51"/>
  <c r="J48" i="51"/>
  <c r="J40" i="51"/>
  <c r="J59" i="51"/>
  <c r="J73" i="51"/>
  <c r="R125" i="39"/>
  <c r="D119" i="42"/>
  <c r="L29" i="42"/>
  <c r="N83" i="33"/>
  <c r="X83" i="33"/>
  <c r="R83" i="33"/>
  <c r="H130" i="39"/>
  <c r="F83" i="33"/>
  <c r="D103" i="21"/>
  <c r="R272" i="18"/>
  <c r="J83" i="33"/>
  <c r="Z294" i="3"/>
  <c r="D308" i="3"/>
  <c r="V294" i="3"/>
  <c r="X18" i="111"/>
  <c r="P27" i="111"/>
  <c r="T27" i="47"/>
  <c r="Z18" i="47"/>
  <c r="X18" i="46"/>
  <c r="P27" i="46"/>
  <c r="H27" i="46"/>
  <c r="N18" i="46"/>
  <c r="T27" i="37"/>
  <c r="Z18" i="37"/>
  <c r="X18" i="22"/>
  <c r="P27" i="22"/>
  <c r="L18" i="16"/>
  <c r="D27" i="16"/>
  <c r="L18" i="19"/>
  <c r="D27" i="19"/>
  <c r="L18" i="13"/>
  <c r="D27" i="13"/>
  <c r="X18" i="8"/>
  <c r="P27" i="8"/>
  <c r="Z18" i="11"/>
  <c r="T27" i="11"/>
  <c r="D24" i="87"/>
  <c r="L16" i="87"/>
  <c r="T27" i="44"/>
  <c r="Z18" i="44"/>
  <c r="L18" i="25"/>
  <c r="D27" i="25"/>
  <c r="T27" i="14"/>
  <c r="Z18" i="14"/>
  <c r="L65" i="110"/>
  <c r="N65" i="110" s="1"/>
  <c r="R53" i="105"/>
  <c r="R43" i="105"/>
  <c r="R46" i="105"/>
  <c r="R45" i="105"/>
  <c r="R29" i="105"/>
  <c r="R47" i="105"/>
  <c r="R25" i="105"/>
  <c r="R34" i="105"/>
  <c r="R40" i="105"/>
  <c r="R35" i="105"/>
  <c r="R44" i="105"/>
  <c r="R41" i="105"/>
  <c r="R26" i="105"/>
  <c r="R17" i="105"/>
  <c r="X12" i="105"/>
  <c r="Z12" i="105" s="1"/>
  <c r="R36" i="105"/>
  <c r="R30" i="105"/>
  <c r="R18" i="105"/>
  <c r="R42" i="105"/>
  <c r="R37" i="105"/>
  <c r="R31" i="105"/>
  <c r="R27" i="105"/>
  <c r="R19" i="105"/>
  <c r="R33" i="105"/>
  <c r="R24" i="105"/>
  <c r="R21" i="105"/>
  <c r="R28" i="105"/>
  <c r="P21" i="105"/>
  <c r="R38" i="105"/>
  <c r="R39" i="105"/>
  <c r="R49" i="105"/>
  <c r="R23" i="105"/>
  <c r="R32" i="105"/>
  <c r="T65" i="101"/>
  <c r="H89" i="92"/>
  <c r="N16" i="92"/>
  <c r="X16" i="87"/>
  <c r="P24" i="87"/>
  <c r="F89" i="75"/>
  <c r="F81" i="75"/>
  <c r="F80" i="75"/>
  <c r="F73" i="75"/>
  <c r="F72" i="75"/>
  <c r="F61" i="75"/>
  <c r="F57" i="75"/>
  <c r="F104" i="75"/>
  <c r="F103" i="75"/>
  <c r="F96" i="75"/>
  <c r="F48" i="75"/>
  <c r="F91" i="75"/>
  <c r="F90" i="75"/>
  <c r="F83" i="75"/>
  <c r="F82" i="75"/>
  <c r="F67" i="75"/>
  <c r="F74" i="75"/>
  <c r="F62" i="75"/>
  <c r="F58" i="75"/>
  <c r="F105" i="75"/>
  <c r="F97" i="75"/>
  <c r="F85" i="75"/>
  <c r="F84" i="75"/>
  <c r="F92" i="75"/>
  <c r="F108" i="75"/>
  <c r="F59" i="75"/>
  <c r="F55" i="75"/>
  <c r="F54" i="75"/>
  <c r="F112" i="75"/>
  <c r="F107" i="75"/>
  <c r="F98" i="75"/>
  <c r="F69" i="75"/>
  <c r="F65" i="75"/>
  <c r="D51" i="75"/>
  <c r="F100" i="75"/>
  <c r="F99" i="75"/>
  <c r="F88" i="75"/>
  <c r="F87" i="75"/>
  <c r="F60" i="75"/>
  <c r="F56" i="75"/>
  <c r="F102" i="75"/>
  <c r="F76" i="75"/>
  <c r="F63" i="75"/>
  <c r="F49" i="75"/>
  <c r="F38" i="75"/>
  <c r="L12" i="75"/>
  <c r="N12" i="75" s="1"/>
  <c r="F94" i="75"/>
  <c r="F53" i="75"/>
  <c r="F40" i="75"/>
  <c r="F70" i="75"/>
  <c r="F44" i="75"/>
  <c r="F42" i="75"/>
  <c r="F34" i="75"/>
  <c r="F79" i="75"/>
  <c r="F68" i="75"/>
  <c r="F46" i="75"/>
  <c r="F86" i="75"/>
  <c r="F77" i="75"/>
  <c r="F101" i="75"/>
  <c r="F66" i="75"/>
  <c r="F64" i="75"/>
  <c r="F35" i="75"/>
  <c r="F37" i="75"/>
  <c r="F78" i="75"/>
  <c r="F75" i="75"/>
  <c r="F51" i="75"/>
  <c r="F39" i="75"/>
  <c r="F71" i="75"/>
  <c r="F41" i="75"/>
  <c r="F95" i="75"/>
  <c r="F45" i="75"/>
  <c r="F43" i="75"/>
  <c r="F47" i="75"/>
  <c r="F93" i="75"/>
  <c r="F36" i="75"/>
  <c r="T101" i="77"/>
  <c r="J112" i="71"/>
  <c r="H62" i="59"/>
  <c r="N16" i="59"/>
  <c r="D62" i="59"/>
  <c r="L16" i="59"/>
  <c r="P71" i="58"/>
  <c r="X16" i="58"/>
  <c r="D101" i="51"/>
  <c r="Z83" i="33"/>
  <c r="T122" i="36"/>
  <c r="V276" i="18"/>
  <c r="V250" i="18"/>
  <c r="V238" i="18"/>
  <c r="V230" i="18"/>
  <c r="V218" i="18"/>
  <c r="V210" i="18"/>
  <c r="V202" i="18"/>
  <c r="V198" i="18"/>
  <c r="V275" i="18"/>
  <c r="V269" i="18"/>
  <c r="V261" i="18"/>
  <c r="V245" i="18"/>
  <c r="V229" i="18"/>
  <c r="V221" i="18"/>
  <c r="V193" i="18"/>
  <c r="V189" i="18"/>
  <c r="V274" i="18"/>
  <c r="V268" i="18"/>
  <c r="V256" i="18"/>
  <c r="V252" i="18"/>
  <c r="V240" i="18"/>
  <c r="V232" i="18"/>
  <c r="V220" i="18"/>
  <c r="V212" i="18"/>
  <c r="V204" i="18"/>
  <c r="V180" i="18"/>
  <c r="V176" i="18"/>
  <c r="V172" i="18"/>
  <c r="V168" i="18"/>
  <c r="V164" i="18"/>
  <c r="V160" i="18"/>
  <c r="V156" i="18"/>
  <c r="V152" i="18"/>
  <c r="V148" i="18"/>
  <c r="V144" i="18"/>
  <c r="V140" i="18"/>
  <c r="V136" i="18"/>
  <c r="V132" i="18"/>
  <c r="V128" i="18"/>
  <c r="V124" i="18"/>
  <c r="V273" i="18"/>
  <c r="V263" i="18"/>
  <c r="V251" i="18"/>
  <c r="V239" i="18"/>
  <c r="V231" i="18"/>
  <c r="V223" i="18"/>
  <c r="V203" i="18"/>
  <c r="V199" i="18"/>
  <c r="V272" i="18"/>
  <c r="V270" i="18"/>
  <c r="V262" i="18"/>
  <c r="V246" i="18"/>
  <c r="V234" i="18"/>
  <c r="V222" i="18"/>
  <c r="V214" i="18"/>
  <c r="V206" i="18"/>
  <c r="V194" i="18"/>
  <c r="V190" i="18"/>
  <c r="V186" i="18"/>
  <c r="V283" i="18"/>
  <c r="V265" i="18"/>
  <c r="V257" i="18"/>
  <c r="V253" i="18"/>
  <c r="V241" i="18"/>
  <c r="V233" i="18"/>
  <c r="V213" i="18"/>
  <c r="V205" i="18"/>
  <c r="V185" i="18"/>
  <c r="V181" i="18"/>
  <c r="V177" i="18"/>
  <c r="V173" i="18"/>
  <c r="V169" i="18"/>
  <c r="V165" i="18"/>
  <c r="V161" i="18"/>
  <c r="V157" i="18"/>
  <c r="V153" i="18"/>
  <c r="V149" i="18"/>
  <c r="V145" i="18"/>
  <c r="V141" i="18"/>
  <c r="V137" i="18"/>
  <c r="V133" i="18"/>
  <c r="V129" i="18"/>
  <c r="V125" i="18"/>
  <c r="V282" i="18"/>
  <c r="V264" i="18"/>
  <c r="V236" i="18"/>
  <c r="V224" i="18"/>
  <c r="V200" i="18"/>
  <c r="V196" i="18"/>
  <c r="T183" i="18"/>
  <c r="Z12" i="18"/>
  <c r="V281" i="18"/>
  <c r="V247" i="18"/>
  <c r="V235" i="18"/>
  <c r="V215" i="18"/>
  <c r="V207" i="18"/>
  <c r="V195" i="18"/>
  <c r="V191" i="18"/>
  <c r="V187" i="18"/>
  <c r="V280" i="18"/>
  <c r="V266" i="18"/>
  <c r="V258" i="18"/>
  <c r="V254" i="18"/>
  <c r="V242" i="18"/>
  <c r="V226" i="18"/>
  <c r="V178" i="18"/>
  <c r="V174" i="18"/>
  <c r="V170" i="18"/>
  <c r="V166" i="18"/>
  <c r="V162" i="18"/>
  <c r="V158" i="18"/>
  <c r="V154" i="18"/>
  <c r="V150" i="18"/>
  <c r="V146" i="18"/>
  <c r="V142" i="18"/>
  <c r="V138" i="18"/>
  <c r="V134" i="18"/>
  <c r="V130" i="18"/>
  <c r="V126" i="18"/>
  <c r="V287" i="18"/>
  <c r="V279" i="18"/>
  <c r="V249" i="18"/>
  <c r="V237" i="18"/>
  <c r="V225" i="18"/>
  <c r="V217" i="18"/>
  <c r="V209" i="18"/>
  <c r="V201" i="18"/>
  <c r="V197" i="18"/>
  <c r="V278" i="18"/>
  <c r="V260" i="18"/>
  <c r="V248" i="18"/>
  <c r="V244" i="18"/>
  <c r="V228" i="18"/>
  <c r="V216" i="18"/>
  <c r="V208" i="18"/>
  <c r="V192" i="18"/>
  <c r="V188" i="18"/>
  <c r="V277" i="18"/>
  <c r="V227" i="18"/>
  <c r="V255" i="18"/>
  <c r="V151" i="18"/>
  <c r="V267" i="18"/>
  <c r="V243" i="18"/>
  <c r="V219" i="18"/>
  <c r="V179" i="18"/>
  <c r="V171" i="18"/>
  <c r="V139" i="18"/>
  <c r="V131" i="18"/>
  <c r="V163" i="18"/>
  <c r="V147" i="18"/>
  <c r="V155" i="18"/>
  <c r="V211" i="18"/>
  <c r="V259" i="18"/>
  <c r="V167" i="18"/>
  <c r="V135" i="18"/>
  <c r="V127" i="18"/>
  <c r="V143" i="18"/>
  <c r="V159" i="18"/>
  <c r="V175" i="18"/>
  <c r="V247" i="15"/>
  <c r="V245" i="15"/>
  <c r="V237" i="15"/>
  <c r="V221" i="15"/>
  <c r="V209" i="15"/>
  <c r="V197" i="15"/>
  <c r="V189" i="15"/>
  <c r="V181" i="15"/>
  <c r="V169" i="15"/>
  <c r="V165" i="15"/>
  <c r="V161" i="15"/>
  <c r="V240" i="15"/>
  <c r="V232" i="15"/>
  <c r="V228" i="15"/>
  <c r="V216" i="15"/>
  <c r="V208" i="15"/>
  <c r="V188" i="15"/>
  <c r="V180" i="15"/>
  <c r="V160" i="15"/>
  <c r="V158" i="15"/>
  <c r="V156" i="15"/>
  <c r="V152" i="15"/>
  <c r="V148" i="15"/>
  <c r="V144" i="15"/>
  <c r="V140" i="15"/>
  <c r="V136" i="15"/>
  <c r="V132" i="15"/>
  <c r="V128" i="15"/>
  <c r="V124" i="15"/>
  <c r="V120" i="15"/>
  <c r="V116" i="15"/>
  <c r="V112" i="15"/>
  <c r="V108" i="15"/>
  <c r="V256" i="15"/>
  <c r="V222" i="15"/>
  <c r="V210" i="15"/>
  <c r="V190" i="15"/>
  <c r="V182" i="15"/>
  <c r="V170" i="15"/>
  <c r="V166" i="15"/>
  <c r="V162" i="15"/>
  <c r="V255" i="15"/>
  <c r="V241" i="15"/>
  <c r="V233" i="15"/>
  <c r="V229" i="15"/>
  <c r="V217" i="15"/>
  <c r="V201" i="15"/>
  <c r="V153" i="15"/>
  <c r="V149" i="15"/>
  <c r="V145" i="15"/>
  <c r="V141" i="15"/>
  <c r="V137" i="15"/>
  <c r="V133" i="15"/>
  <c r="V129" i="15"/>
  <c r="V125" i="15"/>
  <c r="V121" i="15"/>
  <c r="V117" i="15"/>
  <c r="V113" i="15"/>
  <c r="V253" i="15"/>
  <c r="V235" i="15"/>
  <c r="V223" i="15"/>
  <c r="V219" i="15"/>
  <c r="V203" i="15"/>
  <c r="V191" i="15"/>
  <c r="V183" i="15"/>
  <c r="V167" i="15"/>
  <c r="V163" i="15"/>
  <c r="V260" i="15"/>
  <c r="V252" i="15"/>
  <c r="V242" i="15"/>
  <c r="V234" i="15"/>
  <c r="V230" i="15"/>
  <c r="V218" i="15"/>
  <c r="V202" i="15"/>
  <c r="V194" i="15"/>
  <c r="V186" i="15"/>
  <c r="V154" i="15"/>
  <c r="V150" i="15"/>
  <c r="V146" i="15"/>
  <c r="V142" i="15"/>
  <c r="V138" i="15"/>
  <c r="V134" i="15"/>
  <c r="V130" i="15"/>
  <c r="V126" i="15"/>
  <c r="V122" i="15"/>
  <c r="V118" i="15"/>
  <c r="V114" i="15"/>
  <c r="V110" i="15"/>
  <c r="V106" i="15"/>
  <c r="V250" i="15"/>
  <c r="V244" i="15"/>
  <c r="V236" i="15"/>
  <c r="V220" i="15"/>
  <c r="V204" i="15"/>
  <c r="V196" i="15"/>
  <c r="V168" i="15"/>
  <c r="V164" i="15"/>
  <c r="V249" i="15"/>
  <c r="V243" i="15"/>
  <c r="V231" i="15"/>
  <c r="V227" i="15"/>
  <c r="V215" i="15"/>
  <c r="V207" i="15"/>
  <c r="V195" i="15"/>
  <c r="V187" i="15"/>
  <c r="V179" i="15"/>
  <c r="V155" i="15"/>
  <c r="V151" i="15"/>
  <c r="V147" i="15"/>
  <c r="V143" i="15"/>
  <c r="V139" i="15"/>
  <c r="V135" i="15"/>
  <c r="V131" i="15"/>
  <c r="V127" i="15"/>
  <c r="V123" i="15"/>
  <c r="V119" i="15"/>
  <c r="V115" i="15"/>
  <c r="V111" i="15"/>
  <c r="V107" i="15"/>
  <c r="V251" i="15"/>
  <c r="V226" i="15"/>
  <c r="V214" i="15"/>
  <c r="V206" i="15"/>
  <c r="V177" i="15"/>
  <c r="V171" i="15"/>
  <c r="V254" i="15"/>
  <c r="V192" i="15"/>
  <c r="V174" i="15"/>
  <c r="V184" i="15"/>
  <c r="V239" i="15"/>
  <c r="V205" i="15"/>
  <c r="V225" i="15"/>
  <c r="V213" i="15"/>
  <c r="V200" i="15"/>
  <c r="V176" i="15"/>
  <c r="V173" i="15"/>
  <c r="V109" i="15"/>
  <c r="V238" i="15"/>
  <c r="V224" i="15"/>
  <c r="V212" i="15"/>
  <c r="V199" i="15"/>
  <c r="V178" i="15"/>
  <c r="V175" i="15"/>
  <c r="T158" i="15"/>
  <c r="V172" i="15"/>
  <c r="V193" i="15"/>
  <c r="V198" i="15"/>
  <c r="V248" i="15"/>
  <c r="V185" i="15"/>
  <c r="V211" i="15"/>
  <c r="X12" i="18"/>
  <c r="J253" i="15"/>
  <c r="J235" i="15"/>
  <c r="J225" i="15"/>
  <c r="J219" i="15"/>
  <c r="J213" i="15"/>
  <c r="J203" i="15"/>
  <c r="J193" i="15"/>
  <c r="J185" i="15"/>
  <c r="J177" i="15"/>
  <c r="J173" i="15"/>
  <c r="J252" i="15"/>
  <c r="J236" i="15"/>
  <c r="J220" i="15"/>
  <c r="J204" i="15"/>
  <c r="J194" i="15"/>
  <c r="J186" i="15"/>
  <c r="J168" i="15"/>
  <c r="J164" i="15"/>
  <c r="J106" i="15"/>
  <c r="J250" i="15"/>
  <c r="J244" i="15"/>
  <c r="J226" i="15"/>
  <c r="J214" i="15"/>
  <c r="J206" i="15"/>
  <c r="J196" i="15"/>
  <c r="J178" i="15"/>
  <c r="J174" i="15"/>
  <c r="J249" i="15"/>
  <c r="J245" i="15"/>
  <c r="J237" i="15"/>
  <c r="J227" i="15"/>
  <c r="J221" i="15"/>
  <c r="J215" i="15"/>
  <c r="J207" i="15"/>
  <c r="J197" i="15"/>
  <c r="J179" i="15"/>
  <c r="J169" i="15"/>
  <c r="J165" i="15"/>
  <c r="J247" i="15"/>
  <c r="J239" i="15"/>
  <c r="J209" i="15"/>
  <c r="J199" i="15"/>
  <c r="J189" i="15"/>
  <c r="J181" i="15"/>
  <c r="J175" i="15"/>
  <c r="J161" i="15"/>
  <c r="J240" i="15"/>
  <c r="J222" i="15"/>
  <c r="J210" i="15"/>
  <c r="J190" i="15"/>
  <c r="J182" i="15"/>
  <c r="J170" i="15"/>
  <c r="J166" i="15"/>
  <c r="J162" i="15"/>
  <c r="J160" i="15"/>
  <c r="J256" i="15"/>
  <c r="J212" i="15"/>
  <c r="J200" i="15"/>
  <c r="J176" i="15"/>
  <c r="J172" i="15"/>
  <c r="J255" i="15"/>
  <c r="J223" i="15"/>
  <c r="J201" i="15"/>
  <c r="J191" i="15"/>
  <c r="J183" i="15"/>
  <c r="J167" i="15"/>
  <c r="J163" i="15"/>
  <c r="J218" i="15"/>
  <c r="J195" i="15"/>
  <c r="J145" i="15"/>
  <c r="J234" i="15"/>
  <c r="J232" i="15"/>
  <c r="J216" i="15"/>
  <c r="J208" i="15"/>
  <c r="J187" i="15"/>
  <c r="J114" i="15"/>
  <c r="J112" i="15"/>
  <c r="J110" i="15"/>
  <c r="J248" i="15"/>
  <c r="J230" i="15"/>
  <c r="J228" i="15"/>
  <c r="J211" i="15"/>
  <c r="J198" i="15"/>
  <c r="J143" i="15"/>
  <c r="J141" i="15"/>
  <c r="J108" i="15"/>
  <c r="J260" i="15"/>
  <c r="J251" i="15"/>
  <c r="J171" i="15"/>
  <c r="J139" i="15"/>
  <c r="J254" i="15"/>
  <c r="J243" i="15"/>
  <c r="J192" i="15"/>
  <c r="J156" i="15"/>
  <c r="J154" i="15"/>
  <c r="J152" i="15"/>
  <c r="J150" i="15"/>
  <c r="J148" i="15"/>
  <c r="J137" i="15"/>
  <c r="J241" i="15"/>
  <c r="J202" i="15"/>
  <c r="J184" i="15"/>
  <c r="J146" i="15"/>
  <c r="J135" i="15"/>
  <c r="J133" i="15"/>
  <c r="J131" i="15"/>
  <c r="J129" i="15"/>
  <c r="J127" i="15"/>
  <c r="J125" i="15"/>
  <c r="J123" i="15"/>
  <c r="J121" i="15"/>
  <c r="J119" i="15"/>
  <c r="J117" i="15"/>
  <c r="J217" i="15"/>
  <c r="J205" i="15"/>
  <c r="J115" i="15"/>
  <c r="J233" i="15"/>
  <c r="J231" i="15"/>
  <c r="J188" i="15"/>
  <c r="J144" i="15"/>
  <c r="J113" i="15"/>
  <c r="J111" i="15"/>
  <c r="J229" i="15"/>
  <c r="J142" i="15"/>
  <c r="J109" i="15"/>
  <c r="J107" i="15"/>
  <c r="N12" i="15"/>
  <c r="J238" i="15"/>
  <c r="J180" i="15"/>
  <c r="J140" i="15"/>
  <c r="J138" i="15"/>
  <c r="J224" i="15"/>
  <c r="H158" i="15"/>
  <c r="J158" i="15" s="1"/>
  <c r="J155" i="15"/>
  <c r="J153" i="15"/>
  <c r="J151" i="15"/>
  <c r="J149" i="15"/>
  <c r="J147" i="15"/>
  <c r="J132" i="15"/>
  <c r="J124" i="15"/>
  <c r="J116" i="15"/>
  <c r="J134" i="15"/>
  <c r="J126" i="15"/>
  <c r="J118" i="15"/>
  <c r="J136" i="15"/>
  <c r="J128" i="15"/>
  <c r="J120" i="15"/>
  <c r="J242" i="15"/>
  <c r="J130" i="15"/>
  <c r="J122" i="15"/>
  <c r="R249" i="15"/>
  <c r="R227" i="15"/>
  <c r="R226" i="15"/>
  <c r="R215" i="15"/>
  <c r="R214" i="15"/>
  <c r="R207" i="15"/>
  <c r="R206" i="15"/>
  <c r="R179" i="15"/>
  <c r="R178" i="15"/>
  <c r="R174" i="15"/>
  <c r="R248" i="15"/>
  <c r="R245" i="15"/>
  <c r="R238" i="15"/>
  <c r="R237" i="15"/>
  <c r="R221" i="15"/>
  <c r="R198" i="15"/>
  <c r="R197" i="15"/>
  <c r="R169" i="15"/>
  <c r="R165" i="15"/>
  <c r="R240" i="15"/>
  <c r="R239" i="15"/>
  <c r="R199" i="15"/>
  <c r="R175" i="15"/>
  <c r="R160" i="15"/>
  <c r="R158" i="15"/>
  <c r="R222" i="15"/>
  <c r="R211" i="15"/>
  <c r="R210" i="15"/>
  <c r="R190" i="15"/>
  <c r="R182" i="15"/>
  <c r="R171" i="15"/>
  <c r="R170" i="15"/>
  <c r="R166" i="15"/>
  <c r="R162" i="15"/>
  <c r="P158" i="15"/>
  <c r="R255" i="15"/>
  <c r="R212" i="15"/>
  <c r="R201" i="15"/>
  <c r="R200" i="15"/>
  <c r="R176" i="15"/>
  <c r="R172" i="15"/>
  <c r="R254" i="15"/>
  <c r="R224" i="15"/>
  <c r="R223" i="15"/>
  <c r="R192" i="15"/>
  <c r="R191" i="15"/>
  <c r="R184" i="15"/>
  <c r="R183" i="15"/>
  <c r="R167" i="15"/>
  <c r="R163" i="15"/>
  <c r="R252" i="15"/>
  <c r="R225" i="15"/>
  <c r="R213" i="15"/>
  <c r="R194" i="15"/>
  <c r="R193" i="15"/>
  <c r="R186" i="15"/>
  <c r="R185" i="15"/>
  <c r="R177" i="15"/>
  <c r="R173" i="15"/>
  <c r="R106" i="15"/>
  <c r="R251" i="15"/>
  <c r="R236" i="15"/>
  <c r="R220" i="15"/>
  <c r="R205" i="15"/>
  <c r="R204" i="15"/>
  <c r="R168" i="15"/>
  <c r="R164" i="15"/>
  <c r="R260" i="15"/>
  <c r="R228" i="15"/>
  <c r="R219" i="15"/>
  <c r="R141" i="15"/>
  <c r="R108" i="15"/>
  <c r="R235" i="15"/>
  <c r="R209" i="15"/>
  <c r="R196" i="15"/>
  <c r="R156" i="15"/>
  <c r="R139" i="15"/>
  <c r="R137" i="15"/>
  <c r="R243" i="15"/>
  <c r="R202" i="15"/>
  <c r="R154" i="15"/>
  <c r="R152" i="15"/>
  <c r="R150" i="15"/>
  <c r="R148" i="15"/>
  <c r="R146" i="15"/>
  <c r="R241" i="15"/>
  <c r="R135" i="15"/>
  <c r="R133" i="15"/>
  <c r="R131" i="15"/>
  <c r="R129" i="15"/>
  <c r="R127" i="15"/>
  <c r="R125" i="15"/>
  <c r="R123" i="15"/>
  <c r="R121" i="15"/>
  <c r="R119" i="15"/>
  <c r="R117" i="15"/>
  <c r="R115" i="15"/>
  <c r="R217" i="15"/>
  <c r="R144" i="15"/>
  <c r="R244" i="15"/>
  <c r="R233" i="15"/>
  <c r="R231" i="15"/>
  <c r="R203" i="15"/>
  <c r="R188" i="15"/>
  <c r="R113" i="15"/>
  <c r="R111" i="15"/>
  <c r="X12" i="15"/>
  <c r="Z12" i="15" s="1"/>
  <c r="R229" i="15"/>
  <c r="R161" i="15"/>
  <c r="R142" i="15"/>
  <c r="R140" i="15"/>
  <c r="R109" i="15"/>
  <c r="R107" i="15"/>
  <c r="R247" i="15"/>
  <c r="R180" i="15"/>
  <c r="R138" i="15"/>
  <c r="R242" i="15"/>
  <c r="R189" i="15"/>
  <c r="R155" i="15"/>
  <c r="R153" i="15"/>
  <c r="R151" i="15"/>
  <c r="R149" i="15"/>
  <c r="R147" i="15"/>
  <c r="R136" i="15"/>
  <c r="R250" i="15"/>
  <c r="R218" i="15"/>
  <c r="R145" i="15"/>
  <c r="R134" i="15"/>
  <c r="R132" i="15"/>
  <c r="R130" i="15"/>
  <c r="R128" i="15"/>
  <c r="R126" i="15"/>
  <c r="R124" i="15"/>
  <c r="R122" i="15"/>
  <c r="R120" i="15"/>
  <c r="R118" i="15"/>
  <c r="R116" i="15"/>
  <c r="R256" i="15"/>
  <c r="R253" i="15"/>
  <c r="R234" i="15"/>
  <c r="R216" i="15"/>
  <c r="R208" i="15"/>
  <c r="R195" i="15"/>
  <c r="R181" i="15"/>
  <c r="R114" i="15"/>
  <c r="R230" i="15"/>
  <c r="R110" i="15"/>
  <c r="R232" i="15"/>
  <c r="R112" i="15"/>
  <c r="R143" i="15"/>
  <c r="R187" i="15"/>
  <c r="T94" i="9"/>
  <c r="R163" i="12"/>
  <c r="T26" i="6"/>
  <c r="Z22" i="6"/>
  <c r="H27" i="112"/>
  <c r="N18" i="112"/>
  <c r="H27" i="47"/>
  <c r="N18" i="47"/>
  <c r="X18" i="40"/>
  <c r="P27" i="40"/>
  <c r="H27" i="38"/>
  <c r="N18" i="38"/>
  <c r="X18" i="38"/>
  <c r="P27" i="38"/>
  <c r="X18" i="4"/>
  <c r="P27" i="4"/>
  <c r="L18" i="8"/>
  <c r="D27" i="8"/>
  <c r="T27" i="7"/>
  <c r="Z18" i="7"/>
  <c r="J87" i="45"/>
  <c r="J79" i="45"/>
  <c r="J75" i="45"/>
  <c r="J69" i="45"/>
  <c r="J61" i="45"/>
  <c r="J49" i="45"/>
  <c r="J37" i="45"/>
  <c r="J70" i="45"/>
  <c r="J62" i="45"/>
  <c r="J50" i="45"/>
  <c r="J42" i="45"/>
  <c r="J38" i="45"/>
  <c r="J63" i="45"/>
  <c r="J51" i="45"/>
  <c r="J33" i="45"/>
  <c r="J29" i="45"/>
  <c r="J88" i="45"/>
  <c r="J80" i="45"/>
  <c r="J76" i="45"/>
  <c r="J64" i="45"/>
  <c r="J52" i="45"/>
  <c r="J71" i="45"/>
  <c r="J65" i="45"/>
  <c r="J53" i="45"/>
  <c r="J43" i="45"/>
  <c r="J39" i="45"/>
  <c r="J90" i="45"/>
  <c r="J66" i="45"/>
  <c r="J54" i="45"/>
  <c r="J34" i="45"/>
  <c r="J30" i="45"/>
  <c r="J20" i="45"/>
  <c r="J81" i="45"/>
  <c r="J77" i="45"/>
  <c r="J55" i="45"/>
  <c r="J94" i="45"/>
  <c r="J82" i="45"/>
  <c r="J72" i="45"/>
  <c r="J56" i="45"/>
  <c r="J44" i="45"/>
  <c r="J40" i="45"/>
  <c r="J83" i="45"/>
  <c r="J73" i="45"/>
  <c r="J67" i="45"/>
  <c r="J84" i="45"/>
  <c r="J78" i="45"/>
  <c r="J74" i="45"/>
  <c r="J58" i="45"/>
  <c r="J46" i="45"/>
  <c r="J22" i="45"/>
  <c r="J85" i="45"/>
  <c r="J59" i="45"/>
  <c r="J47" i="45"/>
  <c r="J41" i="45"/>
  <c r="J27" i="45"/>
  <c r="J86" i="45"/>
  <c r="J35" i="45"/>
  <c r="J28" i="45"/>
  <c r="L12" i="45"/>
  <c r="N12" i="45" s="1"/>
  <c r="J21" i="45"/>
  <c r="J60" i="45"/>
  <c r="J48" i="45"/>
  <c r="J32" i="45"/>
  <c r="J24" i="45"/>
  <c r="H24" i="45"/>
  <c r="J36" i="45"/>
  <c r="J68" i="45"/>
  <c r="J45" i="45"/>
  <c r="J31" i="45"/>
  <c r="J57" i="45"/>
  <c r="J26" i="45"/>
  <c r="H27" i="26"/>
  <c r="N18" i="26"/>
  <c r="X18" i="5"/>
  <c r="P27" i="5"/>
  <c r="F22" i="104"/>
  <c r="V26" i="99"/>
  <c r="V32" i="99"/>
  <c r="V50" i="99"/>
  <c r="V47" i="99"/>
  <c r="V45" i="99"/>
  <c r="V27" i="99"/>
  <c r="V23" i="99"/>
  <c r="V36" i="99"/>
  <c r="V28" i="99"/>
  <c r="V24" i="99"/>
  <c r="V38" i="99"/>
  <c r="V30" i="99"/>
  <c r="V41" i="99"/>
  <c r="V18" i="99"/>
  <c r="V16" i="99"/>
  <c r="V20" i="99"/>
  <c r="T18" i="99"/>
  <c r="V37" i="99"/>
  <c r="V21" i="99"/>
  <c r="Z12" i="99"/>
  <c r="V43" i="99"/>
  <c r="V35" i="99"/>
  <c r="V22" i="99"/>
  <c r="V29" i="99"/>
  <c r="V39" i="99"/>
  <c r="V31" i="99"/>
  <c r="V33" i="99"/>
  <c r="V25" i="99"/>
  <c r="V34" i="99"/>
  <c r="J68" i="95"/>
  <c r="J64" i="95"/>
  <c r="J44" i="95"/>
  <c r="J36" i="95"/>
  <c r="N12" i="95"/>
  <c r="J55" i="95"/>
  <c r="J45" i="95"/>
  <c r="J31" i="95"/>
  <c r="J27" i="95"/>
  <c r="J56" i="95"/>
  <c r="J46" i="95"/>
  <c r="J32" i="95"/>
  <c r="J18" i="95"/>
  <c r="J69" i="95"/>
  <c r="J65" i="95"/>
  <c r="J57" i="95"/>
  <c r="J47" i="95"/>
  <c r="J37" i="95"/>
  <c r="J33" i="95"/>
  <c r="J23" i="95"/>
  <c r="J70" i="95"/>
  <c r="J58" i="95"/>
  <c r="J48" i="95"/>
  <c r="J71" i="95"/>
  <c r="J72" i="95"/>
  <c r="J66" i="95"/>
  <c r="J60" i="95"/>
  <c r="J50" i="95"/>
  <c r="J38" i="95"/>
  <c r="J34" i="95"/>
  <c r="J73" i="95"/>
  <c r="J61" i="95"/>
  <c r="J51" i="95"/>
  <c r="J39" i="95"/>
  <c r="J29" i="95"/>
  <c r="J25" i="95"/>
  <c r="J62" i="95"/>
  <c r="J52" i="95"/>
  <c r="J40" i="95"/>
  <c r="J54" i="95"/>
  <c r="J42" i="95"/>
  <c r="J30" i="95"/>
  <c r="J26" i="95"/>
  <c r="J63" i="95"/>
  <c r="J49" i="95"/>
  <c r="J22" i="95"/>
  <c r="J67" i="95"/>
  <c r="J79" i="95"/>
  <c r="J43" i="95"/>
  <c r="J16" i="95"/>
  <c r="J41" i="95"/>
  <c r="J53" i="95"/>
  <c r="J17" i="95"/>
  <c r="J28" i="95"/>
  <c r="J35" i="95"/>
  <c r="J24" i="95"/>
  <c r="J75" i="95"/>
  <c r="H20" i="95"/>
  <c r="J59" i="95"/>
  <c r="R70" i="95"/>
  <c r="R69" i="95"/>
  <c r="R65" i="95"/>
  <c r="R58" i="95"/>
  <c r="R57" i="95"/>
  <c r="R37" i="95"/>
  <c r="R33" i="95"/>
  <c r="R22" i="95"/>
  <c r="R49" i="95"/>
  <c r="R48" i="95"/>
  <c r="R28" i="95"/>
  <c r="R24" i="95"/>
  <c r="R72" i="95"/>
  <c r="R71" i="95"/>
  <c r="R60" i="95"/>
  <c r="R59" i="95"/>
  <c r="R66" i="95"/>
  <c r="R51" i="95"/>
  <c r="R50" i="95"/>
  <c r="R39" i="95"/>
  <c r="R38" i="95"/>
  <c r="R34" i="95"/>
  <c r="R73" i="95"/>
  <c r="R62" i="95"/>
  <c r="R61" i="95"/>
  <c r="R75" i="95"/>
  <c r="R67" i="95"/>
  <c r="R63" i="95"/>
  <c r="R35" i="95"/>
  <c r="R16" i="95"/>
  <c r="R54" i="95"/>
  <c r="R43" i="95"/>
  <c r="R42" i="95"/>
  <c r="R30" i="95"/>
  <c r="R26" i="95"/>
  <c r="R79" i="95"/>
  <c r="R56" i="95"/>
  <c r="R55" i="95"/>
  <c r="R32" i="95"/>
  <c r="R31" i="95"/>
  <c r="R27" i="95"/>
  <c r="R40" i="95"/>
  <c r="R47" i="95"/>
  <c r="R45" i="95"/>
  <c r="R36" i="95"/>
  <c r="R18" i="95"/>
  <c r="R41" i="95"/>
  <c r="R25" i="95"/>
  <c r="R23" i="95"/>
  <c r="R64" i="95"/>
  <c r="R52" i="95"/>
  <c r="R29" i="95"/>
  <c r="R53" i="95"/>
  <c r="P20" i="95"/>
  <c r="R20" i="95" s="1"/>
  <c r="R17" i="95"/>
  <c r="R68" i="95"/>
  <c r="R46" i="95"/>
  <c r="R44" i="95"/>
  <c r="X12" i="95"/>
  <c r="Z12" i="95" s="1"/>
  <c r="T75" i="81"/>
  <c r="Z16" i="82"/>
  <c r="T22" i="82"/>
  <c r="D73" i="76"/>
  <c r="V54" i="77"/>
  <c r="V72" i="73"/>
  <c r="V48" i="73"/>
  <c r="V40" i="73"/>
  <c r="Z12" i="73"/>
  <c r="V71" i="73"/>
  <c r="V67" i="73"/>
  <c r="V59" i="73"/>
  <c r="V51" i="73"/>
  <c r="V35" i="73"/>
  <c r="V31" i="73"/>
  <c r="V74" i="73"/>
  <c r="V50" i="73"/>
  <c r="V22" i="73"/>
  <c r="V73" i="73"/>
  <c r="V61" i="73"/>
  <c r="V53" i="73"/>
  <c r="V41" i="73"/>
  <c r="V37" i="73"/>
  <c r="V68" i="73"/>
  <c r="V60" i="73"/>
  <c r="V52" i="73"/>
  <c r="V36" i="73"/>
  <c r="V32" i="73"/>
  <c r="V28" i="73"/>
  <c r="V77" i="73"/>
  <c r="V75" i="73"/>
  <c r="V63" i="73"/>
  <c r="V55" i="73"/>
  <c r="V43" i="73"/>
  <c r="V27" i="73"/>
  <c r="V25" i="73"/>
  <c r="V23" i="73"/>
  <c r="V62" i="73"/>
  <c r="V54" i="73"/>
  <c r="V42" i="73"/>
  <c r="V38" i="73"/>
  <c r="T25" i="73"/>
  <c r="V69" i="73"/>
  <c r="V65" i="73"/>
  <c r="V57" i="73"/>
  <c r="V45" i="73"/>
  <c r="V33" i="73"/>
  <c r="V29" i="73"/>
  <c r="V64" i="73"/>
  <c r="V56" i="73"/>
  <c r="V44" i="73"/>
  <c r="V81" i="73"/>
  <c r="V47" i="73"/>
  <c r="V39" i="73"/>
  <c r="V66" i="73"/>
  <c r="V21" i="73"/>
  <c r="V70" i="73"/>
  <c r="V30" i="73"/>
  <c r="V46" i="73"/>
  <c r="V34" i="73"/>
  <c r="V49" i="73"/>
  <c r="V58" i="73"/>
  <c r="P79" i="73"/>
  <c r="T117" i="71"/>
  <c r="H69" i="70"/>
  <c r="T51" i="61"/>
  <c r="Z16" i="61"/>
  <c r="H49" i="60"/>
  <c r="N16" i="60"/>
  <c r="L16" i="61"/>
  <c r="D51" i="61"/>
  <c r="Z62" i="59"/>
  <c r="T66" i="59"/>
  <c r="N16" i="55"/>
  <c r="H33" i="55"/>
  <c r="D70" i="57"/>
  <c r="X114" i="42"/>
  <c r="Z114" i="42" s="1"/>
  <c r="D285" i="18"/>
  <c r="L183" i="18"/>
  <c r="P285" i="18"/>
  <c r="R183" i="18"/>
  <c r="F260" i="15"/>
  <c r="F255" i="15"/>
  <c r="F242" i="15"/>
  <c r="F234" i="15"/>
  <c r="F230" i="15"/>
  <c r="F218" i="15"/>
  <c r="F202" i="15"/>
  <c r="F201" i="15"/>
  <c r="F154" i="15"/>
  <c r="F150" i="15"/>
  <c r="F146" i="15"/>
  <c r="F142" i="15"/>
  <c r="F138" i="15"/>
  <c r="F134" i="15"/>
  <c r="F130" i="15"/>
  <c r="F126" i="15"/>
  <c r="F122" i="15"/>
  <c r="F118" i="15"/>
  <c r="F114" i="15"/>
  <c r="F110" i="15"/>
  <c r="F254" i="15"/>
  <c r="F225" i="15"/>
  <c r="F224" i="15"/>
  <c r="F213" i="15"/>
  <c r="F193" i="15"/>
  <c r="F192" i="15"/>
  <c r="F185" i="15"/>
  <c r="F184" i="15"/>
  <c r="F177" i="15"/>
  <c r="F173" i="15"/>
  <c r="F252" i="15"/>
  <c r="F243" i="15"/>
  <c r="F231" i="15"/>
  <c r="F195" i="15"/>
  <c r="F194" i="15"/>
  <c r="F187" i="15"/>
  <c r="F186" i="15"/>
  <c r="F155" i="15"/>
  <c r="F151" i="15"/>
  <c r="F147" i="15"/>
  <c r="F143" i="15"/>
  <c r="F139" i="15"/>
  <c r="F135" i="15"/>
  <c r="F131" i="15"/>
  <c r="F127" i="15"/>
  <c r="F123" i="15"/>
  <c r="F119" i="15"/>
  <c r="F115" i="15"/>
  <c r="F111" i="15"/>
  <c r="F107" i="15"/>
  <c r="F106" i="15"/>
  <c r="F251" i="15"/>
  <c r="F226" i="15"/>
  <c r="F214" i="15"/>
  <c r="F206" i="15"/>
  <c r="F205" i="15"/>
  <c r="F178" i="15"/>
  <c r="F174" i="15"/>
  <c r="F249" i="15"/>
  <c r="F232" i="15"/>
  <c r="F228" i="15"/>
  <c r="F227" i="15"/>
  <c r="F216" i="15"/>
  <c r="F215" i="15"/>
  <c r="F208" i="15"/>
  <c r="F207" i="15"/>
  <c r="F188" i="15"/>
  <c r="F180" i="15"/>
  <c r="F179" i="15"/>
  <c r="F156" i="15"/>
  <c r="F152" i="15"/>
  <c r="F148" i="15"/>
  <c r="F144" i="15"/>
  <c r="F140" i="15"/>
  <c r="F136" i="15"/>
  <c r="F132" i="15"/>
  <c r="F128" i="15"/>
  <c r="F124" i="15"/>
  <c r="F120" i="15"/>
  <c r="F116" i="15"/>
  <c r="F112" i="15"/>
  <c r="F108" i="15"/>
  <c r="F248" i="15"/>
  <c r="F239" i="15"/>
  <c r="F238" i="15"/>
  <c r="F199" i="15"/>
  <c r="F198" i="15"/>
  <c r="F175" i="15"/>
  <c r="F241" i="15"/>
  <c r="F240" i="15"/>
  <c r="F233" i="15"/>
  <c r="F229" i="15"/>
  <c r="F217" i="15"/>
  <c r="F160" i="15"/>
  <c r="F158" i="15"/>
  <c r="F153" i="15"/>
  <c r="F149" i="15"/>
  <c r="F145" i="15"/>
  <c r="F141" i="15"/>
  <c r="F137" i="15"/>
  <c r="F133" i="15"/>
  <c r="F129" i="15"/>
  <c r="F125" i="15"/>
  <c r="F121" i="15"/>
  <c r="F117" i="15"/>
  <c r="F113" i="15"/>
  <c r="F109" i="15"/>
  <c r="F212" i="15"/>
  <c r="F211" i="15"/>
  <c r="F200" i="15"/>
  <c r="F176" i="15"/>
  <c r="F172" i="15"/>
  <c r="F171" i="15"/>
  <c r="D158" i="15"/>
  <c r="F189" i="15"/>
  <c r="F250" i="15"/>
  <c r="F245" i="15"/>
  <c r="F204" i="15"/>
  <c r="F183" i="15"/>
  <c r="F167" i="15"/>
  <c r="F253" i="15"/>
  <c r="F181" i="15"/>
  <c r="F162" i="15"/>
  <c r="F256" i="15"/>
  <c r="F221" i="15"/>
  <c r="F169" i="15"/>
  <c r="F237" i="15"/>
  <c r="F219" i="15"/>
  <c r="F190" i="15"/>
  <c r="F164" i="15"/>
  <c r="F235" i="15"/>
  <c r="F223" i="15"/>
  <c r="F209" i="15"/>
  <c r="F196" i="15"/>
  <c r="F182" i="15"/>
  <c r="F166" i="15"/>
  <c r="F220" i="15"/>
  <c r="F168" i="15"/>
  <c r="F247" i="15"/>
  <c r="F244" i="15"/>
  <c r="F236" i="15"/>
  <c r="F210" i="15"/>
  <c r="F203" i="15"/>
  <c r="F197" i="15"/>
  <c r="F163" i="15"/>
  <c r="L12" i="15"/>
  <c r="F222" i="15"/>
  <c r="F170" i="15"/>
  <c r="F161" i="15"/>
  <c r="F191" i="15"/>
  <c r="F165" i="15"/>
  <c r="T27" i="111"/>
  <c r="Z18" i="111"/>
  <c r="H27" i="52"/>
  <c r="N18" i="52"/>
  <c r="D27" i="47"/>
  <c r="L18" i="47"/>
  <c r="H27" i="35"/>
  <c r="N18" i="35"/>
  <c r="T27" i="31"/>
  <c r="Z18" i="31"/>
  <c r="T27" i="34"/>
  <c r="Z18" i="34"/>
  <c r="L18" i="32"/>
  <c r="D27" i="32"/>
  <c r="T27" i="22"/>
  <c r="Z18" i="22"/>
  <c r="L18" i="22"/>
  <c r="D27" i="22"/>
  <c r="X18" i="28"/>
  <c r="P27" i="28"/>
  <c r="H27" i="16"/>
  <c r="N18" i="16"/>
  <c r="H27" i="19"/>
  <c r="N18" i="19"/>
  <c r="H27" i="10"/>
  <c r="N18" i="10"/>
  <c r="P27" i="20"/>
  <c r="X18" i="20"/>
  <c r="L18" i="14"/>
  <c r="D27" i="14"/>
  <c r="H27" i="13"/>
  <c r="N18" i="13"/>
  <c r="N17" i="100"/>
  <c r="H43" i="100"/>
  <c r="P133" i="24"/>
  <c r="L18" i="53"/>
  <c r="D27" i="53"/>
  <c r="X18" i="50"/>
  <c r="P27" i="50"/>
  <c r="L18" i="38"/>
  <c r="D27" i="38"/>
  <c r="L18" i="26"/>
  <c r="D27" i="26"/>
  <c r="X18" i="26"/>
  <c r="P27" i="26"/>
  <c r="T27" i="13"/>
  <c r="Z18" i="13"/>
  <c r="H27" i="5"/>
  <c r="N18" i="5"/>
  <c r="L18" i="4"/>
  <c r="D27" i="4"/>
  <c r="J65" i="110"/>
  <c r="Z65" i="110"/>
  <c r="D69" i="110"/>
  <c r="L17" i="110"/>
  <c r="N17" i="110" s="1"/>
  <c r="J75" i="106"/>
  <c r="J71" i="106"/>
  <c r="J49" i="106"/>
  <c r="J39" i="106"/>
  <c r="J35" i="106"/>
  <c r="J76" i="106"/>
  <c r="J66" i="106"/>
  <c r="J50" i="106"/>
  <c r="J30" i="106"/>
  <c r="J26" i="106"/>
  <c r="J77" i="106"/>
  <c r="J67" i="106"/>
  <c r="J61" i="106"/>
  <c r="J51" i="106"/>
  <c r="J78" i="106"/>
  <c r="J72" i="106"/>
  <c r="J68" i="106"/>
  <c r="J52" i="106"/>
  <c r="J40" i="106"/>
  <c r="J36" i="106"/>
  <c r="N12" i="106"/>
  <c r="J79" i="106"/>
  <c r="J53" i="106"/>
  <c r="J41" i="106"/>
  <c r="J31" i="106"/>
  <c r="J27" i="106"/>
  <c r="J17" i="106"/>
  <c r="J80" i="106"/>
  <c r="J62" i="106"/>
  <c r="J54" i="106"/>
  <c r="J42" i="106"/>
  <c r="J81" i="106"/>
  <c r="J73" i="106"/>
  <c r="J69" i="106"/>
  <c r="J63" i="106"/>
  <c r="J55" i="106"/>
  <c r="J43" i="106"/>
  <c r="J37" i="106"/>
  <c r="J64" i="106"/>
  <c r="J56" i="106"/>
  <c r="J44" i="106"/>
  <c r="J32" i="106"/>
  <c r="J28" i="106"/>
  <c r="J83" i="106"/>
  <c r="J57" i="106"/>
  <c r="J45" i="106"/>
  <c r="J19" i="106"/>
  <c r="J87" i="106"/>
  <c r="J65" i="106"/>
  <c r="J59" i="106"/>
  <c r="J47" i="106"/>
  <c r="J33" i="106"/>
  <c r="J29" i="106"/>
  <c r="J25" i="106"/>
  <c r="J23" i="106"/>
  <c r="J21" i="106"/>
  <c r="J74" i="106"/>
  <c r="J24" i="106"/>
  <c r="H21" i="106"/>
  <c r="J18" i="106"/>
  <c r="J46" i="106"/>
  <c r="J34" i="106"/>
  <c r="J48" i="106"/>
  <c r="J60" i="106"/>
  <c r="J70" i="106"/>
  <c r="J38" i="106"/>
  <c r="J58" i="106"/>
  <c r="X20" i="96"/>
  <c r="Z20" i="96" s="1"/>
  <c r="P87" i="96"/>
  <c r="D80" i="89"/>
  <c r="Z57" i="79"/>
  <c r="J63" i="76"/>
  <c r="J42" i="76"/>
  <c r="J66" i="76"/>
  <c r="J56" i="76"/>
  <c r="J49" i="76"/>
  <c r="J37" i="76"/>
  <c r="J33" i="76"/>
  <c r="J67" i="76"/>
  <c r="J62" i="76"/>
  <c r="J50" i="76"/>
  <c r="J43" i="76"/>
  <c r="J68" i="76"/>
  <c r="J57" i="76"/>
  <c r="J51" i="76"/>
  <c r="J38" i="76"/>
  <c r="J34" i="76"/>
  <c r="J71" i="76"/>
  <c r="J58" i="76"/>
  <c r="J52" i="76"/>
  <c r="J44" i="76"/>
  <c r="N12" i="76"/>
  <c r="J70" i="76"/>
  <c r="J59" i="76"/>
  <c r="J53" i="76"/>
  <c r="J45" i="76"/>
  <c r="J39" i="76"/>
  <c r="J35" i="76"/>
  <c r="J46" i="76"/>
  <c r="J40" i="76"/>
  <c r="J64" i="76"/>
  <c r="J60" i="76"/>
  <c r="J54" i="76"/>
  <c r="J47" i="76"/>
  <c r="J41" i="76"/>
  <c r="J31" i="76"/>
  <c r="H28" i="76"/>
  <c r="J61" i="76"/>
  <c r="J36" i="76"/>
  <c r="J48" i="76"/>
  <c r="J65" i="76"/>
  <c r="J26" i="76"/>
  <c r="J75" i="76"/>
  <c r="J30" i="76"/>
  <c r="J32" i="76"/>
  <c r="J55" i="76"/>
  <c r="Z107" i="75"/>
  <c r="R61" i="79"/>
  <c r="R60" i="79"/>
  <c r="R54" i="79"/>
  <c r="R53" i="79"/>
  <c r="R45" i="79"/>
  <c r="R37" i="79"/>
  <c r="R18" i="79"/>
  <c r="R66" i="79"/>
  <c r="R59" i="79"/>
  <c r="R32" i="79"/>
  <c r="R58" i="79"/>
  <c r="R55" i="79"/>
  <c r="R28" i="79"/>
  <c r="R23" i="79"/>
  <c r="R19" i="79"/>
  <c r="R57" i="79"/>
  <c r="R47" i="79"/>
  <c r="R46" i="79"/>
  <c r="R38" i="79"/>
  <c r="R49" i="79"/>
  <c r="R48" i="79"/>
  <c r="R20" i="79"/>
  <c r="R51" i="79"/>
  <c r="R50" i="79"/>
  <c r="R34" i="79"/>
  <c r="R30" i="79"/>
  <c r="R52" i="79"/>
  <c r="X12" i="79"/>
  <c r="Z12" i="79" s="1"/>
  <c r="R62" i="79"/>
  <c r="R44" i="79"/>
  <c r="R42" i="79"/>
  <c r="R21" i="79"/>
  <c r="R35" i="79"/>
  <c r="R31" i="79"/>
  <c r="R40" i="79"/>
  <c r="R33" i="79"/>
  <c r="R29" i="79"/>
  <c r="P25" i="79"/>
  <c r="R43" i="79"/>
  <c r="R36" i="79"/>
  <c r="R22" i="79"/>
  <c r="R41" i="79"/>
  <c r="R27" i="79"/>
  <c r="R39" i="79"/>
  <c r="H87" i="74"/>
  <c r="X20" i="70"/>
  <c r="Z20" i="70" s="1"/>
  <c r="P69" i="70"/>
  <c r="P61" i="68"/>
  <c r="X16" i="68"/>
  <c r="N16" i="56"/>
  <c r="H73" i="56"/>
  <c r="H51" i="61"/>
  <c r="N16" i="61"/>
  <c r="R91" i="51"/>
  <c r="R90" i="51"/>
  <c r="R70" i="51"/>
  <c r="R68" i="51"/>
  <c r="X12" i="51"/>
  <c r="Z12" i="51" s="1"/>
  <c r="R59" i="51"/>
  <c r="R86" i="51"/>
  <c r="R85" i="51"/>
  <c r="R80" i="51"/>
  <c r="R79" i="51"/>
  <c r="R74" i="51"/>
  <c r="R73" i="51"/>
  <c r="R103" i="51"/>
  <c r="R96" i="51"/>
  <c r="R67" i="51"/>
  <c r="R63" i="51"/>
  <c r="R98" i="51"/>
  <c r="R82" i="51"/>
  <c r="R76" i="51"/>
  <c r="R60" i="51"/>
  <c r="P54" i="51"/>
  <c r="R43" i="51"/>
  <c r="R99" i="51"/>
  <c r="R92" i="51"/>
  <c r="R93" i="51"/>
  <c r="R64" i="51"/>
  <c r="R57" i="51"/>
  <c r="R50" i="51"/>
  <c r="R88" i="51"/>
  <c r="R83" i="51"/>
  <c r="R77" i="51"/>
  <c r="R71" i="51"/>
  <c r="R84" i="51"/>
  <c r="R78" i="51"/>
  <c r="R72" i="51"/>
  <c r="R65" i="51"/>
  <c r="R58" i="51"/>
  <c r="R51" i="51"/>
  <c r="R41" i="51"/>
  <c r="R38" i="51"/>
  <c r="R94" i="51"/>
  <c r="R69" i="51"/>
  <c r="R62" i="51"/>
  <c r="R48" i="51"/>
  <c r="R45" i="51"/>
  <c r="R49" i="51"/>
  <c r="R39" i="51"/>
  <c r="R81" i="51"/>
  <c r="R56" i="51"/>
  <c r="R87" i="51"/>
  <c r="R61" i="51"/>
  <c r="R52" i="51"/>
  <c r="R46" i="51"/>
  <c r="R89" i="51"/>
  <c r="R44" i="51"/>
  <c r="R40" i="51"/>
  <c r="R97" i="51"/>
  <c r="R42" i="51"/>
  <c r="R75" i="51"/>
  <c r="R66" i="51"/>
  <c r="R54" i="51"/>
  <c r="R47" i="51"/>
  <c r="J124" i="36"/>
  <c r="J118" i="36"/>
  <c r="J108" i="36"/>
  <c r="J102" i="36"/>
  <c r="J98" i="36"/>
  <c r="J76" i="36"/>
  <c r="J66" i="36"/>
  <c r="J58" i="36"/>
  <c r="J117" i="36"/>
  <c r="J109" i="36"/>
  <c r="J85" i="36"/>
  <c r="J77" i="36"/>
  <c r="J67" i="36"/>
  <c r="J49" i="36"/>
  <c r="J45" i="36"/>
  <c r="J110" i="36"/>
  <c r="J92" i="36"/>
  <c r="J86" i="36"/>
  <c r="J78" i="36"/>
  <c r="J68" i="36"/>
  <c r="J40" i="36"/>
  <c r="J36" i="36"/>
  <c r="J26" i="36"/>
  <c r="J111" i="36"/>
  <c r="J103" i="36"/>
  <c r="J99" i="36"/>
  <c r="J80" i="36"/>
  <c r="J70" i="36"/>
  <c r="J50" i="36"/>
  <c r="J46" i="36"/>
  <c r="J93" i="36"/>
  <c r="J81" i="36"/>
  <c r="J51" i="36"/>
  <c r="J41" i="36"/>
  <c r="J37" i="36"/>
  <c r="J112" i="36"/>
  <c r="J104" i="36"/>
  <c r="J100" i="36"/>
  <c r="J88" i="36"/>
  <c r="J82" i="36"/>
  <c r="J60" i="36"/>
  <c r="J52" i="36"/>
  <c r="J28" i="36"/>
  <c r="J89" i="36"/>
  <c r="J83" i="36"/>
  <c r="J71" i="36"/>
  <c r="J61" i="36"/>
  <c r="J53" i="36"/>
  <c r="J47" i="36"/>
  <c r="J33" i="36"/>
  <c r="J94" i="36"/>
  <c r="J90" i="36"/>
  <c r="J113" i="36"/>
  <c r="J105" i="36"/>
  <c r="J101" i="36"/>
  <c r="J95" i="36"/>
  <c r="J73" i="36"/>
  <c r="J63" i="36"/>
  <c r="J55" i="36"/>
  <c r="J43" i="36"/>
  <c r="H30" i="36"/>
  <c r="J30" i="36" s="1"/>
  <c r="J120" i="36"/>
  <c r="J114" i="36"/>
  <c r="J106" i="36"/>
  <c r="J96" i="36"/>
  <c r="J84" i="36"/>
  <c r="J74" i="36"/>
  <c r="J64" i="36"/>
  <c r="J56" i="36"/>
  <c r="J48" i="36"/>
  <c r="J44" i="36"/>
  <c r="J119" i="36"/>
  <c r="J115" i="36"/>
  <c r="J107" i="36"/>
  <c r="J97" i="36"/>
  <c r="J91" i="36"/>
  <c r="J75" i="36"/>
  <c r="J65" i="36"/>
  <c r="J57" i="36"/>
  <c r="J39" i="36"/>
  <c r="J35" i="36"/>
  <c r="J72" i="36"/>
  <c r="J62" i="36"/>
  <c r="N12" i="36"/>
  <c r="J38" i="36"/>
  <c r="J69" i="36"/>
  <c r="J59" i="36"/>
  <c r="J42" i="36"/>
  <c r="J87" i="36"/>
  <c r="J32" i="36"/>
  <c r="J79" i="36"/>
  <c r="J54" i="36"/>
  <c r="J34" i="36"/>
  <c r="J27" i="36"/>
  <c r="T91" i="33"/>
  <c r="J140" i="30"/>
  <c r="J132" i="30"/>
  <c r="J120" i="30"/>
  <c r="J114" i="30"/>
  <c r="J94" i="30"/>
  <c r="J80" i="30"/>
  <c r="J76" i="30"/>
  <c r="J127" i="30"/>
  <c r="J121" i="30"/>
  <c r="J115" i="30"/>
  <c r="J103" i="30"/>
  <c r="J95" i="30"/>
  <c r="J81" i="30"/>
  <c r="J67" i="30"/>
  <c r="J63" i="30"/>
  <c r="J59" i="30"/>
  <c r="J55" i="30"/>
  <c r="J51" i="30"/>
  <c r="J47" i="30"/>
  <c r="J128" i="30"/>
  <c r="J122" i="30"/>
  <c r="J104" i="30"/>
  <c r="J86" i="30"/>
  <c r="J82" i="30"/>
  <c r="J72" i="30"/>
  <c r="J141" i="30"/>
  <c r="J133" i="30"/>
  <c r="J129" i="30"/>
  <c r="J105" i="30"/>
  <c r="J77" i="30"/>
  <c r="J73" i="30"/>
  <c r="J71" i="30"/>
  <c r="J69" i="30"/>
  <c r="J142" i="30"/>
  <c r="J116" i="30"/>
  <c r="J106" i="30"/>
  <c r="J96" i="30"/>
  <c r="H69" i="30"/>
  <c r="J64" i="30"/>
  <c r="J60" i="30"/>
  <c r="J56" i="30"/>
  <c r="J52" i="30"/>
  <c r="J48" i="30"/>
  <c r="J143" i="30"/>
  <c r="J123" i="30"/>
  <c r="J107" i="30"/>
  <c r="J97" i="30"/>
  <c r="J87" i="30"/>
  <c r="J83" i="30"/>
  <c r="J146" i="30"/>
  <c r="J134" i="30"/>
  <c r="J130" i="30"/>
  <c r="J108" i="30"/>
  <c r="J98" i="30"/>
  <c r="J88" i="30"/>
  <c r="J78" i="30"/>
  <c r="J74" i="30"/>
  <c r="J145" i="30"/>
  <c r="J135" i="30"/>
  <c r="J117" i="30"/>
  <c r="J109" i="30"/>
  <c r="J99" i="30"/>
  <c r="J89" i="30"/>
  <c r="J65" i="30"/>
  <c r="J61" i="30"/>
  <c r="J57" i="30"/>
  <c r="J53" i="30"/>
  <c r="J49" i="30"/>
  <c r="J45" i="30"/>
  <c r="J150" i="30"/>
  <c r="J136" i="30"/>
  <c r="J124" i="30"/>
  <c r="J118" i="30"/>
  <c r="J110" i="30"/>
  <c r="J100" i="30"/>
  <c r="J90" i="30"/>
  <c r="J84" i="30"/>
  <c r="N12" i="30"/>
  <c r="J137" i="30"/>
  <c r="J131" i="30"/>
  <c r="J125" i="30"/>
  <c r="J119" i="30"/>
  <c r="J111" i="30"/>
  <c r="J101" i="30"/>
  <c r="J91" i="30"/>
  <c r="J79" i="30"/>
  <c r="J75" i="30"/>
  <c r="J138" i="30"/>
  <c r="J126" i="30"/>
  <c r="J112" i="30"/>
  <c r="J102" i="30"/>
  <c r="J92" i="30"/>
  <c r="J66" i="30"/>
  <c r="J62" i="30"/>
  <c r="J58" i="30"/>
  <c r="J54" i="30"/>
  <c r="J50" i="30"/>
  <c r="J46" i="30"/>
  <c r="J139" i="30"/>
  <c r="J113" i="30"/>
  <c r="J93" i="30"/>
  <c r="J85" i="30"/>
  <c r="J44" i="30"/>
  <c r="P91" i="33"/>
  <c r="X37" i="33"/>
  <c r="Z37" i="33" s="1"/>
  <c r="J77" i="24"/>
  <c r="H133" i="24"/>
  <c r="Z113" i="27"/>
  <c r="P118" i="27"/>
  <c r="X60" i="27"/>
  <c r="Z60" i="27" s="1"/>
  <c r="R60" i="27"/>
  <c r="T103" i="21"/>
  <c r="J98" i="21"/>
  <c r="J86" i="21"/>
  <c r="J80" i="21"/>
  <c r="J62" i="21"/>
  <c r="J52" i="21"/>
  <c r="J99" i="21"/>
  <c r="J91" i="21"/>
  <c r="J87" i="21"/>
  <c r="J63" i="21"/>
  <c r="J53" i="21"/>
  <c r="J101" i="21"/>
  <c r="J81" i="21"/>
  <c r="J65" i="21"/>
  <c r="J45" i="21"/>
  <c r="J41" i="21"/>
  <c r="J92" i="21"/>
  <c r="J88" i="21"/>
  <c r="J66" i="21"/>
  <c r="J82" i="21"/>
  <c r="J76" i="21"/>
  <c r="J68" i="21"/>
  <c r="J93" i="21"/>
  <c r="J89" i="21"/>
  <c r="J95" i="21"/>
  <c r="J79" i="21"/>
  <c r="J71" i="21"/>
  <c r="J59" i="21"/>
  <c r="J49" i="21"/>
  <c r="J43" i="21"/>
  <c r="N12" i="21"/>
  <c r="J77" i="21"/>
  <c r="J56" i="21"/>
  <c r="J39" i="21"/>
  <c r="J35" i="21"/>
  <c r="L12" i="21"/>
  <c r="J40" i="21"/>
  <c r="J26" i="21"/>
  <c r="J97" i="21"/>
  <c r="J74" i="21"/>
  <c r="J60" i="21"/>
  <c r="J50" i="21"/>
  <c r="J46" i="21"/>
  <c r="J31" i="21"/>
  <c r="J69" i="21"/>
  <c r="J57" i="21"/>
  <c r="J36" i="21"/>
  <c r="J32" i="21"/>
  <c r="J30" i="21"/>
  <c r="J28" i="21"/>
  <c r="J105" i="21"/>
  <c r="J84" i="21"/>
  <c r="J78" i="21"/>
  <c r="J72" i="21"/>
  <c r="J64" i="21"/>
  <c r="J44" i="21"/>
  <c r="H28" i="21"/>
  <c r="J51" i="21"/>
  <c r="J75" i="21"/>
  <c r="J47" i="21"/>
  <c r="J37" i="21"/>
  <c r="J33" i="21"/>
  <c r="J70" i="21"/>
  <c r="J61" i="21"/>
  <c r="J58" i="21"/>
  <c r="J54" i="21"/>
  <c r="J96" i="21"/>
  <c r="J42" i="21"/>
  <c r="J94" i="21"/>
  <c r="J67" i="21"/>
  <c r="J48" i="21"/>
  <c r="J38" i="21"/>
  <c r="J34" i="21"/>
  <c r="J24" i="21"/>
  <c r="J25" i="21"/>
  <c r="J83" i="21"/>
  <c r="J90" i="21"/>
  <c r="J85" i="21"/>
  <c r="J55" i="21"/>
  <c r="J73" i="21"/>
  <c r="N255" i="12"/>
  <c r="H266" i="12"/>
  <c r="D90" i="9"/>
  <c r="L16" i="9"/>
  <c r="J295" i="3"/>
  <c r="J285" i="3"/>
  <c r="J279" i="3"/>
  <c r="J275" i="3"/>
  <c r="J263" i="3"/>
  <c r="J247" i="3"/>
  <c r="J239" i="3"/>
  <c r="J229" i="3"/>
  <c r="J215" i="3"/>
  <c r="J211" i="3"/>
  <c r="J190" i="3"/>
  <c r="J178" i="3"/>
  <c r="J170" i="3"/>
  <c r="J154" i="3"/>
  <c r="J138" i="3"/>
  <c r="J306" i="3"/>
  <c r="J294" i="3"/>
  <c r="J286" i="3"/>
  <c r="J264" i="3"/>
  <c r="J258" i="3"/>
  <c r="J248" i="3"/>
  <c r="J230" i="3"/>
  <c r="J222" i="3"/>
  <c r="J206" i="3"/>
  <c r="J202" i="3"/>
  <c r="J136" i="3"/>
  <c r="J174" i="3"/>
  <c r="J296" i="3"/>
  <c r="J305" i="3"/>
  <c r="J287" i="3"/>
  <c r="J269" i="3"/>
  <c r="J265" i="3"/>
  <c r="J249" i="3"/>
  <c r="J223" i="3"/>
  <c r="J193" i="3"/>
  <c r="J189" i="3"/>
  <c r="J185" i="3"/>
  <c r="J181" i="3"/>
  <c r="J177" i="3"/>
  <c r="J173" i="3"/>
  <c r="J169" i="3"/>
  <c r="J165" i="3"/>
  <c r="J161" i="3"/>
  <c r="J157" i="3"/>
  <c r="J153" i="3"/>
  <c r="J149" i="3"/>
  <c r="J145" i="3"/>
  <c r="J141" i="3"/>
  <c r="J137" i="3"/>
  <c r="J194" i="3"/>
  <c r="J166" i="3"/>
  <c r="J162" i="3"/>
  <c r="J158" i="3"/>
  <c r="J146" i="3"/>
  <c r="J310" i="3"/>
  <c r="J304" i="3"/>
  <c r="J288" i="3"/>
  <c r="J280" i="3"/>
  <c r="J276" i="3"/>
  <c r="J270" i="3"/>
  <c r="J250" i="3"/>
  <c r="J240" i="3"/>
  <c r="J224" i="3"/>
  <c r="J216" i="3"/>
  <c r="J212" i="3"/>
  <c r="N12" i="3"/>
  <c r="J142" i="3"/>
  <c r="J268" i="3"/>
  <c r="J303" i="3"/>
  <c r="J271" i="3"/>
  <c r="J259" i="3"/>
  <c r="J251" i="3"/>
  <c r="J241" i="3"/>
  <c r="J231" i="3"/>
  <c r="J225" i="3"/>
  <c r="J207" i="3"/>
  <c r="J203" i="3"/>
  <c r="J182" i="3"/>
  <c r="J150" i="3"/>
  <c r="J315" i="3"/>
  <c r="J314" i="3"/>
  <c r="J302" i="3"/>
  <c r="J266" i="3"/>
  <c r="J260" i="3"/>
  <c r="J252" i="3"/>
  <c r="J242" i="3"/>
  <c r="J232" i="3"/>
  <c r="J226" i="3"/>
  <c r="J186" i="3"/>
  <c r="J301" i="3"/>
  <c r="J289" i="3"/>
  <c r="J281" i="3"/>
  <c r="J277" i="3"/>
  <c r="J261" i="3"/>
  <c r="J253" i="3"/>
  <c r="J233" i="3"/>
  <c r="J217" i="3"/>
  <c r="J213" i="3"/>
  <c r="J284" i="3"/>
  <c r="J246" i="3"/>
  <c r="J300" i="3"/>
  <c r="J282" i="3"/>
  <c r="J272" i="3"/>
  <c r="J254" i="3"/>
  <c r="J234" i="3"/>
  <c r="J218" i="3"/>
  <c r="J208" i="3"/>
  <c r="J204" i="3"/>
  <c r="J292" i="3"/>
  <c r="J299" i="3"/>
  <c r="J283" i="3"/>
  <c r="J273" i="3"/>
  <c r="J267" i="3"/>
  <c r="J255" i="3"/>
  <c r="J243" i="3"/>
  <c r="J235" i="3"/>
  <c r="J227" i="3"/>
  <c r="J219" i="3"/>
  <c r="J195" i="3"/>
  <c r="J191" i="3"/>
  <c r="J187" i="3"/>
  <c r="J183" i="3"/>
  <c r="J179" i="3"/>
  <c r="J175" i="3"/>
  <c r="J171" i="3"/>
  <c r="J167" i="3"/>
  <c r="J163" i="3"/>
  <c r="J159" i="3"/>
  <c r="J155" i="3"/>
  <c r="J151" i="3"/>
  <c r="J147" i="3"/>
  <c r="J143" i="3"/>
  <c r="J139" i="3"/>
  <c r="J228" i="3"/>
  <c r="J298" i="3"/>
  <c r="J290" i="3"/>
  <c r="J278" i="3"/>
  <c r="J274" i="3"/>
  <c r="J262" i="3"/>
  <c r="J256" i="3"/>
  <c r="J244" i="3"/>
  <c r="J236" i="3"/>
  <c r="J220" i="3"/>
  <c r="J214" i="3"/>
  <c r="J200" i="3"/>
  <c r="J297" i="3"/>
  <c r="J291" i="3"/>
  <c r="J257" i="3"/>
  <c r="J245" i="3"/>
  <c r="J237" i="3"/>
  <c r="J221" i="3"/>
  <c r="J209" i="3"/>
  <c r="J205" i="3"/>
  <c r="J201" i="3"/>
  <c r="J199" i="3"/>
  <c r="J197" i="3"/>
  <c r="J238" i="3"/>
  <c r="J164" i="3"/>
  <c r="J156" i="3"/>
  <c r="J148" i="3"/>
  <c r="J184" i="3"/>
  <c r="J140" i="3"/>
  <c r="H197" i="3"/>
  <c r="L197" i="3" s="1"/>
  <c r="J176" i="3"/>
  <c r="J168" i="3"/>
  <c r="J160" i="3"/>
  <c r="J152" i="3"/>
  <c r="J188" i="3"/>
  <c r="J144" i="3"/>
  <c r="J180" i="3"/>
  <c r="J192" i="3"/>
  <c r="J210" i="3"/>
  <c r="J172" i="3"/>
  <c r="L18" i="112"/>
  <c r="D27" i="112"/>
  <c r="H27" i="111"/>
  <c r="N18" i="111"/>
  <c r="T27" i="113"/>
  <c r="Z18" i="113"/>
  <c r="L18" i="113"/>
  <c r="D27" i="113"/>
  <c r="H27" i="113"/>
  <c r="N18" i="113"/>
  <c r="T27" i="46"/>
  <c r="Z18" i="46"/>
  <c r="T27" i="35"/>
  <c r="Z18" i="35"/>
  <c r="X18" i="31"/>
  <c r="P27" i="31"/>
  <c r="X18" i="23"/>
  <c r="P27" i="23"/>
  <c r="P27" i="25"/>
  <c r="X18" i="25"/>
  <c r="T27" i="20"/>
  <c r="Z18" i="20"/>
  <c r="X18" i="16"/>
  <c r="P27" i="16"/>
  <c r="X18" i="14"/>
  <c r="P27" i="14"/>
  <c r="H27" i="14"/>
  <c r="N18" i="14"/>
  <c r="T27" i="8"/>
  <c r="Z18" i="8"/>
  <c r="X18" i="7"/>
  <c r="P27" i="7"/>
  <c r="H27" i="7"/>
  <c r="N18" i="7"/>
  <c r="F65" i="96"/>
  <c r="F85" i="96"/>
  <c r="F76" i="96"/>
  <c r="F72" i="96"/>
  <c r="F60" i="96"/>
  <c r="F40" i="96"/>
  <c r="F39" i="96"/>
  <c r="F89" i="96"/>
  <c r="F66" i="96"/>
  <c r="F42" i="96"/>
  <c r="F41" i="96"/>
  <c r="F30" i="96"/>
  <c r="F26" i="96"/>
  <c r="F77" i="96"/>
  <c r="F73" i="96"/>
  <c r="F61" i="96"/>
  <c r="F53" i="96"/>
  <c r="F52" i="96"/>
  <c r="F44" i="96"/>
  <c r="F43" i="96"/>
  <c r="F79" i="96"/>
  <c r="F78" i="96"/>
  <c r="F67" i="96"/>
  <c r="F63" i="96"/>
  <c r="F62" i="96"/>
  <c r="F55" i="96"/>
  <c r="F54" i="96"/>
  <c r="F31" i="96"/>
  <c r="F27" i="96"/>
  <c r="F81" i="96"/>
  <c r="F80" i="96"/>
  <c r="F69" i="96"/>
  <c r="F68" i="96"/>
  <c r="F57" i="96"/>
  <c r="F56" i="96"/>
  <c r="F37" i="96"/>
  <c r="F33" i="96"/>
  <c r="F32" i="96"/>
  <c r="F45" i="96"/>
  <c r="D20" i="96"/>
  <c r="F82" i="96"/>
  <c r="F74" i="96"/>
  <c r="F70" i="96"/>
  <c r="F48" i="96"/>
  <c r="F34" i="96"/>
  <c r="F22" i="96"/>
  <c r="F16" i="96"/>
  <c r="L12" i="96"/>
  <c r="N12" i="96" s="1"/>
  <c r="F23" i="96"/>
  <c r="F64" i="96"/>
  <c r="F46" i="96"/>
  <c r="F29" i="96"/>
  <c r="F17" i="96"/>
  <c r="F49" i="96"/>
  <c r="F24" i="96"/>
  <c r="F75" i="96"/>
  <c r="F71" i="96"/>
  <c r="F58" i="96"/>
  <c r="F35" i="96"/>
  <c r="F83" i="96"/>
  <c r="F50" i="96"/>
  <c r="F18" i="96"/>
  <c r="F47" i="96"/>
  <c r="F38" i="96"/>
  <c r="F59" i="96"/>
  <c r="F36" i="96"/>
  <c r="F28" i="96"/>
  <c r="F20" i="96"/>
  <c r="F25" i="96"/>
  <c r="F51" i="96"/>
  <c r="P87" i="74"/>
  <c r="R100" i="71"/>
  <c r="R56" i="71"/>
  <c r="R52" i="71"/>
  <c r="R48" i="71"/>
  <c r="R44" i="71"/>
  <c r="R92" i="71"/>
  <c r="R91" i="71"/>
  <c r="R75" i="71"/>
  <c r="R107" i="71"/>
  <c r="R106" i="71"/>
  <c r="R83" i="71"/>
  <c r="R82" i="71"/>
  <c r="R70" i="71"/>
  <c r="R66" i="71"/>
  <c r="R101" i="71"/>
  <c r="R94" i="71"/>
  <c r="R93" i="71"/>
  <c r="R62" i="71"/>
  <c r="R57" i="71"/>
  <c r="R53" i="71"/>
  <c r="R49" i="71"/>
  <c r="R45" i="71"/>
  <c r="R115" i="71"/>
  <c r="R109" i="71"/>
  <c r="R108" i="71"/>
  <c r="R85" i="71"/>
  <c r="R84" i="71"/>
  <c r="R76" i="71"/>
  <c r="R61" i="71"/>
  <c r="R41" i="71"/>
  <c r="X12" i="71"/>
  <c r="Z12" i="71" s="1"/>
  <c r="R114" i="71"/>
  <c r="R95" i="71"/>
  <c r="R113" i="71"/>
  <c r="R110" i="71"/>
  <c r="R102" i="71"/>
  <c r="R87" i="71"/>
  <c r="R86" i="71"/>
  <c r="R54" i="71"/>
  <c r="R50" i="71"/>
  <c r="R46" i="71"/>
  <c r="R42" i="71"/>
  <c r="R119" i="71"/>
  <c r="R112" i="71"/>
  <c r="R97" i="71"/>
  <c r="R96" i="71"/>
  <c r="R88" i="71"/>
  <c r="R68" i="71"/>
  <c r="R64" i="71"/>
  <c r="R104" i="71"/>
  <c r="R103" i="71"/>
  <c r="R80" i="71"/>
  <c r="R79" i="71"/>
  <c r="R55" i="71"/>
  <c r="R51" i="71"/>
  <c r="R47" i="71"/>
  <c r="R43" i="71"/>
  <c r="R90" i="71"/>
  <c r="R81" i="71"/>
  <c r="R73" i="71"/>
  <c r="R77" i="71"/>
  <c r="R63" i="71"/>
  <c r="R105" i="71"/>
  <c r="R98" i="71"/>
  <c r="R67" i="71"/>
  <c r="R65" i="71"/>
  <c r="R71" i="71"/>
  <c r="R69" i="71"/>
  <c r="R78" i="71"/>
  <c r="R74" i="71"/>
  <c r="P59" i="71"/>
  <c r="R72" i="71"/>
  <c r="R89" i="71"/>
  <c r="R99" i="71"/>
  <c r="D65" i="68"/>
  <c r="L61" i="68"/>
  <c r="H65" i="68"/>
  <c r="N61" i="68"/>
  <c r="H117" i="69"/>
  <c r="T49" i="60"/>
  <c r="Z16" i="60"/>
  <c r="D95" i="64"/>
  <c r="L16" i="64"/>
  <c r="P77" i="56"/>
  <c r="D40" i="55"/>
  <c r="D91" i="33"/>
  <c r="L37" i="33"/>
  <c r="N37" i="33" s="1"/>
  <c r="H118" i="27"/>
  <c r="F106" i="27"/>
  <c r="F105" i="27"/>
  <c r="F107" i="27"/>
  <c r="F114" i="27"/>
  <c r="F116" i="27"/>
  <c r="F111" i="27"/>
  <c r="F104" i="27"/>
  <c r="F101" i="27"/>
  <c r="F92" i="27"/>
  <c r="F91" i="27"/>
  <c r="F76" i="27"/>
  <c r="L12" i="27"/>
  <c r="N12" i="27" s="1"/>
  <c r="F83" i="27"/>
  <c r="F71" i="27"/>
  <c r="F67" i="27"/>
  <c r="F94" i="27"/>
  <c r="F93" i="27"/>
  <c r="F58" i="27"/>
  <c r="F54" i="27"/>
  <c r="F50" i="27"/>
  <c r="F46" i="27"/>
  <c r="F108" i="27"/>
  <c r="F102" i="27"/>
  <c r="F85" i="27"/>
  <c r="F84" i="27"/>
  <c r="F77" i="27"/>
  <c r="F96" i="27"/>
  <c r="F95" i="27"/>
  <c r="F72" i="27"/>
  <c r="F68" i="27"/>
  <c r="F64" i="27"/>
  <c r="F63" i="27"/>
  <c r="F87" i="27"/>
  <c r="F86" i="27"/>
  <c r="F62" i="27"/>
  <c r="F60" i="27"/>
  <c r="F55" i="27"/>
  <c r="F51" i="27"/>
  <c r="F47" i="27"/>
  <c r="F43" i="27"/>
  <c r="F42" i="27"/>
  <c r="F113" i="27"/>
  <c r="F109" i="27"/>
  <c r="F78" i="27"/>
  <c r="F74" i="27"/>
  <c r="F73" i="27"/>
  <c r="D60" i="27"/>
  <c r="F103" i="27"/>
  <c r="F97" i="27"/>
  <c r="F89" i="27"/>
  <c r="F88" i="27"/>
  <c r="F69" i="27"/>
  <c r="F65" i="27"/>
  <c r="F80" i="27"/>
  <c r="F79" i="27"/>
  <c r="F56" i="27"/>
  <c r="F52" i="27"/>
  <c r="F48" i="27"/>
  <c r="F44" i="27"/>
  <c r="F110" i="27"/>
  <c r="F99" i="27"/>
  <c r="F98" i="27"/>
  <c r="F75" i="27"/>
  <c r="F120" i="27"/>
  <c r="F90" i="27"/>
  <c r="F82" i="27"/>
  <c r="F81" i="27"/>
  <c r="F70" i="27"/>
  <c r="F66" i="27"/>
  <c r="F100" i="27"/>
  <c r="F49" i="27"/>
  <c r="F115" i="27"/>
  <c r="F57" i="27"/>
  <c r="F45" i="27"/>
  <c r="F53" i="27"/>
  <c r="L18" i="46"/>
  <c r="D27" i="46"/>
  <c r="X18" i="43"/>
  <c r="P27" i="43"/>
  <c r="N18" i="41"/>
  <c r="H27" i="41"/>
  <c r="L18" i="40"/>
  <c r="D27" i="40"/>
  <c r="T27" i="32"/>
  <c r="Z18" i="32"/>
  <c r="T27" i="28"/>
  <c r="Z18" i="28"/>
  <c r="H27" i="32"/>
  <c r="N18" i="32"/>
  <c r="H27" i="31"/>
  <c r="N18" i="31"/>
  <c r="N18" i="29"/>
  <c r="H27" i="29"/>
  <c r="L18" i="29"/>
  <c r="D27" i="29"/>
  <c r="H27" i="28"/>
  <c r="N18" i="28"/>
  <c r="X18" i="19"/>
  <c r="P27" i="19"/>
  <c r="Z18" i="17"/>
  <c r="T27" i="17"/>
  <c r="T27" i="5"/>
  <c r="Z18" i="5"/>
  <c r="P27" i="10"/>
  <c r="X18" i="10"/>
  <c r="H27" i="4"/>
  <c r="N18" i="4"/>
  <c r="F65" i="94"/>
  <c r="F58" i="94"/>
  <c r="F53" i="94"/>
  <c r="F52" i="94"/>
  <c r="F54" i="94"/>
  <c r="F17" i="94"/>
  <c r="F16" i="94"/>
  <c r="F69" i="94"/>
  <c r="F50" i="94"/>
  <c r="F44" i="94"/>
  <c r="F36" i="94"/>
  <c r="L12" i="94"/>
  <c r="N12" i="94" s="1"/>
  <c r="F64" i="94"/>
  <c r="F60" i="94"/>
  <c r="F45" i="94"/>
  <c r="F31" i="94"/>
  <c r="F27" i="94"/>
  <c r="F57" i="94"/>
  <c r="F18" i="94"/>
  <c r="F37" i="94"/>
  <c r="F33" i="94"/>
  <c r="F32" i="94"/>
  <c r="F61" i="94"/>
  <c r="F46" i="94"/>
  <c r="F28" i="94"/>
  <c r="F24" i="94"/>
  <c r="F23" i="94"/>
  <c r="F51" i="94"/>
  <c r="F47" i="94"/>
  <c r="F39" i="94"/>
  <c r="F38" i="94"/>
  <c r="F22" i="94"/>
  <c r="F34" i="94"/>
  <c r="D20" i="94"/>
  <c r="F20" i="94" s="1"/>
  <c r="F62" i="94"/>
  <c r="F49" i="94"/>
  <c r="F48" i="94"/>
  <c r="F41" i="94"/>
  <c r="F40" i="94"/>
  <c r="F29" i="94"/>
  <c r="F25" i="94"/>
  <c r="F43" i="94"/>
  <c r="F42" i="94"/>
  <c r="F35" i="94"/>
  <c r="F55" i="94"/>
  <c r="F30" i="94"/>
  <c r="F59" i="94"/>
  <c r="F26" i="94"/>
  <c r="F56" i="94"/>
  <c r="T118" i="27"/>
  <c r="F131" i="24"/>
  <c r="F94" i="24"/>
  <c r="F90" i="24"/>
  <c r="F89" i="24"/>
  <c r="F135" i="24"/>
  <c r="F105" i="24"/>
  <c r="F104" i="24"/>
  <c r="F85" i="24"/>
  <c r="F81" i="24"/>
  <c r="F80" i="24"/>
  <c r="F124" i="24"/>
  <c r="F116" i="24"/>
  <c r="F96" i="24"/>
  <c r="F95" i="24"/>
  <c r="F79" i="24"/>
  <c r="F72" i="24"/>
  <c r="F68" i="24"/>
  <c r="F64" i="24"/>
  <c r="F60" i="24"/>
  <c r="F56" i="24"/>
  <c r="F107" i="24"/>
  <c r="F106" i="24"/>
  <c r="F91" i="24"/>
  <c r="D77" i="24"/>
  <c r="F77" i="24" s="1"/>
  <c r="F118" i="24"/>
  <c r="F117" i="24"/>
  <c r="F98" i="24"/>
  <c r="F97" i="24"/>
  <c r="F86" i="24"/>
  <c r="F82" i="24"/>
  <c r="F125" i="24"/>
  <c r="F109" i="24"/>
  <c r="F108" i="24"/>
  <c r="F73" i="24"/>
  <c r="F69" i="24"/>
  <c r="F65" i="24"/>
  <c r="F61" i="24"/>
  <c r="F57" i="24"/>
  <c r="F53" i="24"/>
  <c r="F52" i="24"/>
  <c r="F100" i="24"/>
  <c r="F99" i="24"/>
  <c r="F92" i="24"/>
  <c r="F127" i="24"/>
  <c r="F126" i="24"/>
  <c r="F119" i="24"/>
  <c r="F111" i="24"/>
  <c r="F110" i="24"/>
  <c r="F87" i="24"/>
  <c r="F83" i="24"/>
  <c r="F74" i="24"/>
  <c r="F70" i="24"/>
  <c r="F66" i="24"/>
  <c r="F62" i="24"/>
  <c r="F58" i="24"/>
  <c r="F54" i="24"/>
  <c r="F129" i="24"/>
  <c r="F128" i="24"/>
  <c r="F121" i="24"/>
  <c r="F120" i="24"/>
  <c r="F113" i="24"/>
  <c r="F112" i="24"/>
  <c r="F101" i="24"/>
  <c r="F93" i="24"/>
  <c r="F88" i="24"/>
  <c r="F84" i="24"/>
  <c r="F67" i="24"/>
  <c r="F55" i="24"/>
  <c r="L12" i="24"/>
  <c r="N12" i="24" s="1"/>
  <c r="F122" i="24"/>
  <c r="F103" i="24"/>
  <c r="F75" i="24"/>
  <c r="F63" i="24"/>
  <c r="F115" i="24"/>
  <c r="F102" i="24"/>
  <c r="F71" i="24"/>
  <c r="F59" i="24"/>
  <c r="F123" i="24"/>
  <c r="F114" i="24"/>
  <c r="T308" i="3"/>
  <c r="V81" i="98"/>
  <c r="V71" i="98"/>
  <c r="V67" i="98"/>
  <c r="V59" i="98"/>
  <c r="V51" i="98"/>
  <c r="V43" i="98"/>
  <c r="V35" i="98"/>
  <c r="V80" i="98"/>
  <c r="V78" i="98"/>
  <c r="V66" i="98"/>
  <c r="V54" i="98"/>
  <c r="V42" i="98"/>
  <c r="V30" i="98"/>
  <c r="V26" i="98"/>
  <c r="V61" i="98"/>
  <c r="V53" i="98"/>
  <c r="V45" i="98"/>
  <c r="V17" i="98"/>
  <c r="V72" i="98"/>
  <c r="V68" i="98"/>
  <c r="V60" i="98"/>
  <c r="V44" i="98"/>
  <c r="V36" i="98"/>
  <c r="V32" i="98"/>
  <c r="Z12" i="98"/>
  <c r="V85" i="98"/>
  <c r="V55" i="98"/>
  <c r="V31" i="98"/>
  <c r="V27" i="98"/>
  <c r="V23" i="98"/>
  <c r="V62" i="98"/>
  <c r="V46" i="98"/>
  <c r="V22" i="98"/>
  <c r="V18" i="98"/>
  <c r="V73" i="98"/>
  <c r="V69" i="98"/>
  <c r="V57" i="98"/>
  <c r="V37" i="98"/>
  <c r="V33" i="98"/>
  <c r="T20" i="98"/>
  <c r="V20" i="98" s="1"/>
  <c r="V56" i="98"/>
  <c r="V48" i="98"/>
  <c r="V28" i="98"/>
  <c r="V24" i="98"/>
  <c r="V75" i="98"/>
  <c r="V63" i="98"/>
  <c r="V47" i="98"/>
  <c r="V39" i="98"/>
  <c r="V77" i="98"/>
  <c r="V16" i="98"/>
  <c r="V49" i="98"/>
  <c r="V58" i="98"/>
  <c r="V52" i="98"/>
  <c r="V50" i="98"/>
  <c r="V34" i="98"/>
  <c r="V38" i="98"/>
  <c r="V70" i="98"/>
  <c r="V64" i="98"/>
  <c r="V40" i="98"/>
  <c r="V25" i="98"/>
  <c r="V74" i="98"/>
  <c r="V29" i="98"/>
  <c r="V65" i="98"/>
  <c r="V41" i="98"/>
  <c r="V76" i="98"/>
  <c r="H82" i="88"/>
  <c r="J20" i="88"/>
  <c r="H37" i="109"/>
  <c r="N16" i="109"/>
  <c r="X12" i="110"/>
  <c r="F17" i="110"/>
  <c r="H51" i="105"/>
  <c r="N21" i="105"/>
  <c r="V74" i="104"/>
  <c r="V58" i="104"/>
  <c r="V46" i="104"/>
  <c r="V38" i="104"/>
  <c r="V73" i="104"/>
  <c r="V69" i="104"/>
  <c r="V57" i="104"/>
  <c r="V86" i="104"/>
  <c r="V76" i="104"/>
  <c r="V64" i="104"/>
  <c r="V48" i="104"/>
  <c r="V75" i="104"/>
  <c r="V59" i="104"/>
  <c r="V47" i="104"/>
  <c r="V78" i="104"/>
  <c r="V70" i="104"/>
  <c r="V66" i="104"/>
  <c r="V50" i="104"/>
  <c r="V77" i="104"/>
  <c r="V65" i="104"/>
  <c r="V49" i="104"/>
  <c r="V60" i="104"/>
  <c r="V52" i="104"/>
  <c r="V40" i="104"/>
  <c r="V36" i="104"/>
  <c r="Z12" i="104"/>
  <c r="V79" i="104"/>
  <c r="V71" i="104"/>
  <c r="V67" i="104"/>
  <c r="V51" i="104"/>
  <c r="V62" i="104"/>
  <c r="V54" i="104"/>
  <c r="V42" i="104"/>
  <c r="V18" i="104"/>
  <c r="V82" i="104"/>
  <c r="V63" i="104"/>
  <c r="V43" i="104"/>
  <c r="T22" i="104"/>
  <c r="V61" i="104"/>
  <c r="V33" i="104"/>
  <c r="V44" i="104"/>
  <c r="V31" i="104"/>
  <c r="V24" i="104"/>
  <c r="V55" i="104"/>
  <c r="V29" i="104"/>
  <c r="V19" i="104"/>
  <c r="V53" i="104"/>
  <c r="V41" i="104"/>
  <c r="V27" i="104"/>
  <c r="V25" i="104"/>
  <c r="V68" i="104"/>
  <c r="V56" i="104"/>
  <c r="V39" i="104"/>
  <c r="V37" i="104"/>
  <c r="V34" i="104"/>
  <c r="V32" i="104"/>
  <c r="V20" i="104"/>
  <c r="V80" i="104"/>
  <c r="V35" i="104"/>
  <c r="V22" i="104"/>
  <c r="V30" i="104"/>
  <c r="V72" i="104"/>
  <c r="V28" i="104"/>
  <c r="V45" i="104"/>
  <c r="V26" i="104"/>
  <c r="H61" i="101"/>
  <c r="N20" i="101"/>
  <c r="P84" i="104"/>
  <c r="X22" i="104"/>
  <c r="F20" i="98"/>
  <c r="D77" i="95"/>
  <c r="L20" i="95"/>
  <c r="F63" i="101"/>
  <c r="F58" i="101"/>
  <c r="F68" i="101"/>
  <c r="F33" i="101"/>
  <c r="F32" i="101"/>
  <c r="F17" i="101"/>
  <c r="F16" i="101"/>
  <c r="F59" i="101"/>
  <c r="F52" i="101"/>
  <c r="F44" i="101"/>
  <c r="F28" i="101"/>
  <c r="F27" i="101"/>
  <c r="L12" i="101"/>
  <c r="F35" i="101"/>
  <c r="F34" i="101"/>
  <c r="F61" i="101"/>
  <c r="F46" i="101"/>
  <c r="F45" i="101"/>
  <c r="F18" i="101"/>
  <c r="F53" i="101"/>
  <c r="F37" i="101"/>
  <c r="F36" i="101"/>
  <c r="F29" i="101"/>
  <c r="F48" i="101"/>
  <c r="F47" i="101"/>
  <c r="F24" i="101"/>
  <c r="F23" i="101"/>
  <c r="F39" i="101"/>
  <c r="F38" i="101"/>
  <c r="F22" i="101"/>
  <c r="F20" i="101"/>
  <c r="F54" i="101"/>
  <c r="F50" i="101"/>
  <c r="F49" i="101"/>
  <c r="F30" i="101"/>
  <c r="D20" i="101"/>
  <c r="F41" i="101"/>
  <c r="F40" i="101"/>
  <c r="F25" i="101"/>
  <c r="F56" i="101"/>
  <c r="F42" i="101"/>
  <c r="F31" i="101"/>
  <c r="F51" i="101"/>
  <c r="F55" i="101"/>
  <c r="F43" i="101"/>
  <c r="F65" i="101"/>
  <c r="F26" i="101"/>
  <c r="H29" i="83"/>
  <c r="L16" i="82"/>
  <c r="D22" i="82"/>
  <c r="H75" i="81"/>
  <c r="R99" i="77"/>
  <c r="R93" i="77"/>
  <c r="R92" i="77"/>
  <c r="R97" i="77"/>
  <c r="R94" i="77"/>
  <c r="R67" i="77"/>
  <c r="R66" i="77"/>
  <c r="R62" i="77"/>
  <c r="R58" i="77"/>
  <c r="P54" i="77"/>
  <c r="R80" i="77"/>
  <c r="R79" i="77"/>
  <c r="R51" i="77"/>
  <c r="R47" i="77"/>
  <c r="R43" i="77"/>
  <c r="R39" i="77"/>
  <c r="R103" i="77"/>
  <c r="R87" i="77"/>
  <c r="R56" i="77"/>
  <c r="R44" i="77"/>
  <c r="R41" i="77"/>
  <c r="R96" i="77"/>
  <c r="R83" i="77"/>
  <c r="R74" i="77"/>
  <c r="R70" i="77"/>
  <c r="R57" i="77"/>
  <c r="R50" i="77"/>
  <c r="R91" i="77"/>
  <c r="R84" i="77"/>
  <c r="R63" i="77"/>
  <c r="R60" i="77"/>
  <c r="R38" i="77"/>
  <c r="R98" i="77"/>
  <c r="R48" i="77"/>
  <c r="R45" i="77"/>
  <c r="R85" i="77"/>
  <c r="R75" i="77"/>
  <c r="R42" i="77"/>
  <c r="R88" i="77"/>
  <c r="R71" i="77"/>
  <c r="R68" i="77"/>
  <c r="R61" i="77"/>
  <c r="R76" i="77"/>
  <c r="R72" i="77"/>
  <c r="R64" i="77"/>
  <c r="R89" i="77"/>
  <c r="R86" i="77"/>
  <c r="R81" i="77"/>
  <c r="R52" i="77"/>
  <c r="R49" i="77"/>
  <c r="R40" i="77"/>
  <c r="R82" i="77"/>
  <c r="R69" i="77"/>
  <c r="R59" i="77"/>
  <c r="R46" i="77"/>
  <c r="R73" i="77"/>
  <c r="R77" i="77"/>
  <c r="R90" i="77"/>
  <c r="R78" i="77"/>
  <c r="R54" i="77"/>
  <c r="X12" i="77"/>
  <c r="Z12" i="77" s="1"/>
  <c r="R65" i="77"/>
  <c r="L20" i="70"/>
  <c r="N20" i="70" s="1"/>
  <c r="Z16" i="68"/>
  <c r="T61" i="68"/>
  <c r="V94" i="69"/>
  <c r="V86" i="69"/>
  <c r="V66" i="69"/>
  <c r="V62" i="69"/>
  <c r="V58" i="69"/>
  <c r="V54" i="69"/>
  <c r="V50" i="69"/>
  <c r="V115" i="69"/>
  <c r="V113" i="69"/>
  <c r="V105" i="69"/>
  <c r="V97" i="69"/>
  <c r="V85" i="69"/>
  <c r="V81" i="69"/>
  <c r="V96" i="69"/>
  <c r="V88" i="69"/>
  <c r="V80" i="69"/>
  <c r="V76" i="69"/>
  <c r="V72" i="69"/>
  <c r="V107" i="69"/>
  <c r="V99" i="69"/>
  <c r="V87" i="69"/>
  <c r="V71" i="69"/>
  <c r="V67" i="69"/>
  <c r="V63" i="69"/>
  <c r="V59" i="69"/>
  <c r="V55" i="69"/>
  <c r="V51" i="69"/>
  <c r="V106" i="69"/>
  <c r="V98" i="69"/>
  <c r="V90" i="69"/>
  <c r="V82" i="69"/>
  <c r="T69" i="69"/>
  <c r="V69" i="69" s="1"/>
  <c r="V119" i="69"/>
  <c r="V101" i="69"/>
  <c r="V89" i="69"/>
  <c r="V77" i="69"/>
  <c r="V73" i="69"/>
  <c r="V108" i="69"/>
  <c r="V100" i="69"/>
  <c r="V64" i="69"/>
  <c r="V60" i="69"/>
  <c r="V56" i="69"/>
  <c r="V52" i="69"/>
  <c r="V48" i="69"/>
  <c r="V91" i="69"/>
  <c r="V83" i="69"/>
  <c r="V110" i="69"/>
  <c r="V102" i="69"/>
  <c r="V78" i="69"/>
  <c r="V74" i="69"/>
  <c r="V112" i="69"/>
  <c r="V104" i="69"/>
  <c r="V92" i="69"/>
  <c r="V84" i="69"/>
  <c r="V103" i="69"/>
  <c r="V95" i="69"/>
  <c r="V93" i="69"/>
  <c r="V109" i="69"/>
  <c r="V61" i="69"/>
  <c r="V53" i="69"/>
  <c r="V111" i="69"/>
  <c r="V79" i="69"/>
  <c r="V65" i="69"/>
  <c r="V57" i="69"/>
  <c r="V49" i="69"/>
  <c r="V75" i="69"/>
  <c r="Z16" i="57"/>
  <c r="T66" i="57"/>
  <c r="H95" i="64"/>
  <c r="N16" i="64"/>
  <c r="N16" i="57"/>
  <c r="H66" i="57"/>
  <c r="V71" i="45"/>
  <c r="V55" i="45"/>
  <c r="V43" i="45"/>
  <c r="V39" i="45"/>
  <c r="V82" i="45"/>
  <c r="V66" i="45"/>
  <c r="V54" i="45"/>
  <c r="V34" i="45"/>
  <c r="V30" i="45"/>
  <c r="V81" i="45"/>
  <c r="V77" i="45"/>
  <c r="V73" i="45"/>
  <c r="V57" i="45"/>
  <c r="V45" i="45"/>
  <c r="V21" i="45"/>
  <c r="V94" i="45"/>
  <c r="V84" i="45"/>
  <c r="V72" i="45"/>
  <c r="V56" i="45"/>
  <c r="V44" i="45"/>
  <c r="V40" i="45"/>
  <c r="Z12" i="45"/>
  <c r="V83" i="45"/>
  <c r="V67" i="45"/>
  <c r="V59" i="45"/>
  <c r="V47" i="45"/>
  <c r="V35" i="45"/>
  <c r="V31" i="45"/>
  <c r="V27" i="45"/>
  <c r="V86" i="45"/>
  <c r="V78" i="45"/>
  <c r="V74" i="45"/>
  <c r="V58" i="45"/>
  <c r="V46" i="45"/>
  <c r="V26" i="45"/>
  <c r="V22" i="45"/>
  <c r="V85" i="45"/>
  <c r="V69" i="45"/>
  <c r="V61" i="45"/>
  <c r="V49" i="45"/>
  <c r="V41" i="45"/>
  <c r="V37" i="45"/>
  <c r="V68" i="45"/>
  <c r="V60" i="45"/>
  <c r="V48" i="45"/>
  <c r="V36" i="45"/>
  <c r="V32" i="45"/>
  <c r="V28" i="45"/>
  <c r="V87" i="45"/>
  <c r="V79" i="45"/>
  <c r="V75" i="45"/>
  <c r="V70" i="45"/>
  <c r="V62" i="45"/>
  <c r="V50" i="45"/>
  <c r="V42" i="45"/>
  <c r="V38" i="45"/>
  <c r="V65" i="45"/>
  <c r="V53" i="45"/>
  <c r="V33" i="45"/>
  <c r="V29" i="45"/>
  <c r="V64" i="45"/>
  <c r="V52" i="45"/>
  <c r="T24" i="45"/>
  <c r="V88" i="45"/>
  <c r="V20" i="45"/>
  <c r="V76" i="45"/>
  <c r="V63" i="45"/>
  <c r="V51" i="45"/>
  <c r="V90" i="45"/>
  <c r="V80" i="45"/>
  <c r="D130" i="39"/>
  <c r="L36" i="39"/>
  <c r="N36" i="39" s="1"/>
  <c r="J255" i="12"/>
  <c r="H91" i="33"/>
  <c r="X18" i="113"/>
  <c r="P27" i="113"/>
  <c r="P27" i="52"/>
  <c r="X18" i="52"/>
  <c r="D27" i="52"/>
  <c r="L18" i="52"/>
  <c r="Z18" i="49"/>
  <c r="T27" i="49"/>
  <c r="P27" i="49"/>
  <c r="X18" i="49"/>
  <c r="H27" i="50"/>
  <c r="N18" i="50"/>
  <c r="D27" i="44"/>
  <c r="L18" i="44"/>
  <c r="L18" i="34"/>
  <c r="D27" i="34"/>
  <c r="X18" i="32"/>
  <c r="P27" i="32"/>
  <c r="H27" i="23"/>
  <c r="N18" i="23"/>
  <c r="H27" i="22"/>
  <c r="N18" i="22"/>
  <c r="T27" i="26"/>
  <c r="Z18" i="26"/>
  <c r="L18" i="17"/>
  <c r="D27" i="17"/>
  <c r="H27" i="11"/>
  <c r="N18" i="11"/>
  <c r="X18" i="11"/>
  <c r="P27" i="11"/>
  <c r="T27" i="10"/>
  <c r="Z18" i="10"/>
  <c r="V62" i="80"/>
  <c r="V53" i="80"/>
  <c r="V37" i="80"/>
  <c r="V17" i="80"/>
  <c r="V36" i="80"/>
  <c r="V32" i="80"/>
  <c r="V66" i="80"/>
  <c r="V59" i="80"/>
  <c r="V55" i="80"/>
  <c r="V47" i="80"/>
  <c r="V39" i="80"/>
  <c r="V27" i="80"/>
  <c r="V23" i="80"/>
  <c r="V68" i="80"/>
  <c r="V54" i="80"/>
  <c r="V38" i="80"/>
  <c r="V22" i="80"/>
  <c r="V20" i="80"/>
  <c r="V18" i="80"/>
  <c r="V61" i="80"/>
  <c r="V49" i="80"/>
  <c r="V41" i="80"/>
  <c r="V33" i="80"/>
  <c r="T20" i="80"/>
  <c r="V60" i="80"/>
  <c r="V56" i="80"/>
  <c r="V48" i="80"/>
  <c r="V40" i="80"/>
  <c r="V28" i="80"/>
  <c r="V24" i="80"/>
  <c r="V51" i="80"/>
  <c r="V43" i="80"/>
  <c r="V63" i="80"/>
  <c r="V50" i="80"/>
  <c r="V42" i="80"/>
  <c r="V34" i="80"/>
  <c r="V57" i="80"/>
  <c r="V45" i="80"/>
  <c r="V29" i="80"/>
  <c r="V25" i="80"/>
  <c r="V65" i="80"/>
  <c r="V64" i="80"/>
  <c r="V35" i="80"/>
  <c r="V31" i="80"/>
  <c r="V46" i="80"/>
  <c r="V44" i="80"/>
  <c r="V16" i="80"/>
  <c r="V52" i="80"/>
  <c r="V26" i="80"/>
  <c r="V30" i="80"/>
  <c r="V58" i="80"/>
  <c r="V72" i="80"/>
  <c r="D56" i="60"/>
  <c r="P69" i="48"/>
  <c r="X17" i="48"/>
  <c r="Z17" i="48" s="1"/>
  <c r="X18" i="53"/>
  <c r="P27" i="53"/>
  <c r="D84" i="108"/>
  <c r="L21" i="108"/>
  <c r="H83" i="98"/>
  <c r="N20" i="98"/>
  <c r="J20" i="98"/>
  <c r="X20" i="80"/>
  <c r="P70" i="80"/>
  <c r="N16" i="107"/>
  <c r="H24" i="107"/>
  <c r="F60" i="106"/>
  <c r="F59" i="106"/>
  <c r="F48" i="106"/>
  <c r="F47" i="106"/>
  <c r="F23" i="106"/>
  <c r="F75" i="106"/>
  <c r="F71" i="106"/>
  <c r="F39" i="106"/>
  <c r="F35" i="106"/>
  <c r="F34" i="106"/>
  <c r="F66" i="106"/>
  <c r="F50" i="106"/>
  <c r="F49" i="106"/>
  <c r="F30" i="106"/>
  <c r="F26" i="106"/>
  <c r="F77" i="106"/>
  <c r="F76" i="106"/>
  <c r="F61" i="106"/>
  <c r="F72" i="106"/>
  <c r="F68" i="106"/>
  <c r="F67" i="106"/>
  <c r="F52" i="106"/>
  <c r="F51" i="106"/>
  <c r="F40" i="106"/>
  <c r="F36" i="106"/>
  <c r="L12" i="106"/>
  <c r="F79" i="106"/>
  <c r="F78" i="106"/>
  <c r="F31" i="106"/>
  <c r="F27" i="106"/>
  <c r="F62" i="106"/>
  <c r="F54" i="106"/>
  <c r="F53" i="106"/>
  <c r="F42" i="106"/>
  <c r="F41" i="106"/>
  <c r="F18" i="106"/>
  <c r="F17" i="106"/>
  <c r="F81" i="106"/>
  <c r="F80" i="106"/>
  <c r="F73" i="106"/>
  <c r="F69" i="106"/>
  <c r="F37" i="106"/>
  <c r="F64" i="106"/>
  <c r="F63" i="106"/>
  <c r="F56" i="106"/>
  <c r="F55" i="106"/>
  <c r="F44" i="106"/>
  <c r="F43" i="106"/>
  <c r="F32" i="106"/>
  <c r="F28" i="106"/>
  <c r="F83" i="106"/>
  <c r="F74" i="106"/>
  <c r="F70" i="106"/>
  <c r="F58" i="106"/>
  <c r="F57" i="106"/>
  <c r="F46" i="106"/>
  <c r="F45" i="106"/>
  <c r="F38" i="106"/>
  <c r="D21" i="106"/>
  <c r="F21" i="106" s="1"/>
  <c r="F29" i="106"/>
  <c r="F24" i="106"/>
  <c r="F87" i="106"/>
  <c r="F19" i="106"/>
  <c r="F65" i="106"/>
  <c r="F25" i="106"/>
  <c r="F33" i="106"/>
  <c r="F21" i="108"/>
  <c r="Z16" i="107"/>
  <c r="T24" i="107"/>
  <c r="X24" i="107" s="1"/>
  <c r="N79" i="102"/>
  <c r="H43" i="99"/>
  <c r="N18" i="99"/>
  <c r="J77" i="93"/>
  <c r="J55" i="93"/>
  <c r="J45" i="93"/>
  <c r="J31" i="93"/>
  <c r="J27" i="93"/>
  <c r="J66" i="93"/>
  <c r="J62" i="93"/>
  <c r="J56" i="93"/>
  <c r="J46" i="93"/>
  <c r="J57" i="93"/>
  <c r="J47" i="93"/>
  <c r="J37" i="93"/>
  <c r="J33" i="93"/>
  <c r="J23" i="93"/>
  <c r="J48" i="93"/>
  <c r="J67" i="93"/>
  <c r="J63" i="93"/>
  <c r="J49" i="93"/>
  <c r="J68" i="93"/>
  <c r="J58" i="93"/>
  <c r="J50" i="93"/>
  <c r="J38" i="93"/>
  <c r="J34" i="93"/>
  <c r="J69" i="93"/>
  <c r="J51" i="93"/>
  <c r="J39" i="93"/>
  <c r="J29" i="93"/>
  <c r="J25" i="93"/>
  <c r="J70" i="93"/>
  <c r="J64" i="93"/>
  <c r="J52" i="93"/>
  <c r="J40" i="93"/>
  <c r="J71" i="93"/>
  <c r="J59" i="93"/>
  <c r="J41" i="93"/>
  <c r="J35" i="93"/>
  <c r="J73" i="93"/>
  <c r="J65" i="93"/>
  <c r="J61" i="93"/>
  <c r="J53" i="93"/>
  <c r="J43" i="93"/>
  <c r="J18" i="93"/>
  <c r="J32" i="93"/>
  <c r="J36" i="93"/>
  <c r="H20" i="93"/>
  <c r="L20" i="93" s="1"/>
  <c r="J60" i="93"/>
  <c r="J54" i="93"/>
  <c r="J30" i="93"/>
  <c r="J28" i="93"/>
  <c r="J26" i="93"/>
  <c r="J24" i="93"/>
  <c r="J17" i="93"/>
  <c r="N12" i="93"/>
  <c r="L12" i="93"/>
  <c r="J22" i="93"/>
  <c r="J44" i="93"/>
  <c r="J42" i="93"/>
  <c r="D75" i="93"/>
  <c r="P82" i="88"/>
  <c r="X20" i="88"/>
  <c r="Z20" i="88" s="1"/>
  <c r="F74" i="88"/>
  <c r="F73" i="88"/>
  <c r="F62" i="88"/>
  <c r="F49" i="88"/>
  <c r="F48" i="88"/>
  <c r="F77" i="88"/>
  <c r="F58" i="88"/>
  <c r="F30" i="88"/>
  <c r="F26" i="88"/>
  <c r="F84" i="88"/>
  <c r="F71" i="88"/>
  <c r="F52" i="88"/>
  <c r="F45" i="88"/>
  <c r="F17" i="88"/>
  <c r="F16" i="88"/>
  <c r="F78" i="88"/>
  <c r="F53" i="88"/>
  <c r="F36" i="88"/>
  <c r="L12" i="88"/>
  <c r="N12" i="88" s="1"/>
  <c r="F69" i="88"/>
  <c r="F67" i="88"/>
  <c r="F59" i="88"/>
  <c r="F46" i="88"/>
  <c r="F31" i="88"/>
  <c r="F27" i="88"/>
  <c r="F63" i="88"/>
  <c r="F60" i="88"/>
  <c r="F47" i="88"/>
  <c r="F38" i="88"/>
  <c r="F37" i="88"/>
  <c r="F18" i="88"/>
  <c r="F54" i="88"/>
  <c r="F55" i="88"/>
  <c r="F40" i="88"/>
  <c r="F39" i="88"/>
  <c r="F28" i="88"/>
  <c r="F24" i="88"/>
  <c r="F23" i="88"/>
  <c r="F80" i="88"/>
  <c r="F75" i="88"/>
  <c r="F72" i="88"/>
  <c r="F64" i="88"/>
  <c r="F22" i="88"/>
  <c r="F20" i="88"/>
  <c r="F70" i="88"/>
  <c r="F61" i="88"/>
  <c r="F42" i="88"/>
  <c r="F41" i="88"/>
  <c r="F34" i="88"/>
  <c r="D20" i="88"/>
  <c r="F66" i="88"/>
  <c r="F57" i="88"/>
  <c r="F51" i="88"/>
  <c r="F33" i="88"/>
  <c r="F25" i="88"/>
  <c r="F68" i="88"/>
  <c r="F43" i="88"/>
  <c r="F29" i="88"/>
  <c r="F35" i="88"/>
  <c r="F65" i="88"/>
  <c r="F76" i="88"/>
  <c r="F50" i="88"/>
  <c r="F44" i="88"/>
  <c r="F56" i="88"/>
  <c r="F32" i="88"/>
  <c r="D82" i="84"/>
  <c r="X12" i="80"/>
  <c r="Z12" i="80" s="1"/>
  <c r="J89" i="77"/>
  <c r="J79" i="77"/>
  <c r="J91" i="77"/>
  <c r="J81" i="77"/>
  <c r="J65" i="77"/>
  <c r="J61" i="77"/>
  <c r="J76" i="77"/>
  <c r="J50" i="77"/>
  <c r="J46" i="77"/>
  <c r="J42" i="77"/>
  <c r="J86" i="77"/>
  <c r="J82" i="77"/>
  <c r="J69" i="77"/>
  <c r="J62" i="77"/>
  <c r="J59" i="77"/>
  <c r="J94" i="77"/>
  <c r="J77" i="77"/>
  <c r="J73" i="77"/>
  <c r="N12" i="77"/>
  <c r="J90" i="77"/>
  <c r="J78" i="77"/>
  <c r="J54" i="77"/>
  <c r="J103" i="77"/>
  <c r="J87" i="77"/>
  <c r="J83" i="77"/>
  <c r="H54" i="77"/>
  <c r="J47" i="77"/>
  <c r="J44" i="77"/>
  <c r="J41" i="77"/>
  <c r="J70" i="77"/>
  <c r="J60" i="77"/>
  <c r="J57" i="77"/>
  <c r="J56" i="77"/>
  <c r="J96" i="77"/>
  <c r="J74" i="77"/>
  <c r="J66" i="77"/>
  <c r="J63" i="77"/>
  <c r="J38" i="77"/>
  <c r="J97" i="77"/>
  <c r="J84" i="77"/>
  <c r="J99" i="77"/>
  <c r="J98" i="77"/>
  <c r="J92" i="77"/>
  <c r="J80" i="77"/>
  <c r="J67" i="77"/>
  <c r="J58" i="77"/>
  <c r="J51" i="77"/>
  <c r="J48" i="77"/>
  <c r="J45" i="77"/>
  <c r="J39" i="77"/>
  <c r="J88" i="77"/>
  <c r="J85" i="77"/>
  <c r="J75" i="77"/>
  <c r="J71" i="77"/>
  <c r="J93" i="77"/>
  <c r="J68" i="77"/>
  <c r="J64" i="77"/>
  <c r="J49" i="77"/>
  <c r="J43" i="77"/>
  <c r="J40" i="77"/>
  <c r="J72" i="77"/>
  <c r="J52" i="77"/>
  <c r="L70" i="76"/>
  <c r="N70" i="76" s="1"/>
  <c r="P55" i="61"/>
  <c r="X16" i="61"/>
  <c r="L16" i="58"/>
  <c r="D71" i="58"/>
  <c r="N22" i="54"/>
  <c r="H26" i="54"/>
  <c r="N96" i="51"/>
  <c r="V17" i="48"/>
  <c r="T101" i="51"/>
  <c r="V132" i="39"/>
  <c r="V118" i="39"/>
  <c r="V110" i="39"/>
  <c r="V106" i="39"/>
  <c r="V94" i="39"/>
  <c r="V86" i="39"/>
  <c r="V78" i="39"/>
  <c r="V66" i="39"/>
  <c r="V100" i="39"/>
  <c r="V96" i="39"/>
  <c r="V119" i="39"/>
  <c r="V111" i="39"/>
  <c r="V107" i="39"/>
  <c r="V95" i="39"/>
  <c r="V79" i="39"/>
  <c r="V71" i="39"/>
  <c r="V63" i="39"/>
  <c r="V102" i="39"/>
  <c r="V90" i="39"/>
  <c r="V101" i="39"/>
  <c r="V97" i="39"/>
  <c r="V81" i="39"/>
  <c r="V73" i="39"/>
  <c r="V45" i="39"/>
  <c r="V41" i="39"/>
  <c r="V120" i="39"/>
  <c r="V112" i="39"/>
  <c r="V108" i="39"/>
  <c r="V80" i="39"/>
  <c r="V72" i="39"/>
  <c r="V64" i="39"/>
  <c r="V128" i="39"/>
  <c r="V122" i="39"/>
  <c r="V114" i="39"/>
  <c r="V127" i="39"/>
  <c r="V121" i="39"/>
  <c r="V113" i="39"/>
  <c r="V109" i="39"/>
  <c r="V105" i="39"/>
  <c r="V126" i="39"/>
  <c r="V116" i="39"/>
  <c r="V104" i="39"/>
  <c r="V92" i="39"/>
  <c r="V84" i="39"/>
  <c r="V76" i="39"/>
  <c r="V56" i="39"/>
  <c r="V52" i="39"/>
  <c r="V125" i="39"/>
  <c r="V123" i="39"/>
  <c r="V115" i="39"/>
  <c r="V99" i="39"/>
  <c r="V87" i="39"/>
  <c r="V67" i="39"/>
  <c r="V59" i="39"/>
  <c r="V47" i="39"/>
  <c r="V43" i="39"/>
  <c r="V39" i="39"/>
  <c r="V93" i="39"/>
  <c r="V69" i="39"/>
  <c r="V89" i="39"/>
  <c r="V75" i="39"/>
  <c r="V61" i="39"/>
  <c r="V50" i="39"/>
  <c r="T36" i="39"/>
  <c r="V117" i="39"/>
  <c r="V91" i="39"/>
  <c r="V55" i="39"/>
  <c r="V44" i="39"/>
  <c r="V38" i="39"/>
  <c r="V58" i="39"/>
  <c r="V32" i="39"/>
  <c r="V77" i="39"/>
  <c r="V103" i="39"/>
  <c r="V82" i="39"/>
  <c r="V53" i="39"/>
  <c r="V51" i="39"/>
  <c r="V42" i="39"/>
  <c r="V98" i="39"/>
  <c r="V85" i="39"/>
  <c r="V70" i="39"/>
  <c r="V62" i="39"/>
  <c r="V48" i="39"/>
  <c r="V33" i="39"/>
  <c r="V83" i="39"/>
  <c r="V65" i="39"/>
  <c r="V49" i="39"/>
  <c r="X12" i="39"/>
  <c r="Z12" i="39" s="1"/>
  <c r="V68" i="39"/>
  <c r="V40" i="39"/>
  <c r="V88" i="39"/>
  <c r="V74" i="39"/>
  <c r="V54" i="39"/>
  <c r="V46" i="39"/>
  <c r="V60" i="39"/>
  <c r="V57" i="39"/>
  <c r="V34" i="39"/>
  <c r="L69" i="30"/>
  <c r="D148" i="30"/>
  <c r="P148" i="30"/>
  <c r="V125" i="24"/>
  <c r="V109" i="24"/>
  <c r="V73" i="24"/>
  <c r="V69" i="24"/>
  <c r="V65" i="24"/>
  <c r="V61" i="24"/>
  <c r="V57" i="24"/>
  <c r="V53" i="24"/>
  <c r="V128" i="24"/>
  <c r="V120" i="24"/>
  <c r="V112" i="24"/>
  <c r="V100" i="24"/>
  <c r="V92" i="24"/>
  <c r="Z12" i="24"/>
  <c r="V127" i="24"/>
  <c r="V119" i="24"/>
  <c r="V111" i="24"/>
  <c r="V87" i="24"/>
  <c r="V83" i="24"/>
  <c r="V122" i="24"/>
  <c r="V114" i="24"/>
  <c r="V102" i="24"/>
  <c r="V74" i="24"/>
  <c r="V70" i="24"/>
  <c r="V66" i="24"/>
  <c r="V62" i="24"/>
  <c r="V58" i="24"/>
  <c r="V54" i="24"/>
  <c r="V131" i="24"/>
  <c r="V129" i="24"/>
  <c r="V121" i="24"/>
  <c r="V113" i="24"/>
  <c r="V101" i="24"/>
  <c r="V93" i="24"/>
  <c r="V89" i="24"/>
  <c r="V104" i="24"/>
  <c r="V88" i="24"/>
  <c r="V84" i="24"/>
  <c r="V80" i="24"/>
  <c r="V123" i="24"/>
  <c r="V115" i="24"/>
  <c r="V103" i="24"/>
  <c r="V95" i="24"/>
  <c r="V79" i="24"/>
  <c r="V77" i="24"/>
  <c r="V75" i="24"/>
  <c r="V71" i="24"/>
  <c r="V67" i="24"/>
  <c r="V63" i="24"/>
  <c r="V59" i="24"/>
  <c r="V55" i="24"/>
  <c r="V106" i="24"/>
  <c r="V94" i="24"/>
  <c r="V90" i="24"/>
  <c r="T77" i="24"/>
  <c r="V135" i="24"/>
  <c r="V117" i="24"/>
  <c r="V105" i="24"/>
  <c r="V97" i="24"/>
  <c r="V85" i="24"/>
  <c r="V81" i="24"/>
  <c r="V124" i="24"/>
  <c r="V116" i="24"/>
  <c r="V108" i="24"/>
  <c r="V96" i="24"/>
  <c r="V72" i="24"/>
  <c r="V68" i="24"/>
  <c r="V64" i="24"/>
  <c r="V60" i="24"/>
  <c r="V56" i="24"/>
  <c r="V52" i="24"/>
  <c r="V107" i="24"/>
  <c r="V99" i="24"/>
  <c r="V91" i="24"/>
  <c r="V118" i="24"/>
  <c r="V82" i="24"/>
  <c r="V98" i="24"/>
  <c r="V126" i="24"/>
  <c r="V86" i="24"/>
  <c r="V110" i="24"/>
  <c r="R77" i="24"/>
  <c r="V28" i="21"/>
  <c r="Z18" i="53"/>
  <c r="T27" i="53"/>
  <c r="X18" i="47"/>
  <c r="P27" i="47"/>
  <c r="L18" i="50"/>
  <c r="D27" i="50"/>
  <c r="H27" i="43"/>
  <c r="N18" i="43"/>
  <c r="Z18" i="43"/>
  <c r="T27" i="43"/>
  <c r="D27" i="43"/>
  <c r="L18" i="43"/>
  <c r="L18" i="41"/>
  <c r="D27" i="41"/>
  <c r="H27" i="40"/>
  <c r="N18" i="40"/>
  <c r="Z18" i="29"/>
  <c r="T27" i="29"/>
  <c r="H27" i="20"/>
  <c r="N18" i="20"/>
  <c r="X18" i="17"/>
  <c r="P27" i="17"/>
  <c r="T27" i="16"/>
  <c r="Z18" i="16"/>
  <c r="T27" i="19"/>
  <c r="Z18" i="19"/>
  <c r="R72" i="106"/>
  <c r="R68" i="106"/>
  <c r="R53" i="106"/>
  <c r="R52" i="106"/>
  <c r="R41" i="106"/>
  <c r="R40" i="106"/>
  <c r="R36" i="106"/>
  <c r="R17" i="106"/>
  <c r="X12" i="106"/>
  <c r="Z12" i="106" s="1"/>
  <c r="R80" i="106"/>
  <c r="R79" i="106"/>
  <c r="R31" i="106"/>
  <c r="R27" i="106"/>
  <c r="R63" i="106"/>
  <c r="R62" i="106"/>
  <c r="R55" i="106"/>
  <c r="R54" i="106"/>
  <c r="R43" i="106"/>
  <c r="R42" i="106"/>
  <c r="R18" i="106"/>
  <c r="R81" i="106"/>
  <c r="R73" i="106"/>
  <c r="R69" i="106"/>
  <c r="R37" i="106"/>
  <c r="R83" i="106"/>
  <c r="R64" i="106"/>
  <c r="R57" i="106"/>
  <c r="R56" i="106"/>
  <c r="R45" i="106"/>
  <c r="R44" i="106"/>
  <c r="R32" i="106"/>
  <c r="R28" i="106"/>
  <c r="R24" i="106"/>
  <c r="R74" i="106"/>
  <c r="R70" i="106"/>
  <c r="R59" i="106"/>
  <c r="R58" i="106"/>
  <c r="R47" i="106"/>
  <c r="R46" i="106"/>
  <c r="R38" i="106"/>
  <c r="R23" i="106"/>
  <c r="R21" i="106"/>
  <c r="R87" i="106"/>
  <c r="R65" i="106"/>
  <c r="R34" i="106"/>
  <c r="R33" i="106"/>
  <c r="R29" i="106"/>
  <c r="R25" i="106"/>
  <c r="P21" i="106"/>
  <c r="R60" i="106"/>
  <c r="R49" i="106"/>
  <c r="R48" i="106"/>
  <c r="R67" i="106"/>
  <c r="R66" i="106"/>
  <c r="R51" i="106"/>
  <c r="R50" i="106"/>
  <c r="R30" i="106"/>
  <c r="R26" i="106"/>
  <c r="R61" i="106"/>
  <c r="R39" i="106"/>
  <c r="R71" i="106"/>
  <c r="R77" i="106"/>
  <c r="R75" i="106"/>
  <c r="R19" i="106"/>
  <c r="R35" i="106"/>
  <c r="R76" i="106"/>
  <c r="R78" i="106"/>
  <c r="P61" i="101"/>
  <c r="X20" i="101"/>
  <c r="Z20" i="101" s="1"/>
  <c r="F121" i="85"/>
  <c r="F109" i="85"/>
  <c r="F105" i="85"/>
  <c r="F104" i="85"/>
  <c r="F97" i="85"/>
  <c r="F113" i="85"/>
  <c r="F100" i="85"/>
  <c r="F71" i="85"/>
  <c r="F111" i="85"/>
  <c r="F108" i="85"/>
  <c r="F82" i="85"/>
  <c r="F81" i="85"/>
  <c r="F66" i="85"/>
  <c r="F62" i="85"/>
  <c r="F114" i="85"/>
  <c r="F94" i="85"/>
  <c r="F93" i="85"/>
  <c r="F53" i="85"/>
  <c r="F49" i="85"/>
  <c r="F45" i="85"/>
  <c r="F41" i="85"/>
  <c r="F37" i="85"/>
  <c r="F36" i="85"/>
  <c r="F101" i="85"/>
  <c r="F84" i="85"/>
  <c r="F83" i="85"/>
  <c r="F72" i="85"/>
  <c r="L12" i="85"/>
  <c r="N12" i="85" s="1"/>
  <c r="F98" i="85"/>
  <c r="F67" i="85"/>
  <c r="F63" i="85"/>
  <c r="F115" i="85"/>
  <c r="F112" i="85"/>
  <c r="F106" i="85"/>
  <c r="F95" i="85"/>
  <c r="F86" i="85"/>
  <c r="F85" i="85"/>
  <c r="F74" i="85"/>
  <c r="F73" i="85"/>
  <c r="F54" i="85"/>
  <c r="F50" i="85"/>
  <c r="F46" i="85"/>
  <c r="F42" i="85"/>
  <c r="F38" i="85"/>
  <c r="F102" i="85"/>
  <c r="F69" i="85"/>
  <c r="F68" i="85"/>
  <c r="F103" i="85"/>
  <c r="F99" i="85"/>
  <c r="F96" i="85"/>
  <c r="F88" i="85"/>
  <c r="F87" i="85"/>
  <c r="F76" i="85"/>
  <c r="F75" i="85"/>
  <c r="F64" i="85"/>
  <c r="F60" i="85"/>
  <c r="F59" i="85"/>
  <c r="F58" i="85"/>
  <c r="F56" i="85"/>
  <c r="F51" i="85"/>
  <c r="F47" i="85"/>
  <c r="F43" i="85"/>
  <c r="F39" i="85"/>
  <c r="F117" i="85"/>
  <c r="F110" i="85"/>
  <c r="F65" i="85"/>
  <c r="F61" i="85"/>
  <c r="F89" i="85"/>
  <c r="F91" i="85"/>
  <c r="D56" i="85"/>
  <c r="F52" i="85"/>
  <c r="F78" i="85"/>
  <c r="F80" i="85"/>
  <c r="F44" i="85"/>
  <c r="F90" i="85"/>
  <c r="F92" i="85"/>
  <c r="F77" i="85"/>
  <c r="F70" i="85"/>
  <c r="F40" i="85"/>
  <c r="F48" i="85"/>
  <c r="F79" i="85"/>
  <c r="F107" i="85"/>
  <c r="D29" i="83"/>
  <c r="L21" i="83"/>
  <c r="N21" i="83" s="1"/>
  <c r="L16" i="103"/>
  <c r="D50" i="103"/>
  <c r="L21" i="105"/>
  <c r="D51" i="105"/>
  <c r="P43" i="100"/>
  <c r="V75" i="102"/>
  <c r="V63" i="102"/>
  <c r="V47" i="102"/>
  <c r="V19" i="102"/>
  <c r="V80" i="102"/>
  <c r="V46" i="102"/>
  <c r="V38" i="102"/>
  <c r="V79" i="102"/>
  <c r="V77" i="102"/>
  <c r="V69" i="102"/>
  <c r="V65" i="102"/>
  <c r="V57" i="102"/>
  <c r="V49" i="102"/>
  <c r="V33" i="102"/>
  <c r="V29" i="102"/>
  <c r="V84" i="102"/>
  <c r="V70" i="102"/>
  <c r="V66" i="102"/>
  <c r="V58" i="102"/>
  <c r="V50" i="102"/>
  <c r="V34" i="102"/>
  <c r="V30" i="102"/>
  <c r="V26" i="102"/>
  <c r="V72" i="102"/>
  <c r="V60" i="102"/>
  <c r="V52" i="102"/>
  <c r="V40" i="102"/>
  <c r="V36" i="102"/>
  <c r="T23" i="102"/>
  <c r="V41" i="102"/>
  <c r="V71" i="102"/>
  <c r="V55" i="102"/>
  <c r="V25" i="102"/>
  <c r="V74" i="102"/>
  <c r="V67" i="102"/>
  <c r="V61" i="102"/>
  <c r="V44" i="102"/>
  <c r="V76" i="102"/>
  <c r="V48" i="102"/>
  <c r="V45" i="102"/>
  <c r="V31" i="102"/>
  <c r="V20" i="102"/>
  <c r="V53" i="102"/>
  <c r="V39" i="102"/>
  <c r="V59" i="102"/>
  <c r="V56" i="102"/>
  <c r="V42" i="102"/>
  <c r="V37" i="102"/>
  <c r="V35" i="102"/>
  <c r="V32" i="102"/>
  <c r="V27" i="102"/>
  <c r="V21" i="102"/>
  <c r="V68" i="102"/>
  <c r="V54" i="102"/>
  <c r="V73" i="102"/>
  <c r="V28" i="102"/>
  <c r="V62" i="102"/>
  <c r="V51" i="102"/>
  <c r="V64" i="102"/>
  <c r="V43" i="102"/>
  <c r="V61" i="94"/>
  <c r="V49" i="94"/>
  <c r="V60" i="94"/>
  <c r="V56" i="94"/>
  <c r="V57" i="94"/>
  <c r="V48" i="94"/>
  <c r="V40" i="94"/>
  <c r="V28" i="94"/>
  <c r="V24" i="94"/>
  <c r="V51" i="94"/>
  <c r="V47" i="94"/>
  <c r="V39" i="94"/>
  <c r="V54" i="94"/>
  <c r="V52" i="94"/>
  <c r="V42" i="94"/>
  <c r="V34" i="94"/>
  <c r="V58" i="94"/>
  <c r="V55" i="94"/>
  <c r="V41" i="94"/>
  <c r="V29" i="94"/>
  <c r="V25" i="94"/>
  <c r="V62" i="94"/>
  <c r="V16" i="94"/>
  <c r="V44" i="94"/>
  <c r="V43" i="94"/>
  <c r="V35" i="94"/>
  <c r="V59" i="94"/>
  <c r="V30" i="94"/>
  <c r="V26" i="94"/>
  <c r="V17" i="94"/>
  <c r="V64" i="94"/>
  <c r="V53" i="94"/>
  <c r="V36" i="94"/>
  <c r="V32" i="94"/>
  <c r="Z12" i="94"/>
  <c r="V65" i="94"/>
  <c r="V46" i="94"/>
  <c r="V45" i="94"/>
  <c r="V38" i="94"/>
  <c r="V22" i="94"/>
  <c r="V18" i="94"/>
  <c r="V69" i="94"/>
  <c r="V50" i="94"/>
  <c r="V37" i="94"/>
  <c r="V27" i="94"/>
  <c r="V23" i="94"/>
  <c r="T20" i="94"/>
  <c r="V31" i="94"/>
  <c r="V33" i="94"/>
  <c r="P67" i="94"/>
  <c r="X20" i="94"/>
  <c r="R49" i="93"/>
  <c r="R48" i="93"/>
  <c r="R28" i="93"/>
  <c r="R24" i="93"/>
  <c r="R68" i="93"/>
  <c r="R67" i="93"/>
  <c r="R63" i="93"/>
  <c r="R58" i="93"/>
  <c r="R51" i="93"/>
  <c r="R50" i="93"/>
  <c r="R39" i="93"/>
  <c r="R38" i="93"/>
  <c r="R34" i="93"/>
  <c r="R70" i="93"/>
  <c r="R69" i="93"/>
  <c r="R64" i="93"/>
  <c r="R52" i="93"/>
  <c r="R41" i="93"/>
  <c r="R40" i="93"/>
  <c r="R71" i="93"/>
  <c r="R60" i="93"/>
  <c r="R59" i="93"/>
  <c r="R35" i="93"/>
  <c r="R73" i="93"/>
  <c r="R43" i="93"/>
  <c r="R42" i="93"/>
  <c r="R30" i="93"/>
  <c r="R26" i="93"/>
  <c r="R65" i="93"/>
  <c r="R61" i="93"/>
  <c r="R54" i="93"/>
  <c r="R53" i="93"/>
  <c r="R45" i="93"/>
  <c r="R44" i="93"/>
  <c r="R36" i="93"/>
  <c r="R17" i="93"/>
  <c r="X12" i="93"/>
  <c r="Z12" i="93" s="1"/>
  <c r="R66" i="93"/>
  <c r="R62" i="93"/>
  <c r="R47" i="93"/>
  <c r="R46" i="93"/>
  <c r="R23" i="93"/>
  <c r="R18" i="93"/>
  <c r="R57" i="93"/>
  <c r="R37" i="93"/>
  <c r="R29" i="93"/>
  <c r="R25" i="93"/>
  <c r="R31" i="93"/>
  <c r="R27" i="93"/>
  <c r="R55" i="93"/>
  <c r="R32" i="93"/>
  <c r="P20" i="93"/>
  <c r="R20" i="93" s="1"/>
  <c r="R56" i="93"/>
  <c r="R22" i="93"/>
  <c r="R33" i="93"/>
  <c r="R77" i="93"/>
  <c r="V56" i="84"/>
  <c r="V44" i="84"/>
  <c r="V36" i="84"/>
  <c r="V32" i="84"/>
  <c r="V75" i="84"/>
  <c r="V63" i="84"/>
  <c r="V55" i="84"/>
  <c r="V31" i="84"/>
  <c r="V27" i="84"/>
  <c r="V23" i="84"/>
  <c r="V74" i="84"/>
  <c r="V70" i="84"/>
  <c r="V58" i="84"/>
  <c r="V46" i="84"/>
  <c r="V22" i="84"/>
  <c r="V20" i="84"/>
  <c r="V18" i="84"/>
  <c r="V77" i="84"/>
  <c r="V57" i="84"/>
  <c r="V37" i="84"/>
  <c r="V76" i="84"/>
  <c r="V64" i="84"/>
  <c r="V48" i="84"/>
  <c r="V28" i="84"/>
  <c r="V24" i="84"/>
  <c r="V71" i="84"/>
  <c r="V59" i="84"/>
  <c r="V47" i="84"/>
  <c r="V39" i="84"/>
  <c r="V80" i="84"/>
  <c r="V78" i="84"/>
  <c r="V66" i="84"/>
  <c r="V50" i="84"/>
  <c r="V38" i="84"/>
  <c r="V34" i="84"/>
  <c r="V65" i="84"/>
  <c r="V49" i="84"/>
  <c r="V41" i="84"/>
  <c r="V29" i="84"/>
  <c r="V25" i="84"/>
  <c r="V72" i="84"/>
  <c r="V68" i="84"/>
  <c r="V60" i="84"/>
  <c r="V52" i="84"/>
  <c r="V40" i="84"/>
  <c r="V16" i="84"/>
  <c r="V84" i="84"/>
  <c r="V62" i="84"/>
  <c r="V54" i="84"/>
  <c r="V42" i="84"/>
  <c r="V30" i="84"/>
  <c r="V26" i="84"/>
  <c r="V73" i="84"/>
  <c r="V51" i="84"/>
  <c r="V53" i="84"/>
  <c r="V61" i="84"/>
  <c r="V67" i="84"/>
  <c r="V69" i="84"/>
  <c r="V43" i="84"/>
  <c r="V35" i="84"/>
  <c r="V33" i="84"/>
  <c r="V17" i="84"/>
  <c r="T20" i="84"/>
  <c r="V45" i="84"/>
  <c r="H119" i="85"/>
  <c r="D75" i="81"/>
  <c r="L20" i="81"/>
  <c r="N20" i="81" s="1"/>
  <c r="R68" i="81"/>
  <c r="R67" i="81"/>
  <c r="R63" i="81"/>
  <c r="R48" i="81"/>
  <c r="R47" i="81"/>
  <c r="R70" i="81"/>
  <c r="R69" i="81"/>
  <c r="R57" i="81"/>
  <c r="R50" i="81"/>
  <c r="R49" i="81"/>
  <c r="R38" i="81"/>
  <c r="R37" i="81"/>
  <c r="R33" i="81"/>
  <c r="R22" i="81"/>
  <c r="R71" i="81"/>
  <c r="R65" i="81"/>
  <c r="R53" i="81"/>
  <c r="R77" i="81"/>
  <c r="R44" i="81"/>
  <c r="R43" i="81"/>
  <c r="R35" i="81"/>
  <c r="R16" i="81"/>
  <c r="R55" i="81"/>
  <c r="R52" i="81"/>
  <c r="R45" i="81"/>
  <c r="R36" i="81"/>
  <c r="R29" i="81"/>
  <c r="R18" i="81"/>
  <c r="R61" i="81"/>
  <c r="R26" i="81"/>
  <c r="R46" i="81"/>
  <c r="R41" i="81"/>
  <c r="R66" i="81"/>
  <c r="R42" i="81"/>
  <c r="R30" i="81"/>
  <c r="P20" i="81"/>
  <c r="R20" i="81" s="1"/>
  <c r="R64" i="81"/>
  <c r="R58" i="81"/>
  <c r="R34" i="81"/>
  <c r="R23" i="81"/>
  <c r="X12" i="81"/>
  <c r="Z12" i="81" s="1"/>
  <c r="R62" i="81"/>
  <c r="R56" i="81"/>
  <c r="R27" i="81"/>
  <c r="R59" i="81"/>
  <c r="R24" i="81"/>
  <c r="R31" i="81"/>
  <c r="R32" i="81"/>
  <c r="R28" i="81"/>
  <c r="R17" i="81"/>
  <c r="R51" i="81"/>
  <c r="R39" i="81"/>
  <c r="R25" i="81"/>
  <c r="R40" i="81"/>
  <c r="R60" i="81"/>
  <c r="R73" i="81"/>
  <c r="R54" i="81"/>
  <c r="F113" i="71"/>
  <c r="F96" i="71"/>
  <c r="F88" i="71"/>
  <c r="F87" i="71"/>
  <c r="F68" i="71"/>
  <c r="F64" i="71"/>
  <c r="F112" i="71"/>
  <c r="F103" i="71"/>
  <c r="F79" i="71"/>
  <c r="F78" i="71"/>
  <c r="F55" i="71"/>
  <c r="F51" i="71"/>
  <c r="F47" i="71"/>
  <c r="F43" i="71"/>
  <c r="F98" i="71"/>
  <c r="F97" i="71"/>
  <c r="F74" i="71"/>
  <c r="F105" i="71"/>
  <c r="F104" i="71"/>
  <c r="F89" i="71"/>
  <c r="F81" i="71"/>
  <c r="F80" i="71"/>
  <c r="F69" i="71"/>
  <c r="F65" i="71"/>
  <c r="F100" i="71"/>
  <c r="F99" i="71"/>
  <c r="F56" i="71"/>
  <c r="F52" i="71"/>
  <c r="F48" i="71"/>
  <c r="F44" i="71"/>
  <c r="F106" i="71"/>
  <c r="F82" i="71"/>
  <c r="F70" i="71"/>
  <c r="F66" i="71"/>
  <c r="F101" i="71"/>
  <c r="F93" i="71"/>
  <c r="F92" i="71"/>
  <c r="F108" i="71"/>
  <c r="F107" i="71"/>
  <c r="F84" i="71"/>
  <c r="F83" i="71"/>
  <c r="F76" i="71"/>
  <c r="F95" i="71"/>
  <c r="F94" i="71"/>
  <c r="F71" i="71"/>
  <c r="F67" i="71"/>
  <c r="F63" i="71"/>
  <c r="F62" i="71"/>
  <c r="F85" i="71"/>
  <c r="F54" i="71"/>
  <c r="F110" i="71"/>
  <c r="F72" i="71"/>
  <c r="F59" i="71"/>
  <c r="D59" i="71"/>
  <c r="F49" i="71"/>
  <c r="F42" i="71"/>
  <c r="L12" i="71"/>
  <c r="N12" i="71" s="1"/>
  <c r="F115" i="71"/>
  <c r="F75" i="71"/>
  <c r="F53" i="71"/>
  <c r="F90" i="71"/>
  <c r="F73" i="71"/>
  <c r="F109" i="71"/>
  <c r="F86" i="71"/>
  <c r="F77" i="71"/>
  <c r="F57" i="71"/>
  <c r="F46" i="71"/>
  <c r="F61" i="71"/>
  <c r="F119" i="71"/>
  <c r="F91" i="71"/>
  <c r="F50" i="71"/>
  <c r="F41" i="71"/>
  <c r="F45" i="71"/>
  <c r="F114" i="71"/>
  <c r="F102" i="71"/>
  <c r="Z16" i="64"/>
  <c r="T95" i="64"/>
  <c r="Z16" i="56"/>
  <c r="T73" i="56"/>
  <c r="X73" i="56" s="1"/>
  <c r="T26" i="54"/>
  <c r="Z22" i="54"/>
  <c r="Z16" i="58"/>
  <c r="T71" i="58"/>
  <c r="D122" i="36"/>
  <c r="L30" i="36"/>
  <c r="R111" i="36"/>
  <c r="R103" i="36"/>
  <c r="R99" i="36"/>
  <c r="R87" i="36"/>
  <c r="R80" i="36"/>
  <c r="R79" i="36"/>
  <c r="R59" i="36"/>
  <c r="R27" i="36"/>
  <c r="R70" i="36"/>
  <c r="R51" i="36"/>
  <c r="R50" i="36"/>
  <c r="R46" i="36"/>
  <c r="R93" i="36"/>
  <c r="R82" i="36"/>
  <c r="R81" i="36"/>
  <c r="R41" i="36"/>
  <c r="R37" i="36"/>
  <c r="R112" i="36"/>
  <c r="R104" i="36"/>
  <c r="R100" i="36"/>
  <c r="R83" i="36"/>
  <c r="R72" i="36"/>
  <c r="R71" i="36"/>
  <c r="R47" i="36"/>
  <c r="R32" i="36"/>
  <c r="R95" i="36"/>
  <c r="R94" i="36"/>
  <c r="R90" i="36"/>
  <c r="R63" i="36"/>
  <c r="R62" i="36"/>
  <c r="R55" i="36"/>
  <c r="R54" i="36"/>
  <c r="R43" i="36"/>
  <c r="R42" i="36"/>
  <c r="R38" i="36"/>
  <c r="R34" i="36"/>
  <c r="P30" i="36"/>
  <c r="R120" i="36"/>
  <c r="R114" i="36"/>
  <c r="R113" i="36"/>
  <c r="R106" i="36"/>
  <c r="R105" i="36"/>
  <c r="R101" i="36"/>
  <c r="R74" i="36"/>
  <c r="R73" i="36"/>
  <c r="R119" i="36"/>
  <c r="R97" i="36"/>
  <c r="R96" i="36"/>
  <c r="R84" i="36"/>
  <c r="R65" i="36"/>
  <c r="R64" i="36"/>
  <c r="R57" i="36"/>
  <c r="R56" i="36"/>
  <c r="R48" i="36"/>
  <c r="R44" i="36"/>
  <c r="X12" i="36"/>
  <c r="Z12" i="36" s="1"/>
  <c r="R118" i="36"/>
  <c r="R115" i="36"/>
  <c r="R108" i="36"/>
  <c r="R107" i="36"/>
  <c r="R91" i="36"/>
  <c r="R124" i="36"/>
  <c r="R117" i="36"/>
  <c r="R102" i="36"/>
  <c r="R98" i="36"/>
  <c r="R67" i="36"/>
  <c r="R66" i="36"/>
  <c r="R58" i="36"/>
  <c r="R110" i="36"/>
  <c r="R109" i="36"/>
  <c r="R86" i="36"/>
  <c r="R85" i="36"/>
  <c r="R78" i="36"/>
  <c r="R77" i="36"/>
  <c r="R49" i="36"/>
  <c r="R45" i="36"/>
  <c r="R26" i="36"/>
  <c r="R92" i="36"/>
  <c r="R69" i="36"/>
  <c r="R68" i="36"/>
  <c r="R40" i="36"/>
  <c r="R36" i="36"/>
  <c r="R76" i="36"/>
  <c r="R53" i="36"/>
  <c r="R33" i="36"/>
  <c r="R88" i="36"/>
  <c r="R61" i="36"/>
  <c r="R35" i="36"/>
  <c r="R28" i="36"/>
  <c r="R75" i="36"/>
  <c r="R89" i="36"/>
  <c r="R52" i="36"/>
  <c r="R39" i="36"/>
  <c r="R60" i="36"/>
  <c r="P103" i="21"/>
  <c r="X28" i="21"/>
  <c r="Z28" i="21" s="1"/>
  <c r="Z272" i="18"/>
  <c r="H94" i="9"/>
  <c r="T27" i="50"/>
  <c r="Z18" i="50"/>
  <c r="D27" i="49"/>
  <c r="L18" i="49"/>
  <c r="T27" i="40"/>
  <c r="Z18" i="40"/>
  <c r="D27" i="35"/>
  <c r="L18" i="35"/>
  <c r="H27" i="37"/>
  <c r="N18" i="37"/>
  <c r="L18" i="37"/>
  <c r="D27" i="37"/>
  <c r="X18" i="35"/>
  <c r="P27" i="35"/>
  <c r="H27" i="25"/>
  <c r="N18" i="25"/>
  <c r="L18" i="23"/>
  <c r="D27" i="23"/>
  <c r="L18" i="20"/>
  <c r="D27" i="20"/>
  <c r="L18" i="10"/>
  <c r="D27" i="10"/>
  <c r="F91" i="69"/>
  <c r="F90" i="69"/>
  <c r="F83" i="69"/>
  <c r="D69" i="69"/>
  <c r="F102" i="69"/>
  <c r="F101" i="69"/>
  <c r="F78" i="69"/>
  <c r="F74" i="69"/>
  <c r="F109" i="69"/>
  <c r="F65" i="69"/>
  <c r="F61" i="69"/>
  <c r="F57" i="69"/>
  <c r="F53" i="69"/>
  <c r="F49" i="69"/>
  <c r="F48" i="69"/>
  <c r="F92" i="69"/>
  <c r="F84" i="69"/>
  <c r="L12" i="69"/>
  <c r="N12" i="69" s="1"/>
  <c r="F111" i="69"/>
  <c r="F110" i="69"/>
  <c r="F103" i="69"/>
  <c r="F79" i="69"/>
  <c r="F75" i="69"/>
  <c r="F94" i="69"/>
  <c r="F93" i="69"/>
  <c r="F66" i="69"/>
  <c r="F62" i="69"/>
  <c r="F58" i="69"/>
  <c r="F54" i="69"/>
  <c r="F50" i="69"/>
  <c r="F113" i="69"/>
  <c r="F112" i="69"/>
  <c r="F105" i="69"/>
  <c r="F104" i="69"/>
  <c r="F85" i="69"/>
  <c r="F96" i="69"/>
  <c r="F95" i="69"/>
  <c r="F80" i="69"/>
  <c r="F76" i="69"/>
  <c r="F87" i="69"/>
  <c r="F86" i="69"/>
  <c r="F67" i="69"/>
  <c r="F63" i="69"/>
  <c r="F59" i="69"/>
  <c r="F55" i="69"/>
  <c r="F51" i="69"/>
  <c r="F119" i="69"/>
  <c r="F89" i="69"/>
  <c r="F88" i="69"/>
  <c r="F77" i="69"/>
  <c r="F73" i="69"/>
  <c r="F72" i="69"/>
  <c r="F115" i="69"/>
  <c r="F82" i="69"/>
  <c r="F99" i="69"/>
  <c r="F64" i="69"/>
  <c r="F56" i="69"/>
  <c r="F107" i="69"/>
  <c r="F97" i="69"/>
  <c r="F71" i="69"/>
  <c r="F100" i="69"/>
  <c r="F81" i="69"/>
  <c r="F108" i="69"/>
  <c r="F60" i="69"/>
  <c r="F52" i="69"/>
  <c r="F106" i="69"/>
  <c r="F98" i="69"/>
  <c r="H84" i="108"/>
  <c r="N21" i="108"/>
  <c r="Z33" i="109"/>
  <c r="Z40" i="100"/>
  <c r="T77" i="95"/>
  <c r="V20" i="95"/>
  <c r="H34" i="86"/>
  <c r="R73" i="84"/>
  <c r="R69" i="84"/>
  <c r="R62" i="84"/>
  <c r="R61" i="84"/>
  <c r="R54" i="84"/>
  <c r="R53" i="84"/>
  <c r="R17" i="84"/>
  <c r="R45" i="84"/>
  <c r="R44" i="84"/>
  <c r="R36" i="84"/>
  <c r="X12" i="84"/>
  <c r="Z12" i="84" s="1"/>
  <c r="R63" i="84"/>
  <c r="R56" i="84"/>
  <c r="R55" i="84"/>
  <c r="R32" i="84"/>
  <c r="R31" i="84"/>
  <c r="R27" i="84"/>
  <c r="R75" i="84"/>
  <c r="R74" i="84"/>
  <c r="R70" i="84"/>
  <c r="R46" i="84"/>
  <c r="R58" i="84"/>
  <c r="R57" i="84"/>
  <c r="R37" i="84"/>
  <c r="R33" i="84"/>
  <c r="R22" i="84"/>
  <c r="R77" i="84"/>
  <c r="R76" i="84"/>
  <c r="R64" i="84"/>
  <c r="R28" i="84"/>
  <c r="R24" i="84"/>
  <c r="R71" i="84"/>
  <c r="R59" i="84"/>
  <c r="R48" i="84"/>
  <c r="R47" i="84"/>
  <c r="R78" i="84"/>
  <c r="R39" i="84"/>
  <c r="R38" i="84"/>
  <c r="R34" i="84"/>
  <c r="R80" i="84"/>
  <c r="R66" i="84"/>
  <c r="R65" i="84"/>
  <c r="R50" i="84"/>
  <c r="R49" i="84"/>
  <c r="R29" i="84"/>
  <c r="R25" i="84"/>
  <c r="R68" i="84"/>
  <c r="R67" i="84"/>
  <c r="R52" i="84"/>
  <c r="R51" i="84"/>
  <c r="R35" i="84"/>
  <c r="R16" i="84"/>
  <c r="R30" i="84"/>
  <c r="R23" i="84"/>
  <c r="R18" i="84"/>
  <c r="R42" i="84"/>
  <c r="R40" i="84"/>
  <c r="R72" i="84"/>
  <c r="R26" i="84"/>
  <c r="R84" i="84"/>
  <c r="R60" i="84"/>
  <c r="R43" i="84"/>
  <c r="R41" i="84"/>
  <c r="P20" i="84"/>
  <c r="Z18" i="86"/>
  <c r="T30" i="86"/>
  <c r="Z21" i="83"/>
  <c r="T29" i="83"/>
  <c r="H64" i="79"/>
  <c r="V67" i="76"/>
  <c r="V59" i="76"/>
  <c r="V51" i="76"/>
  <c r="V71" i="76"/>
  <c r="V68" i="76"/>
  <c r="V58" i="76"/>
  <c r="V38" i="76"/>
  <c r="V34" i="76"/>
  <c r="V70" i="76"/>
  <c r="V57" i="76"/>
  <c r="V53" i="76"/>
  <c r="V45" i="76"/>
  <c r="V63" i="76"/>
  <c r="V52" i="76"/>
  <c r="V44" i="76"/>
  <c r="V40" i="76"/>
  <c r="Z12" i="76"/>
  <c r="V60" i="76"/>
  <c r="V39" i="76"/>
  <c r="V35" i="76"/>
  <c r="V31" i="76"/>
  <c r="V47" i="76"/>
  <c r="V46" i="76"/>
  <c r="V30" i="76"/>
  <c r="V28" i="76"/>
  <c r="V26" i="76"/>
  <c r="V55" i="76"/>
  <c r="V54" i="76"/>
  <c r="V41" i="76"/>
  <c r="T28" i="76"/>
  <c r="V75" i="76"/>
  <c r="V65" i="76"/>
  <c r="V64" i="76"/>
  <c r="V61" i="76"/>
  <c r="V36" i="76"/>
  <c r="V32" i="76"/>
  <c r="V49" i="76"/>
  <c r="V48" i="76"/>
  <c r="V42" i="76"/>
  <c r="V66" i="76"/>
  <c r="V56" i="76"/>
  <c r="V37" i="76"/>
  <c r="V33" i="76"/>
  <c r="V43" i="76"/>
  <c r="V50" i="76"/>
  <c r="V62" i="76"/>
  <c r="V57" i="79"/>
  <c r="R65" i="76"/>
  <c r="R64" i="76"/>
  <c r="R49" i="76"/>
  <c r="R48" i="76"/>
  <c r="R51" i="76"/>
  <c r="R50" i="76"/>
  <c r="R43" i="76"/>
  <c r="R68" i="76"/>
  <c r="R38" i="76"/>
  <c r="R34" i="76"/>
  <c r="R71" i="76"/>
  <c r="R58" i="76"/>
  <c r="R57" i="76"/>
  <c r="R70" i="76"/>
  <c r="R63" i="76"/>
  <c r="R53" i="76"/>
  <c r="R52" i="76"/>
  <c r="R45" i="76"/>
  <c r="R44" i="76"/>
  <c r="X12" i="76"/>
  <c r="R59" i="76"/>
  <c r="R40" i="76"/>
  <c r="R39" i="76"/>
  <c r="R35" i="76"/>
  <c r="R60" i="76"/>
  <c r="R46" i="76"/>
  <c r="R31" i="76"/>
  <c r="R54" i="76"/>
  <c r="R47" i="76"/>
  <c r="R41" i="76"/>
  <c r="R30" i="76"/>
  <c r="R26" i="76"/>
  <c r="R75" i="76"/>
  <c r="R61" i="76"/>
  <c r="R55" i="76"/>
  <c r="R36" i="76"/>
  <c r="R32" i="76"/>
  <c r="P28" i="76"/>
  <c r="R42" i="76"/>
  <c r="R67" i="76"/>
  <c r="R56" i="76"/>
  <c r="R33" i="76"/>
  <c r="R62" i="76"/>
  <c r="R37" i="76"/>
  <c r="R66" i="76"/>
  <c r="V89" i="74"/>
  <c r="V79" i="74"/>
  <c r="V67" i="74"/>
  <c r="V63" i="74"/>
  <c r="V69" i="74"/>
  <c r="V80" i="74"/>
  <c r="V64" i="74"/>
  <c r="V81" i="74"/>
  <c r="V73" i="74"/>
  <c r="V65" i="74"/>
  <c r="V85" i="74"/>
  <c r="V83" i="74"/>
  <c r="V74" i="74"/>
  <c r="V66" i="74"/>
  <c r="V68" i="74"/>
  <c r="V56" i="74"/>
  <c r="V42" i="74"/>
  <c r="V61" i="74"/>
  <c r="V77" i="74"/>
  <c r="T52" i="74"/>
  <c r="V48" i="74"/>
  <c r="V45" i="74"/>
  <c r="V39" i="74"/>
  <c r="V35" i="74"/>
  <c r="V59" i="74"/>
  <c r="V54" i="74"/>
  <c r="V75" i="74"/>
  <c r="V71" i="74"/>
  <c r="V57" i="74"/>
  <c r="V43" i="74"/>
  <c r="V40" i="74"/>
  <c r="V36" i="74"/>
  <c r="V62" i="74"/>
  <c r="V55" i="74"/>
  <c r="V46" i="74"/>
  <c r="V49" i="74"/>
  <c r="V60" i="74"/>
  <c r="V41" i="74"/>
  <c r="V37" i="74"/>
  <c r="V72" i="74"/>
  <c r="V44" i="74"/>
  <c r="V70" i="74"/>
  <c r="V76" i="74"/>
  <c r="V58" i="74"/>
  <c r="V50" i="74"/>
  <c r="V82" i="74"/>
  <c r="V47" i="74"/>
  <c r="V38" i="74"/>
  <c r="V78" i="74"/>
  <c r="X12" i="74"/>
  <c r="Z12" i="74" s="1"/>
  <c r="D73" i="70"/>
  <c r="L69" i="70"/>
  <c r="H79" i="73"/>
  <c r="F72" i="74"/>
  <c r="F60" i="74"/>
  <c r="F56" i="74"/>
  <c r="F55" i="74"/>
  <c r="F74" i="74"/>
  <c r="F73" i="74"/>
  <c r="F66" i="74"/>
  <c r="F61" i="74"/>
  <c r="F57" i="74"/>
  <c r="F78" i="74"/>
  <c r="F77" i="74"/>
  <c r="F62" i="74"/>
  <c r="F58" i="74"/>
  <c r="F80" i="74"/>
  <c r="F79" i="74"/>
  <c r="F71" i="74"/>
  <c r="F70" i="74"/>
  <c r="F59" i="74"/>
  <c r="F76" i="74"/>
  <c r="F63" i="74"/>
  <c r="F44" i="74"/>
  <c r="F41" i="74"/>
  <c r="F37" i="74"/>
  <c r="F85" i="74"/>
  <c r="F81" i="74"/>
  <c r="F47" i="74"/>
  <c r="L12" i="74"/>
  <c r="N12" i="74" s="1"/>
  <c r="F64" i="74"/>
  <c r="F50" i="74"/>
  <c r="F67" i="74"/>
  <c r="F42" i="74"/>
  <c r="F38" i="74"/>
  <c r="F82" i="74"/>
  <c r="F48" i="74"/>
  <c r="F45" i="74"/>
  <c r="F83" i="74"/>
  <c r="F68" i="74"/>
  <c r="F65" i="74"/>
  <c r="F39" i="74"/>
  <c r="F52" i="74"/>
  <c r="F69" i="74"/>
  <c r="D52" i="74"/>
  <c r="F43" i="74"/>
  <c r="F49" i="74"/>
  <c r="F75" i="74"/>
  <c r="F54" i="74"/>
  <c r="F35" i="74"/>
  <c r="F46" i="74"/>
  <c r="F40" i="74"/>
  <c r="F89" i="74"/>
  <c r="F36" i="74"/>
  <c r="X16" i="55"/>
  <c r="P33" i="55"/>
  <c r="X16" i="60"/>
  <c r="R17" i="48"/>
  <c r="P92" i="45"/>
  <c r="X24" i="45"/>
  <c r="V54" i="51"/>
  <c r="X29" i="42"/>
  <c r="P119" i="42"/>
  <c r="P130" i="39"/>
  <c r="N29" i="42"/>
  <c r="H119" i="42"/>
  <c r="F37" i="33"/>
  <c r="F145" i="30"/>
  <c r="V146" i="30"/>
  <c r="V116" i="30"/>
  <c r="V108" i="30"/>
  <c r="V96" i="30"/>
  <c r="V88" i="30"/>
  <c r="V64" i="30"/>
  <c r="V60" i="30"/>
  <c r="V56" i="30"/>
  <c r="V52" i="30"/>
  <c r="V48" i="30"/>
  <c r="V145" i="30"/>
  <c r="V143" i="30"/>
  <c r="V135" i="30"/>
  <c r="V123" i="30"/>
  <c r="V107" i="30"/>
  <c r="V99" i="30"/>
  <c r="V87" i="30"/>
  <c r="V83" i="30"/>
  <c r="V134" i="30"/>
  <c r="V130" i="30"/>
  <c r="V118" i="30"/>
  <c r="V110" i="30"/>
  <c r="V98" i="30"/>
  <c r="V90" i="30"/>
  <c r="V78" i="30"/>
  <c r="V74" i="30"/>
  <c r="V137" i="30"/>
  <c r="V125" i="30"/>
  <c r="V117" i="30"/>
  <c r="V109" i="30"/>
  <c r="V101" i="30"/>
  <c r="V89" i="30"/>
  <c r="V65" i="30"/>
  <c r="V61" i="30"/>
  <c r="V57" i="30"/>
  <c r="V53" i="30"/>
  <c r="V49" i="30"/>
  <c r="V45" i="30"/>
  <c r="V150" i="30"/>
  <c r="V136" i="30"/>
  <c r="V124" i="30"/>
  <c r="V112" i="30"/>
  <c r="V100" i="30"/>
  <c r="V92" i="30"/>
  <c r="V84" i="30"/>
  <c r="Z12" i="30"/>
  <c r="V139" i="30"/>
  <c r="V131" i="30"/>
  <c r="V119" i="30"/>
  <c r="V111" i="30"/>
  <c r="V91" i="30"/>
  <c r="V79" i="30"/>
  <c r="V75" i="30"/>
  <c r="V138" i="30"/>
  <c r="V126" i="30"/>
  <c r="V114" i="30"/>
  <c r="V102" i="30"/>
  <c r="V94" i="30"/>
  <c r="V121" i="30"/>
  <c r="V113" i="30"/>
  <c r="V93" i="30"/>
  <c r="V85" i="30"/>
  <c r="V81" i="30"/>
  <c r="V140" i="30"/>
  <c r="V132" i="30"/>
  <c r="V128" i="30"/>
  <c r="V120" i="30"/>
  <c r="V104" i="30"/>
  <c r="V80" i="30"/>
  <c r="V76" i="30"/>
  <c r="V72" i="30"/>
  <c r="V127" i="30"/>
  <c r="V115" i="30"/>
  <c r="V103" i="30"/>
  <c r="V95" i="30"/>
  <c r="V71" i="30"/>
  <c r="V67" i="30"/>
  <c r="V63" i="30"/>
  <c r="V59" i="30"/>
  <c r="V55" i="30"/>
  <c r="V51" i="30"/>
  <c r="V47" i="30"/>
  <c r="V142" i="30"/>
  <c r="V122" i="30"/>
  <c r="V106" i="30"/>
  <c r="V86" i="30"/>
  <c r="V82" i="30"/>
  <c r="T69" i="30"/>
  <c r="X69" i="30" s="1"/>
  <c r="V141" i="30"/>
  <c r="V133" i="30"/>
  <c r="V129" i="30"/>
  <c r="V105" i="30"/>
  <c r="V97" i="30"/>
  <c r="V77" i="30"/>
  <c r="V73" i="30"/>
  <c r="V44" i="30"/>
  <c r="V54" i="30"/>
  <c r="V46" i="30"/>
  <c r="V66" i="30"/>
  <c r="V58" i="30"/>
  <c r="V50" i="30"/>
  <c r="V62" i="30"/>
  <c r="R310" i="3"/>
  <c r="R303" i="3"/>
  <c r="R288" i="3"/>
  <c r="R280" i="3"/>
  <c r="R276" i="3"/>
  <c r="R241" i="3"/>
  <c r="R240" i="3"/>
  <c r="R225" i="3"/>
  <c r="R224" i="3"/>
  <c r="R216" i="3"/>
  <c r="R212" i="3"/>
  <c r="X12" i="3"/>
  <c r="Z12" i="3" s="1"/>
  <c r="R315" i="3"/>
  <c r="R314" i="3"/>
  <c r="R302" i="3"/>
  <c r="R271" i="3"/>
  <c r="R260" i="3"/>
  <c r="R259" i="3"/>
  <c r="R252" i="3"/>
  <c r="R251" i="3"/>
  <c r="R232" i="3"/>
  <c r="R231" i="3"/>
  <c r="R207" i="3"/>
  <c r="R203" i="3"/>
  <c r="R195" i="3"/>
  <c r="R167" i="3"/>
  <c r="R151" i="3"/>
  <c r="R304" i="3"/>
  <c r="R269" i="3"/>
  <c r="R301" i="3"/>
  <c r="R266" i="3"/>
  <c r="R242" i="3"/>
  <c r="R226" i="3"/>
  <c r="R194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142" i="3"/>
  <c r="R138" i="3"/>
  <c r="R187" i="3"/>
  <c r="R183" i="3"/>
  <c r="R179" i="3"/>
  <c r="R175" i="3"/>
  <c r="R249" i="3"/>
  <c r="R300" i="3"/>
  <c r="R289" i="3"/>
  <c r="R282" i="3"/>
  <c r="R281" i="3"/>
  <c r="R277" i="3"/>
  <c r="R261" i="3"/>
  <c r="R254" i="3"/>
  <c r="R253" i="3"/>
  <c r="R234" i="3"/>
  <c r="R233" i="3"/>
  <c r="R218" i="3"/>
  <c r="R217" i="3"/>
  <c r="R213" i="3"/>
  <c r="R299" i="3"/>
  <c r="R273" i="3"/>
  <c r="R272" i="3"/>
  <c r="R208" i="3"/>
  <c r="R204" i="3"/>
  <c r="R191" i="3"/>
  <c r="R171" i="3"/>
  <c r="R163" i="3"/>
  <c r="R155" i="3"/>
  <c r="R143" i="3"/>
  <c r="R139" i="3"/>
  <c r="R298" i="3"/>
  <c r="R283" i="3"/>
  <c r="R267" i="3"/>
  <c r="R256" i="3"/>
  <c r="R255" i="3"/>
  <c r="R244" i="3"/>
  <c r="R243" i="3"/>
  <c r="R236" i="3"/>
  <c r="R235" i="3"/>
  <c r="R227" i="3"/>
  <c r="R220" i="3"/>
  <c r="R219" i="3"/>
  <c r="R200" i="3"/>
  <c r="R159" i="3"/>
  <c r="R147" i="3"/>
  <c r="R297" i="3"/>
  <c r="R291" i="3"/>
  <c r="R290" i="3"/>
  <c r="R278" i="3"/>
  <c r="R274" i="3"/>
  <c r="R262" i="3"/>
  <c r="R214" i="3"/>
  <c r="R199" i="3"/>
  <c r="R270" i="3"/>
  <c r="R296" i="3"/>
  <c r="R257" i="3"/>
  <c r="R246" i="3"/>
  <c r="R245" i="3"/>
  <c r="R238" i="3"/>
  <c r="R237" i="3"/>
  <c r="R221" i="3"/>
  <c r="R210" i="3"/>
  <c r="R209" i="3"/>
  <c r="R205" i="3"/>
  <c r="R201" i="3"/>
  <c r="P197" i="3"/>
  <c r="R265" i="3"/>
  <c r="R295" i="3"/>
  <c r="R292" i="3"/>
  <c r="R285" i="3"/>
  <c r="R284" i="3"/>
  <c r="R268" i="3"/>
  <c r="R229" i="3"/>
  <c r="R228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R140" i="3"/>
  <c r="R250" i="3"/>
  <c r="R306" i="3"/>
  <c r="R294" i="3"/>
  <c r="R279" i="3"/>
  <c r="R275" i="3"/>
  <c r="R264" i="3"/>
  <c r="R263" i="3"/>
  <c r="R248" i="3"/>
  <c r="R247" i="3"/>
  <c r="R239" i="3"/>
  <c r="R215" i="3"/>
  <c r="R211" i="3"/>
  <c r="R136" i="3"/>
  <c r="R305" i="3"/>
  <c r="R287" i="3"/>
  <c r="R286" i="3"/>
  <c r="R258" i="3"/>
  <c r="R230" i="3"/>
  <c r="R223" i="3"/>
  <c r="R222" i="3"/>
  <c r="R206" i="3"/>
  <c r="R202" i="3"/>
  <c r="R189" i="3"/>
  <c r="R181" i="3"/>
  <c r="R137" i="3"/>
  <c r="R153" i="3"/>
  <c r="R145" i="3"/>
  <c r="R193" i="3"/>
  <c r="R173" i="3"/>
  <c r="R165" i="3"/>
  <c r="R157" i="3"/>
  <c r="R149" i="3"/>
  <c r="R185" i="3"/>
  <c r="R141" i="3"/>
  <c r="R161" i="3"/>
  <c r="R177" i="3"/>
  <c r="R169" i="3"/>
  <c r="L18" i="111"/>
  <c r="D27" i="111"/>
  <c r="X18" i="112"/>
  <c r="P27" i="112"/>
  <c r="P27" i="44"/>
  <c r="X18" i="44"/>
  <c r="P27" i="37"/>
  <c r="X18" i="37"/>
  <c r="L18" i="28"/>
  <c r="D27" i="28"/>
  <c r="P119" i="85"/>
  <c r="X56" i="85"/>
  <c r="V114" i="85"/>
  <c r="V113" i="85"/>
  <c r="V100" i="85"/>
  <c r="V92" i="85"/>
  <c r="V117" i="85"/>
  <c r="V115" i="85"/>
  <c r="V121" i="85"/>
  <c r="V103" i="85"/>
  <c r="V112" i="85"/>
  <c r="V86" i="85"/>
  <c r="V74" i="85"/>
  <c r="V58" i="85"/>
  <c r="V54" i="85"/>
  <c r="V50" i="85"/>
  <c r="V46" i="85"/>
  <c r="V42" i="85"/>
  <c r="V38" i="85"/>
  <c r="V106" i="85"/>
  <c r="V89" i="85"/>
  <c r="V77" i="85"/>
  <c r="V69" i="85"/>
  <c r="T56" i="85"/>
  <c r="V56" i="85" s="1"/>
  <c r="V109" i="85"/>
  <c r="V99" i="85"/>
  <c r="V88" i="85"/>
  <c r="V76" i="85"/>
  <c r="V64" i="85"/>
  <c r="V60" i="85"/>
  <c r="V104" i="85"/>
  <c r="V96" i="85"/>
  <c r="V91" i="85"/>
  <c r="V79" i="85"/>
  <c r="V51" i="85"/>
  <c r="V47" i="85"/>
  <c r="V43" i="85"/>
  <c r="V39" i="85"/>
  <c r="V110" i="85"/>
  <c r="V90" i="85"/>
  <c r="V78" i="85"/>
  <c r="V70" i="85"/>
  <c r="V107" i="85"/>
  <c r="V81" i="85"/>
  <c r="V65" i="85"/>
  <c r="V61" i="85"/>
  <c r="V93" i="85"/>
  <c r="V80" i="85"/>
  <c r="V52" i="85"/>
  <c r="V48" i="85"/>
  <c r="V44" i="85"/>
  <c r="V40" i="85"/>
  <c r="V36" i="85"/>
  <c r="V83" i="85"/>
  <c r="V71" i="85"/>
  <c r="V105" i="85"/>
  <c r="V97" i="85"/>
  <c r="V82" i="85"/>
  <c r="V66" i="85"/>
  <c r="V62" i="85"/>
  <c r="V111" i="85"/>
  <c r="V102" i="85"/>
  <c r="V98" i="85"/>
  <c r="V84" i="85"/>
  <c r="V72" i="85"/>
  <c r="V68" i="85"/>
  <c r="Z12" i="85"/>
  <c r="V67" i="85"/>
  <c r="V59" i="85"/>
  <c r="X12" i="85"/>
  <c r="V108" i="85"/>
  <c r="V73" i="85"/>
  <c r="V49" i="85"/>
  <c r="V101" i="85"/>
  <c r="V94" i="85"/>
  <c r="V41" i="85"/>
  <c r="V85" i="85"/>
  <c r="V75" i="85"/>
  <c r="V63" i="85"/>
  <c r="V95" i="85"/>
  <c r="V87" i="85"/>
  <c r="V37" i="85"/>
  <c r="V53" i="85"/>
  <c r="V45" i="85"/>
  <c r="X17" i="110"/>
  <c r="P69" i="110"/>
  <c r="P37" i="109"/>
  <c r="X16" i="109"/>
  <c r="L16" i="107"/>
  <c r="D24" i="107"/>
  <c r="T89" i="106"/>
  <c r="X16" i="107"/>
  <c r="L23" i="102"/>
  <c r="D82" i="102"/>
  <c r="F23" i="102"/>
  <c r="V61" i="101"/>
  <c r="R68" i="102"/>
  <c r="R56" i="102"/>
  <c r="R45" i="102"/>
  <c r="R44" i="102"/>
  <c r="R32" i="102"/>
  <c r="R28" i="102"/>
  <c r="R76" i="102"/>
  <c r="R75" i="102"/>
  <c r="R64" i="102"/>
  <c r="R63" i="102"/>
  <c r="R47" i="102"/>
  <c r="R46" i="102"/>
  <c r="R38" i="102"/>
  <c r="R19" i="102"/>
  <c r="R80" i="102"/>
  <c r="R77" i="102"/>
  <c r="R69" i="102"/>
  <c r="R65" i="102"/>
  <c r="R79" i="102"/>
  <c r="R39" i="102"/>
  <c r="R84" i="102"/>
  <c r="R26" i="102"/>
  <c r="R21" i="102"/>
  <c r="R73" i="102"/>
  <c r="R60" i="102"/>
  <c r="R51" i="102"/>
  <c r="R36" i="102"/>
  <c r="R33" i="102"/>
  <c r="P23" i="102"/>
  <c r="R71" i="102"/>
  <c r="R41" i="102"/>
  <c r="R67" i="102"/>
  <c r="R55" i="102"/>
  <c r="R52" i="102"/>
  <c r="R25" i="102"/>
  <c r="R74" i="102"/>
  <c r="R61" i="102"/>
  <c r="R48" i="102"/>
  <c r="R31" i="102"/>
  <c r="R29" i="102"/>
  <c r="R20" i="102"/>
  <c r="R72" i="102"/>
  <c r="R58" i="102"/>
  <c r="R49" i="102"/>
  <c r="R53" i="102"/>
  <c r="R34" i="102"/>
  <c r="R70" i="102"/>
  <c r="R42" i="102"/>
  <c r="R37" i="102"/>
  <c r="R66" i="102"/>
  <c r="R59" i="102"/>
  <c r="R35" i="102"/>
  <c r="R27" i="102"/>
  <c r="R43" i="102"/>
  <c r="R54" i="102"/>
  <c r="X12" i="102"/>
  <c r="Z12" i="102" s="1"/>
  <c r="R23" i="102"/>
  <c r="R50" i="102"/>
  <c r="R40" i="102"/>
  <c r="R30" i="102"/>
  <c r="R62" i="102"/>
  <c r="R57" i="102"/>
  <c r="D43" i="100"/>
  <c r="L17" i="100"/>
  <c r="R20" i="96"/>
  <c r="N85" i="92"/>
  <c r="X64" i="94"/>
  <c r="Z64" i="94" s="1"/>
  <c r="F20" i="93"/>
  <c r="P80" i="89"/>
  <c r="X16" i="82"/>
  <c r="N20" i="80"/>
  <c r="H70" i="80"/>
  <c r="J20" i="80"/>
  <c r="Z96" i="77"/>
  <c r="D70" i="80"/>
  <c r="L20" i="80"/>
  <c r="X29" i="83"/>
  <c r="P33" i="83"/>
  <c r="D64" i="79"/>
  <c r="L25" i="79"/>
  <c r="N25" i="79" s="1"/>
  <c r="L96" i="77"/>
  <c r="N96" i="77" s="1"/>
  <c r="Z112" i="71"/>
  <c r="R52" i="74"/>
  <c r="L16" i="60"/>
  <c r="L16" i="56"/>
  <c r="D73" i="56"/>
  <c r="X16" i="57"/>
  <c r="P66" i="57"/>
  <c r="X22" i="54"/>
  <c r="J71" i="48"/>
  <c r="J65" i="48"/>
  <c r="J60" i="48"/>
  <c r="J54" i="48"/>
  <c r="J44" i="48"/>
  <c r="J34" i="48"/>
  <c r="J30" i="48"/>
  <c r="J20" i="48"/>
  <c r="J61" i="48"/>
  <c r="J55" i="48"/>
  <c r="J45" i="48"/>
  <c r="J25" i="48"/>
  <c r="J21" i="48"/>
  <c r="J19" i="48"/>
  <c r="J15" i="48"/>
  <c r="J62" i="48"/>
  <c r="J56" i="48"/>
  <c r="J46" i="48"/>
  <c r="H17" i="48"/>
  <c r="L17" i="48" s="1"/>
  <c r="J63" i="48"/>
  <c r="J47" i="48"/>
  <c r="J35" i="48"/>
  <c r="J31" i="48"/>
  <c r="J48" i="48"/>
  <c r="J36" i="48"/>
  <c r="J26" i="48"/>
  <c r="J22" i="48"/>
  <c r="J57" i="48"/>
  <c r="J49" i="48"/>
  <c r="J37" i="48"/>
  <c r="J66" i="48"/>
  <c r="J50" i="48"/>
  <c r="J38" i="48"/>
  <c r="J32" i="48"/>
  <c r="N12" i="48"/>
  <c r="J67" i="48"/>
  <c r="J51" i="48"/>
  <c r="J39" i="48"/>
  <c r="J27" i="48"/>
  <c r="J23" i="48"/>
  <c r="J58" i="48"/>
  <c r="J52" i="48"/>
  <c r="J40" i="48"/>
  <c r="J53" i="48"/>
  <c r="J41" i="48"/>
  <c r="J33" i="48"/>
  <c r="J42" i="48"/>
  <c r="J28" i="48"/>
  <c r="J24" i="48"/>
  <c r="J29" i="48"/>
  <c r="J43" i="48"/>
  <c r="J59" i="48"/>
  <c r="N113" i="27"/>
  <c r="H285" i="18"/>
  <c r="N183" i="18"/>
  <c r="J183" i="18"/>
  <c r="V60" i="27"/>
  <c r="F272" i="18"/>
  <c r="V247" i="12"/>
  <c r="V219" i="12"/>
  <c r="V207" i="12"/>
  <c r="V199" i="12"/>
  <c r="V191" i="12"/>
  <c r="V159" i="12"/>
  <c r="V155" i="12"/>
  <c r="V151" i="12"/>
  <c r="V147" i="12"/>
  <c r="V143" i="12"/>
  <c r="V139" i="12"/>
  <c r="V135" i="12"/>
  <c r="V131" i="12"/>
  <c r="V127" i="12"/>
  <c r="V123" i="12"/>
  <c r="V119" i="12"/>
  <c r="V115" i="12"/>
  <c r="V111" i="12"/>
  <c r="V264" i="12"/>
  <c r="V230" i="12"/>
  <c r="V226" i="12"/>
  <c r="V210" i="12"/>
  <c r="V198" i="12"/>
  <c r="V190" i="12"/>
  <c r="V182" i="12"/>
  <c r="V178" i="12"/>
  <c r="V263" i="12"/>
  <c r="V249" i="12"/>
  <c r="V241" i="12"/>
  <c r="V237" i="12"/>
  <c r="V225" i="12"/>
  <c r="V209" i="12"/>
  <c r="V201" i="12"/>
  <c r="V173" i="12"/>
  <c r="V169" i="12"/>
  <c r="V262" i="12"/>
  <c r="V232" i="12"/>
  <c r="V220" i="12"/>
  <c r="V212" i="12"/>
  <c r="V200" i="12"/>
  <c r="V192" i="12"/>
  <c r="V18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261" i="12"/>
  <c r="V243" i="12"/>
  <c r="V231" i="12"/>
  <c r="V227" i="12"/>
  <c r="V211" i="12"/>
  <c r="V203" i="12"/>
  <c r="V183" i="12"/>
  <c r="V179" i="12"/>
  <c r="V268" i="12"/>
  <c r="V260" i="12"/>
  <c r="V250" i="12"/>
  <c r="V242" i="12"/>
  <c r="V238" i="12"/>
  <c r="V222" i="12"/>
  <c r="V259" i="12"/>
  <c r="V233" i="12"/>
  <c r="V221" i="12"/>
  <c r="V213" i="12"/>
  <c r="V193" i="12"/>
  <c r="V185" i="12"/>
  <c r="V165" i="12"/>
  <c r="V161" i="12"/>
  <c r="V157" i="12"/>
  <c r="V153" i="12"/>
  <c r="V149" i="12"/>
  <c r="V145" i="12"/>
  <c r="V141" i="12"/>
  <c r="V137" i="12"/>
  <c r="V133" i="12"/>
  <c r="V129" i="12"/>
  <c r="V125" i="12"/>
  <c r="V121" i="12"/>
  <c r="V117" i="12"/>
  <c r="V113" i="12"/>
  <c r="V109" i="12"/>
  <c r="V258" i="12"/>
  <c r="V252" i="12"/>
  <c r="V244" i="12"/>
  <c r="V228" i="12"/>
  <c r="V216" i="12"/>
  <c r="V204" i="12"/>
  <c r="V180" i="12"/>
  <c r="V176" i="12"/>
  <c r="T163" i="12"/>
  <c r="Z12" i="12"/>
  <c r="V257" i="12"/>
  <c r="V251" i="12"/>
  <c r="V239" i="12"/>
  <c r="V235" i="12"/>
  <c r="V223" i="12"/>
  <c r="V215" i="12"/>
  <c r="V195" i="12"/>
  <c r="V187" i="12"/>
  <c r="V175" i="12"/>
  <c r="V171" i="12"/>
  <c r="V167" i="12"/>
  <c r="V256" i="12"/>
  <c r="V246" i="12"/>
  <c r="V234" i="12"/>
  <c r="V218" i="12"/>
  <c r="V206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255" i="12"/>
  <c r="V253" i="12"/>
  <c r="V245" i="12"/>
  <c r="V229" i="12"/>
  <c r="V217" i="12"/>
  <c r="V205" i="12"/>
  <c r="V197" i="12"/>
  <c r="V189" i="12"/>
  <c r="V181" i="12"/>
  <c r="V177" i="12"/>
  <c r="V196" i="12"/>
  <c r="V172" i="12"/>
  <c r="V208" i="12"/>
  <c r="V248" i="12"/>
  <c r="V186" i="12"/>
  <c r="V236" i="12"/>
  <c r="V174" i="12"/>
  <c r="V202" i="12"/>
  <c r="V168" i="12"/>
  <c r="V224" i="12"/>
  <c r="V194" i="12"/>
  <c r="V188" i="12"/>
  <c r="V166" i="12"/>
  <c r="V170" i="12"/>
  <c r="V214" i="12"/>
  <c r="V240" i="12"/>
  <c r="N16" i="6"/>
  <c r="H22" i="6"/>
  <c r="L16" i="6"/>
  <c r="D22" i="6"/>
  <c r="X22" i="6"/>
  <c r="P26" i="6"/>
  <c r="H27" i="53"/>
  <c r="N18" i="53"/>
  <c r="H27" i="44"/>
  <c r="N18" i="44"/>
  <c r="T27" i="41"/>
  <c r="Z18" i="41"/>
  <c r="H27" i="34"/>
  <c r="N18" i="34"/>
  <c r="T27" i="38"/>
  <c r="Z18" i="38"/>
  <c r="X18" i="29"/>
  <c r="P27" i="29"/>
  <c r="P27" i="34"/>
  <c r="X18" i="34"/>
  <c r="L18" i="31"/>
  <c r="D27" i="31"/>
  <c r="T27" i="23"/>
  <c r="Z18" i="23"/>
  <c r="L18" i="11"/>
  <c r="D27" i="11"/>
  <c r="H27" i="8"/>
  <c r="N18" i="8"/>
  <c r="X18" i="13"/>
  <c r="P27" i="13"/>
  <c r="T27" i="4"/>
  <c r="Z18" i="4"/>
  <c r="L18" i="7"/>
  <c r="D27" i="7"/>
  <c r="X20" i="84" l="1"/>
  <c r="P82" i="84"/>
  <c r="X27" i="11"/>
  <c r="P31" i="11"/>
  <c r="P270" i="12"/>
  <c r="R266" i="12"/>
  <c r="D126" i="36"/>
  <c r="F122" i="36"/>
  <c r="D79" i="81"/>
  <c r="L75" i="81"/>
  <c r="F75" i="81"/>
  <c r="H70" i="57"/>
  <c r="P88" i="104"/>
  <c r="R84" i="104"/>
  <c r="H55" i="105"/>
  <c r="J51" i="105"/>
  <c r="H31" i="28"/>
  <c r="N27" i="28"/>
  <c r="H91" i="74"/>
  <c r="J87" i="74"/>
  <c r="X27" i="28"/>
  <c r="P31" i="28"/>
  <c r="L66" i="57"/>
  <c r="N66" i="57" s="1"/>
  <c r="H31" i="112"/>
  <c r="N27" i="112"/>
  <c r="T285" i="18"/>
  <c r="D105" i="51"/>
  <c r="F101" i="51"/>
  <c r="D96" i="45"/>
  <c r="F92" i="45"/>
  <c r="X66" i="57"/>
  <c r="P70" i="57"/>
  <c r="H74" i="80"/>
  <c r="J70" i="80"/>
  <c r="P31" i="37"/>
  <c r="X27" i="37"/>
  <c r="L69" i="69"/>
  <c r="N69" i="69" s="1"/>
  <c r="D117" i="69"/>
  <c r="N27" i="25"/>
  <c r="H31" i="25"/>
  <c r="D31" i="49"/>
  <c r="L27" i="49"/>
  <c r="T75" i="58"/>
  <c r="Z27" i="16"/>
  <c r="T31" i="16"/>
  <c r="L27" i="43"/>
  <c r="D31" i="43"/>
  <c r="L27" i="34"/>
  <c r="D31" i="34"/>
  <c r="D31" i="29"/>
  <c r="L27" i="29"/>
  <c r="L27" i="40"/>
  <c r="D31" i="40"/>
  <c r="L60" i="27"/>
  <c r="N60" i="27" s="1"/>
  <c r="D118" i="27"/>
  <c r="N27" i="7"/>
  <c r="H31" i="7"/>
  <c r="Z27" i="20"/>
  <c r="T31" i="20"/>
  <c r="N27" i="113"/>
  <c r="H31" i="113"/>
  <c r="P122" i="27"/>
  <c r="X118" i="27"/>
  <c r="R118" i="27"/>
  <c r="H31" i="13"/>
  <c r="N27" i="13"/>
  <c r="H31" i="35"/>
  <c r="N27" i="35"/>
  <c r="L70" i="57"/>
  <c r="D73" i="57"/>
  <c r="N27" i="26"/>
  <c r="H31" i="26"/>
  <c r="P31" i="4"/>
  <c r="X27" i="4"/>
  <c r="P51" i="105"/>
  <c r="X21" i="105"/>
  <c r="Z21" i="105" s="1"/>
  <c r="Z27" i="47"/>
  <c r="T31" i="47"/>
  <c r="H121" i="71"/>
  <c r="J117" i="71"/>
  <c r="T68" i="79"/>
  <c r="V64" i="79"/>
  <c r="H71" i="94"/>
  <c r="J67" i="94"/>
  <c r="X89" i="92"/>
  <c r="Z89" i="92" s="1"/>
  <c r="P93" i="92"/>
  <c r="Z27" i="25"/>
  <c r="T31" i="25"/>
  <c r="Z29" i="42"/>
  <c r="T119" i="42"/>
  <c r="V29" i="42"/>
  <c r="H31" i="87"/>
  <c r="D30" i="86"/>
  <c r="L18" i="86"/>
  <c r="N18" i="86" s="1"/>
  <c r="L84" i="104"/>
  <c r="D88" i="104"/>
  <c r="F84" i="104"/>
  <c r="H77" i="89"/>
  <c r="J73" i="89"/>
  <c r="L73" i="89"/>
  <c r="N73" i="89" s="1"/>
  <c r="H31" i="8"/>
  <c r="N27" i="8"/>
  <c r="P74" i="80"/>
  <c r="R70" i="80"/>
  <c r="L95" i="64"/>
  <c r="D99" i="64"/>
  <c r="H73" i="76"/>
  <c r="L27" i="38"/>
  <c r="D31" i="38"/>
  <c r="T55" i="61"/>
  <c r="L27" i="25"/>
  <c r="D31" i="25"/>
  <c r="T79" i="93"/>
  <c r="V75" i="93"/>
  <c r="H82" i="84"/>
  <c r="N20" i="84"/>
  <c r="T51" i="105"/>
  <c r="L27" i="11"/>
  <c r="D31" i="11"/>
  <c r="N22" i="6"/>
  <c r="H26" i="6"/>
  <c r="N27" i="34"/>
  <c r="H31" i="34"/>
  <c r="X33" i="55"/>
  <c r="P37" i="55"/>
  <c r="T87" i="74"/>
  <c r="R20" i="84"/>
  <c r="X27" i="35"/>
  <c r="P31" i="35"/>
  <c r="H123" i="85"/>
  <c r="J119" i="85"/>
  <c r="D54" i="103"/>
  <c r="L50" i="103"/>
  <c r="X27" i="17"/>
  <c r="P31" i="17"/>
  <c r="Z27" i="43"/>
  <c r="T31" i="43"/>
  <c r="P152" i="30"/>
  <c r="R148" i="30"/>
  <c r="T130" i="39"/>
  <c r="Z36" i="39"/>
  <c r="X36" i="39"/>
  <c r="N26" i="54"/>
  <c r="H31" i="54"/>
  <c r="D86" i="84"/>
  <c r="L82" i="84"/>
  <c r="F82" i="84"/>
  <c r="D79" i="93"/>
  <c r="F75" i="93"/>
  <c r="H31" i="11"/>
  <c r="N27" i="11"/>
  <c r="P31" i="52"/>
  <c r="X27" i="52"/>
  <c r="H65" i="101"/>
  <c r="N27" i="4"/>
  <c r="H31" i="4"/>
  <c r="X59" i="71"/>
  <c r="Z59" i="71" s="1"/>
  <c r="P117" i="71"/>
  <c r="P31" i="7"/>
  <c r="X27" i="7"/>
  <c r="D31" i="113"/>
  <c r="L27" i="113"/>
  <c r="L27" i="4"/>
  <c r="D31" i="4"/>
  <c r="X27" i="50"/>
  <c r="P31" i="50"/>
  <c r="D31" i="14"/>
  <c r="L27" i="14"/>
  <c r="L27" i="22"/>
  <c r="D31" i="22"/>
  <c r="H73" i="70"/>
  <c r="N69" i="70"/>
  <c r="J69" i="70"/>
  <c r="D77" i="76"/>
  <c r="L73" i="76"/>
  <c r="F73" i="76"/>
  <c r="N20" i="95"/>
  <c r="H77" i="95"/>
  <c r="Z26" i="6"/>
  <c r="T31" i="6"/>
  <c r="L27" i="16"/>
  <c r="D31" i="16"/>
  <c r="X27" i="111"/>
  <c r="P31" i="111"/>
  <c r="H134" i="39"/>
  <c r="J130" i="39"/>
  <c r="D73" i="48"/>
  <c r="F69" i="48"/>
  <c r="N50" i="103"/>
  <c r="H54" i="103"/>
  <c r="P31" i="41"/>
  <c r="X27" i="41"/>
  <c r="T73" i="48"/>
  <c r="V69" i="48"/>
  <c r="D87" i="98"/>
  <c r="L83" i="98"/>
  <c r="N83" i="98" s="1"/>
  <c r="F83" i="98"/>
  <c r="L27" i="19"/>
  <c r="D31" i="19"/>
  <c r="L73" i="56"/>
  <c r="D77" i="56"/>
  <c r="N95" i="64"/>
  <c r="H99" i="64"/>
  <c r="N27" i="41"/>
  <c r="H31" i="41"/>
  <c r="H122" i="27"/>
  <c r="J118" i="27"/>
  <c r="D87" i="96"/>
  <c r="L20" i="96"/>
  <c r="N20" i="96" s="1"/>
  <c r="P31" i="25"/>
  <c r="X27" i="25"/>
  <c r="H137" i="24"/>
  <c r="J133" i="24"/>
  <c r="J28" i="76"/>
  <c r="D31" i="47"/>
  <c r="L27" i="47"/>
  <c r="H37" i="55"/>
  <c r="N33" i="55"/>
  <c r="L33" i="55"/>
  <c r="L28" i="76"/>
  <c r="N28" i="76" s="1"/>
  <c r="P77" i="95"/>
  <c r="X20" i="95"/>
  <c r="Z20" i="95" s="1"/>
  <c r="X27" i="38"/>
  <c r="P31" i="38"/>
  <c r="P75" i="58"/>
  <c r="X71" i="58"/>
  <c r="Z71" i="58" s="1"/>
  <c r="Z27" i="44"/>
  <c r="T31" i="44"/>
  <c r="H101" i="51"/>
  <c r="N54" i="51"/>
  <c r="N23" i="102"/>
  <c r="H82" i="102"/>
  <c r="P54" i="103"/>
  <c r="X50" i="103"/>
  <c r="Z50" i="103" s="1"/>
  <c r="H69" i="48"/>
  <c r="N17" i="48"/>
  <c r="Z27" i="31"/>
  <c r="T31" i="31"/>
  <c r="Z27" i="14"/>
  <c r="T31" i="14"/>
  <c r="T73" i="89"/>
  <c r="X20" i="89"/>
  <c r="Z20" i="89" s="1"/>
  <c r="Z27" i="32"/>
  <c r="T31" i="32"/>
  <c r="T67" i="94"/>
  <c r="Z20" i="94"/>
  <c r="X27" i="113"/>
  <c r="P31" i="113"/>
  <c r="N27" i="29"/>
  <c r="H31" i="29"/>
  <c r="T31" i="23"/>
  <c r="Z27" i="23"/>
  <c r="T31" i="41"/>
  <c r="Z27" i="41"/>
  <c r="L64" i="79"/>
  <c r="D68" i="79"/>
  <c r="F64" i="79"/>
  <c r="P73" i="110"/>
  <c r="R69" i="110"/>
  <c r="X27" i="112"/>
  <c r="P31" i="112"/>
  <c r="H123" i="42"/>
  <c r="J119" i="42"/>
  <c r="H83" i="73"/>
  <c r="J79" i="73"/>
  <c r="V52" i="74"/>
  <c r="L27" i="37"/>
  <c r="D31" i="37"/>
  <c r="T31" i="54"/>
  <c r="Z26" i="54"/>
  <c r="X26" i="54"/>
  <c r="Z20" i="84"/>
  <c r="T82" i="84"/>
  <c r="L71" i="58"/>
  <c r="D75" i="58"/>
  <c r="H87" i="98"/>
  <c r="J83" i="98"/>
  <c r="D31" i="44"/>
  <c r="L27" i="44"/>
  <c r="P101" i="77"/>
  <c r="X54" i="77"/>
  <c r="Z54" i="77" s="1"/>
  <c r="H79" i="81"/>
  <c r="N75" i="81"/>
  <c r="J75" i="81"/>
  <c r="H41" i="109"/>
  <c r="D133" i="24"/>
  <c r="L77" i="24"/>
  <c r="N77" i="24" s="1"/>
  <c r="X27" i="10"/>
  <c r="P31" i="10"/>
  <c r="T53" i="60"/>
  <c r="Z49" i="60"/>
  <c r="X49" i="60"/>
  <c r="X27" i="23"/>
  <c r="P31" i="23"/>
  <c r="N69" i="30"/>
  <c r="H148" i="30"/>
  <c r="X54" i="51"/>
  <c r="Z54" i="51" s="1"/>
  <c r="P101" i="51"/>
  <c r="H55" i="61"/>
  <c r="F80" i="89"/>
  <c r="D31" i="53"/>
  <c r="L27" i="53"/>
  <c r="T26" i="82"/>
  <c r="Z22" i="82"/>
  <c r="T43" i="99"/>
  <c r="Z18" i="99"/>
  <c r="T97" i="9"/>
  <c r="H93" i="92"/>
  <c r="X27" i="22"/>
  <c r="P31" i="22"/>
  <c r="N22" i="82"/>
  <c r="H26" i="82"/>
  <c r="D47" i="99"/>
  <c r="L43" i="99"/>
  <c r="F43" i="99"/>
  <c r="X66" i="59"/>
  <c r="Z66" i="59" s="1"/>
  <c r="P69" i="59"/>
  <c r="D79" i="73"/>
  <c r="L25" i="73"/>
  <c r="N25" i="73" s="1"/>
  <c r="V21" i="105"/>
  <c r="H91" i="96"/>
  <c r="J87" i="96"/>
  <c r="T266" i="12"/>
  <c r="X266" i="12" s="1"/>
  <c r="L29" i="83"/>
  <c r="D33" i="83"/>
  <c r="F29" i="83"/>
  <c r="N27" i="20"/>
  <c r="H31" i="20"/>
  <c r="N27" i="43"/>
  <c r="H31" i="43"/>
  <c r="T133" i="24"/>
  <c r="H75" i="93"/>
  <c r="L75" i="93" s="1"/>
  <c r="N20" i="93"/>
  <c r="H95" i="33"/>
  <c r="J91" i="33"/>
  <c r="L22" i="82"/>
  <c r="D26" i="82"/>
  <c r="T312" i="3"/>
  <c r="V308" i="3"/>
  <c r="X27" i="43"/>
  <c r="P31" i="43"/>
  <c r="H121" i="69"/>
  <c r="J117" i="69"/>
  <c r="P91" i="74"/>
  <c r="X87" i="74"/>
  <c r="R87" i="74"/>
  <c r="T31" i="8"/>
  <c r="Z27" i="8"/>
  <c r="Z27" i="113"/>
  <c r="T31" i="113"/>
  <c r="N73" i="56"/>
  <c r="H77" i="56"/>
  <c r="N27" i="5"/>
  <c r="H31" i="5"/>
  <c r="P31" i="20"/>
  <c r="X27" i="20"/>
  <c r="Z27" i="22"/>
  <c r="T31" i="22"/>
  <c r="H31" i="52"/>
  <c r="N27" i="52"/>
  <c r="T69" i="59"/>
  <c r="X158" i="15"/>
  <c r="P258" i="15"/>
  <c r="D28" i="87"/>
  <c r="L24" i="87"/>
  <c r="N24" i="87" s="1"/>
  <c r="N71" i="58"/>
  <c r="H75" i="58"/>
  <c r="T57" i="103"/>
  <c r="P94" i="9"/>
  <c r="X90" i="9"/>
  <c r="Z90" i="9" s="1"/>
  <c r="H31" i="49"/>
  <c r="N27" i="49"/>
  <c r="L22" i="54"/>
  <c r="D26" i="54"/>
  <c r="T86" i="88"/>
  <c r="V82" i="88"/>
  <c r="P43" i="99"/>
  <c r="X18" i="99"/>
  <c r="P31" i="107"/>
  <c r="D266" i="12"/>
  <c r="L163" i="12"/>
  <c r="N163" i="12" s="1"/>
  <c r="Z51" i="75"/>
  <c r="T110" i="75"/>
  <c r="P96" i="45"/>
  <c r="R92" i="45"/>
  <c r="X28" i="76"/>
  <c r="P73" i="76"/>
  <c r="P65" i="101"/>
  <c r="X61" i="101"/>
  <c r="Z61" i="101" s="1"/>
  <c r="R61" i="101"/>
  <c r="Z27" i="46"/>
  <c r="T31" i="46"/>
  <c r="L27" i="8"/>
  <c r="D31" i="8"/>
  <c r="D107" i="21"/>
  <c r="F103" i="21"/>
  <c r="X69" i="69"/>
  <c r="P117" i="69"/>
  <c r="L51" i="105"/>
  <c r="N51" i="105" s="1"/>
  <c r="D55" i="105"/>
  <c r="F51" i="105"/>
  <c r="L20" i="94"/>
  <c r="N20" i="94" s="1"/>
  <c r="D67" i="94"/>
  <c r="P75" i="93"/>
  <c r="X20" i="93"/>
  <c r="Z20" i="93" s="1"/>
  <c r="D152" i="30"/>
  <c r="L148" i="30"/>
  <c r="F148" i="30"/>
  <c r="D31" i="31"/>
  <c r="L27" i="31"/>
  <c r="H97" i="9"/>
  <c r="N27" i="44"/>
  <c r="H31" i="44"/>
  <c r="T119" i="85"/>
  <c r="Z56" i="85"/>
  <c r="L27" i="111"/>
  <c r="D31" i="111"/>
  <c r="T148" i="30"/>
  <c r="Z69" i="30"/>
  <c r="V69" i="30"/>
  <c r="P134" i="39"/>
  <c r="X130" i="39"/>
  <c r="R130" i="39"/>
  <c r="D87" i="74"/>
  <c r="L52" i="74"/>
  <c r="N52" i="74" s="1"/>
  <c r="D76" i="70"/>
  <c r="L73" i="70"/>
  <c r="F73" i="70"/>
  <c r="R28" i="76"/>
  <c r="N64" i="79"/>
  <c r="H68" i="79"/>
  <c r="J64" i="79"/>
  <c r="F69" i="69"/>
  <c r="L27" i="10"/>
  <c r="D31" i="10"/>
  <c r="D119" i="85"/>
  <c r="L56" i="85"/>
  <c r="N56" i="85" s="1"/>
  <c r="Z27" i="29"/>
  <c r="T31" i="29"/>
  <c r="D31" i="50"/>
  <c r="L27" i="50"/>
  <c r="L20" i="88"/>
  <c r="N20" i="88" s="1"/>
  <c r="D82" i="88"/>
  <c r="L84" i="108"/>
  <c r="N84" i="108" s="1"/>
  <c r="D88" i="108"/>
  <c r="F84" i="108"/>
  <c r="Z20" i="80"/>
  <c r="T70" i="80"/>
  <c r="Z27" i="26"/>
  <c r="T31" i="26"/>
  <c r="H31" i="50"/>
  <c r="N27" i="50"/>
  <c r="T92" i="45"/>
  <c r="Z24" i="45"/>
  <c r="Z66" i="57"/>
  <c r="T70" i="57"/>
  <c r="T31" i="5"/>
  <c r="Z27" i="5"/>
  <c r="H31" i="31"/>
  <c r="N27" i="31"/>
  <c r="D95" i="33"/>
  <c r="L91" i="33"/>
  <c r="N91" i="33" s="1"/>
  <c r="F91" i="33"/>
  <c r="X52" i="74"/>
  <c r="Z52" i="74" s="1"/>
  <c r="X27" i="31"/>
  <c r="P31" i="31"/>
  <c r="X133" i="24"/>
  <c r="P137" i="24"/>
  <c r="R133" i="24"/>
  <c r="D31" i="32"/>
  <c r="L27" i="32"/>
  <c r="N27" i="38"/>
  <c r="H31" i="38"/>
  <c r="T31" i="11"/>
  <c r="Z27" i="11"/>
  <c r="D312" i="3"/>
  <c r="F308" i="3"/>
  <c r="P114" i="75"/>
  <c r="X110" i="75"/>
  <c r="R110" i="75"/>
  <c r="T28" i="87"/>
  <c r="J20" i="84"/>
  <c r="H76" i="110"/>
  <c r="J73" i="110"/>
  <c r="D26" i="6"/>
  <c r="L22" i="6"/>
  <c r="T31" i="40"/>
  <c r="Z27" i="40"/>
  <c r="X43" i="100"/>
  <c r="Z43" i="100" s="1"/>
  <c r="P47" i="100"/>
  <c r="X27" i="32"/>
  <c r="P31" i="32"/>
  <c r="N27" i="16"/>
  <c r="H31" i="16"/>
  <c r="H31" i="17"/>
  <c r="N27" i="17"/>
  <c r="X26" i="82"/>
  <c r="P29" i="82"/>
  <c r="T31" i="50"/>
  <c r="Z27" i="50"/>
  <c r="X33" i="83"/>
  <c r="P36" i="83"/>
  <c r="R33" i="83"/>
  <c r="D86" i="102"/>
  <c r="L82" i="102"/>
  <c r="F82" i="102"/>
  <c r="X119" i="42"/>
  <c r="P123" i="42"/>
  <c r="R119" i="42"/>
  <c r="T33" i="83"/>
  <c r="Z29" i="83"/>
  <c r="V29" i="83"/>
  <c r="H37" i="86"/>
  <c r="J34" i="86"/>
  <c r="N27" i="37"/>
  <c r="H31" i="37"/>
  <c r="T99" i="64"/>
  <c r="P75" i="81"/>
  <c r="X20" i="81"/>
  <c r="Z20" i="81" s="1"/>
  <c r="V36" i="39"/>
  <c r="P58" i="61"/>
  <c r="X55" i="61"/>
  <c r="J20" i="93"/>
  <c r="N43" i="99"/>
  <c r="H47" i="99"/>
  <c r="L21" i="106"/>
  <c r="D85" i="106"/>
  <c r="X27" i="53"/>
  <c r="P31" i="53"/>
  <c r="T65" i="68"/>
  <c r="N29" i="83"/>
  <c r="H33" i="83"/>
  <c r="J29" i="83"/>
  <c r="Z22" i="104"/>
  <c r="T84" i="104"/>
  <c r="X84" i="104" s="1"/>
  <c r="H86" i="88"/>
  <c r="J82" i="88"/>
  <c r="Z118" i="27"/>
  <c r="T122" i="27"/>
  <c r="V118" i="27"/>
  <c r="T31" i="17"/>
  <c r="Z27" i="17"/>
  <c r="D31" i="46"/>
  <c r="L27" i="46"/>
  <c r="H31" i="14"/>
  <c r="N27" i="14"/>
  <c r="N27" i="111"/>
  <c r="H31" i="111"/>
  <c r="L90" i="9"/>
  <c r="N90" i="9" s="1"/>
  <c r="D94" i="9"/>
  <c r="X91" i="33"/>
  <c r="P95" i="33"/>
  <c r="R91" i="33"/>
  <c r="Z91" i="33"/>
  <c r="T95" i="33"/>
  <c r="V91" i="33"/>
  <c r="N30" i="36"/>
  <c r="H122" i="36"/>
  <c r="L122" i="36" s="1"/>
  <c r="Z27" i="13"/>
  <c r="T31" i="13"/>
  <c r="X77" i="24"/>
  <c r="Z77" i="24" s="1"/>
  <c r="N27" i="10"/>
  <c r="H31" i="10"/>
  <c r="Z27" i="111"/>
  <c r="T31" i="111"/>
  <c r="P289" i="18"/>
  <c r="X285" i="18"/>
  <c r="R285" i="18"/>
  <c r="L51" i="61"/>
  <c r="N51" i="61" s="1"/>
  <c r="D55" i="61"/>
  <c r="T121" i="71"/>
  <c r="V117" i="71"/>
  <c r="T79" i="81"/>
  <c r="V75" i="81"/>
  <c r="X27" i="40"/>
  <c r="P31" i="40"/>
  <c r="D66" i="59"/>
  <c r="L62" i="59"/>
  <c r="P28" i="87"/>
  <c r="X24" i="87"/>
  <c r="Z24" i="87" s="1"/>
  <c r="T68" i="101"/>
  <c r="V65" i="101"/>
  <c r="Z27" i="37"/>
  <c r="T31" i="37"/>
  <c r="D123" i="42"/>
  <c r="L119" i="42"/>
  <c r="N119" i="42" s="1"/>
  <c r="F119" i="42"/>
  <c r="N84" i="104"/>
  <c r="H88" i="104"/>
  <c r="J84" i="104"/>
  <c r="T31" i="52"/>
  <c r="Z27" i="52"/>
  <c r="P34" i="86"/>
  <c r="X30" i="86"/>
  <c r="R30" i="86"/>
  <c r="P91" i="108"/>
  <c r="X88" i="108"/>
  <c r="R88" i="108"/>
  <c r="D41" i="109"/>
  <c r="L37" i="109"/>
  <c r="N37" i="109" s="1"/>
  <c r="L24" i="107"/>
  <c r="D28" i="107"/>
  <c r="P86" i="88"/>
  <c r="X82" i="88"/>
  <c r="Z82" i="88" s="1"/>
  <c r="R82" i="88"/>
  <c r="R80" i="89"/>
  <c r="T31" i="4"/>
  <c r="Z27" i="4"/>
  <c r="X197" i="3"/>
  <c r="Z197" i="3" s="1"/>
  <c r="P308" i="3"/>
  <c r="L27" i="20"/>
  <c r="D31" i="20"/>
  <c r="P107" i="21"/>
  <c r="X103" i="21"/>
  <c r="R103" i="21"/>
  <c r="X21" i="106"/>
  <c r="Z21" i="106" s="1"/>
  <c r="P85" i="106"/>
  <c r="X27" i="47"/>
  <c r="P31" i="47"/>
  <c r="X51" i="61"/>
  <c r="Z51" i="61" s="1"/>
  <c r="N27" i="22"/>
  <c r="H31" i="22"/>
  <c r="P31" i="49"/>
  <c r="X27" i="49"/>
  <c r="D61" i="101"/>
  <c r="L20" i="101"/>
  <c r="N27" i="32"/>
  <c r="H31" i="32"/>
  <c r="H68" i="68"/>
  <c r="X27" i="14"/>
  <c r="P31" i="14"/>
  <c r="D31" i="112"/>
  <c r="L27" i="112"/>
  <c r="H308" i="3"/>
  <c r="L308" i="3" s="1"/>
  <c r="N197" i="3"/>
  <c r="P65" i="68"/>
  <c r="X61" i="68"/>
  <c r="Z61" i="68" s="1"/>
  <c r="P64" i="79"/>
  <c r="X25" i="79"/>
  <c r="Z25" i="79" s="1"/>
  <c r="P91" i="96"/>
  <c r="X87" i="96"/>
  <c r="Z87" i="96" s="1"/>
  <c r="R87" i="96"/>
  <c r="N21" i="106"/>
  <c r="H85" i="106"/>
  <c r="X27" i="26"/>
  <c r="P31" i="26"/>
  <c r="X183" i="18"/>
  <c r="Z183" i="18" s="1"/>
  <c r="H92" i="45"/>
  <c r="N24" i="45"/>
  <c r="T126" i="36"/>
  <c r="V122" i="36"/>
  <c r="D110" i="75"/>
  <c r="L51" i="75"/>
  <c r="N51" i="75" s="1"/>
  <c r="X27" i="8"/>
  <c r="P31" i="8"/>
  <c r="P99" i="64"/>
  <c r="X95" i="64"/>
  <c r="Z95" i="64" s="1"/>
  <c r="L27" i="5"/>
  <c r="D31" i="5"/>
  <c r="T73" i="70"/>
  <c r="V69" i="70"/>
  <c r="T69" i="110"/>
  <c r="X69" i="110" s="1"/>
  <c r="Z17" i="110"/>
  <c r="V20" i="89"/>
  <c r="T41" i="109"/>
  <c r="Z37" i="109"/>
  <c r="D47" i="100"/>
  <c r="L43" i="100"/>
  <c r="X67" i="94"/>
  <c r="P71" i="94"/>
  <c r="R67" i="94"/>
  <c r="P41" i="109"/>
  <c r="X37" i="109"/>
  <c r="X27" i="44"/>
  <c r="P31" i="44"/>
  <c r="H88" i="108"/>
  <c r="J84" i="108"/>
  <c r="J17" i="48"/>
  <c r="X27" i="34"/>
  <c r="P31" i="34"/>
  <c r="X27" i="13"/>
  <c r="P31" i="13"/>
  <c r="X26" i="6"/>
  <c r="P31" i="6"/>
  <c r="X31" i="6" s="1"/>
  <c r="P82" i="102"/>
  <c r="X23" i="102"/>
  <c r="X119" i="85"/>
  <c r="P123" i="85"/>
  <c r="R119" i="85"/>
  <c r="R197" i="3"/>
  <c r="T34" i="86"/>
  <c r="Z30" i="86"/>
  <c r="V30" i="86"/>
  <c r="L27" i="35"/>
  <c r="D31" i="35"/>
  <c r="X30" i="36"/>
  <c r="Z30" i="36" s="1"/>
  <c r="P122" i="36"/>
  <c r="R30" i="36"/>
  <c r="N27" i="40"/>
  <c r="H31" i="40"/>
  <c r="T28" i="107"/>
  <c r="Z24" i="107"/>
  <c r="Z27" i="49"/>
  <c r="T31" i="49"/>
  <c r="D134" i="39"/>
  <c r="L130" i="39"/>
  <c r="N130" i="39" s="1"/>
  <c r="F130" i="39"/>
  <c r="Z69" i="69"/>
  <c r="T117" i="69"/>
  <c r="D81" i="95"/>
  <c r="L77" i="95"/>
  <c r="F77" i="95"/>
  <c r="T83" i="98"/>
  <c r="P31" i="19"/>
  <c r="X27" i="19"/>
  <c r="Z27" i="35"/>
  <c r="T31" i="35"/>
  <c r="H270" i="12"/>
  <c r="J266" i="12"/>
  <c r="P73" i="70"/>
  <c r="X69" i="70"/>
  <c r="Z69" i="70" s="1"/>
  <c r="R69" i="70"/>
  <c r="R25" i="79"/>
  <c r="N27" i="19"/>
  <c r="H31" i="19"/>
  <c r="Z27" i="34"/>
  <c r="T31" i="34"/>
  <c r="P83" i="73"/>
  <c r="R79" i="73"/>
  <c r="T79" i="73"/>
  <c r="X79" i="73" s="1"/>
  <c r="J20" i="95"/>
  <c r="H258" i="15"/>
  <c r="T258" i="15"/>
  <c r="Z158" i="15"/>
  <c r="N62" i="59"/>
  <c r="H66" i="59"/>
  <c r="N27" i="46"/>
  <c r="H31" i="46"/>
  <c r="Z33" i="55"/>
  <c r="T37" i="55"/>
  <c r="D101" i="77"/>
  <c r="L54" i="77"/>
  <c r="P83" i="98"/>
  <c r="X20" i="98"/>
  <c r="Z20" i="98" s="1"/>
  <c r="Z27" i="112"/>
  <c r="T31" i="112"/>
  <c r="T91" i="108"/>
  <c r="Z88" i="108"/>
  <c r="V88" i="108"/>
  <c r="T50" i="100"/>
  <c r="T81" i="95"/>
  <c r="V77" i="95"/>
  <c r="Z27" i="19"/>
  <c r="T31" i="19"/>
  <c r="D73" i="110"/>
  <c r="L69" i="110"/>
  <c r="N69" i="110" s="1"/>
  <c r="F69" i="110"/>
  <c r="T105" i="77"/>
  <c r="V101" i="77"/>
  <c r="Z27" i="38"/>
  <c r="T31" i="38"/>
  <c r="L27" i="52"/>
  <c r="D31" i="52"/>
  <c r="T82" i="102"/>
  <c r="Z23" i="102"/>
  <c r="L27" i="17"/>
  <c r="D31" i="17"/>
  <c r="L27" i="7"/>
  <c r="D31" i="7"/>
  <c r="T77" i="56"/>
  <c r="Z73" i="56"/>
  <c r="N27" i="53"/>
  <c r="H31" i="53"/>
  <c r="X27" i="29"/>
  <c r="P31" i="29"/>
  <c r="V163" i="12"/>
  <c r="H289" i="18"/>
  <c r="J285" i="18"/>
  <c r="D74" i="80"/>
  <c r="L70" i="80"/>
  <c r="N70" i="80" s="1"/>
  <c r="F70" i="80"/>
  <c r="T92" i="106"/>
  <c r="V89" i="106"/>
  <c r="L27" i="28"/>
  <c r="D31" i="28"/>
  <c r="T73" i="76"/>
  <c r="Z28" i="76"/>
  <c r="L27" i="23"/>
  <c r="D31" i="23"/>
  <c r="D117" i="71"/>
  <c r="L59" i="71"/>
  <c r="N59" i="71" s="1"/>
  <c r="V20" i="94"/>
  <c r="V23" i="102"/>
  <c r="L27" i="41"/>
  <c r="D31" i="41"/>
  <c r="Z27" i="53"/>
  <c r="T31" i="53"/>
  <c r="T105" i="51"/>
  <c r="V101" i="51"/>
  <c r="N54" i="77"/>
  <c r="H101" i="77"/>
  <c r="N24" i="107"/>
  <c r="H28" i="107"/>
  <c r="P73" i="48"/>
  <c r="X69" i="48"/>
  <c r="Z69" i="48" s="1"/>
  <c r="R69" i="48"/>
  <c r="Z27" i="10"/>
  <c r="T31" i="10"/>
  <c r="H31" i="23"/>
  <c r="N27" i="23"/>
  <c r="V24" i="45"/>
  <c r="T31" i="28"/>
  <c r="Z27" i="28"/>
  <c r="X77" i="56"/>
  <c r="P80" i="56"/>
  <c r="L65" i="68"/>
  <c r="N65" i="68" s="1"/>
  <c r="D68" i="68"/>
  <c r="L68" i="68" s="1"/>
  <c r="R59" i="71"/>
  <c r="X27" i="16"/>
  <c r="P31" i="16"/>
  <c r="H103" i="21"/>
  <c r="L103" i="21" s="1"/>
  <c r="N28" i="21"/>
  <c r="Z103" i="21"/>
  <c r="T107" i="21"/>
  <c r="V103" i="21"/>
  <c r="L27" i="26"/>
  <c r="D31" i="26"/>
  <c r="H47" i="100"/>
  <c r="N43" i="100"/>
  <c r="D258" i="15"/>
  <c r="L158" i="15"/>
  <c r="N158" i="15" s="1"/>
  <c r="D289" i="18"/>
  <c r="L285" i="18"/>
  <c r="N285" i="18" s="1"/>
  <c r="F285" i="18"/>
  <c r="H53" i="60"/>
  <c r="N49" i="60"/>
  <c r="L49" i="60"/>
  <c r="X25" i="73"/>
  <c r="Z25" i="73" s="1"/>
  <c r="P31" i="5"/>
  <c r="X27" i="5"/>
  <c r="Z27" i="7"/>
  <c r="T31" i="7"/>
  <c r="N27" i="47"/>
  <c r="H31" i="47"/>
  <c r="V183" i="18"/>
  <c r="D31" i="13"/>
  <c r="L27" i="13"/>
  <c r="X27" i="46"/>
  <c r="P31" i="46"/>
  <c r="L28" i="21"/>
  <c r="L89" i="92"/>
  <c r="N89" i="92" s="1"/>
  <c r="D93" i="92"/>
  <c r="H114" i="75"/>
  <c r="J110" i="75"/>
  <c r="X163" i="12"/>
  <c r="Z163" i="12" s="1"/>
  <c r="X22" i="82"/>
  <c r="P292" i="18" l="1"/>
  <c r="X289" i="18"/>
  <c r="R289" i="18"/>
  <c r="N28" i="107"/>
  <c r="H31" i="107"/>
  <c r="N31" i="107" s="1"/>
  <c r="V92" i="106"/>
  <c r="X123" i="85"/>
  <c r="P126" i="85"/>
  <c r="R123" i="85"/>
  <c r="X31" i="34"/>
  <c r="P36" i="34"/>
  <c r="N68" i="68"/>
  <c r="Z31" i="111"/>
  <c r="T36" i="111"/>
  <c r="Z36" i="111" s="1"/>
  <c r="D36" i="46"/>
  <c r="L31" i="46"/>
  <c r="H36" i="83"/>
  <c r="J33" i="83"/>
  <c r="J37" i="86"/>
  <c r="D317" i="3"/>
  <c r="F312" i="3"/>
  <c r="D86" i="88"/>
  <c r="L82" i="88"/>
  <c r="N82" i="88" s="1"/>
  <c r="F82" i="88"/>
  <c r="N68" i="79"/>
  <c r="H71" i="79"/>
  <c r="J68" i="79"/>
  <c r="X117" i="69"/>
  <c r="P121" i="69"/>
  <c r="R117" i="69"/>
  <c r="X73" i="76"/>
  <c r="P77" i="76"/>
  <c r="R73" i="76"/>
  <c r="P47" i="99"/>
  <c r="X43" i="99"/>
  <c r="R43" i="99"/>
  <c r="N75" i="58"/>
  <c r="H78" i="58"/>
  <c r="H94" i="96"/>
  <c r="J91" i="96"/>
  <c r="T29" i="82"/>
  <c r="Z29" i="82" s="1"/>
  <c r="Z26" i="82"/>
  <c r="H82" i="81"/>
  <c r="J79" i="81"/>
  <c r="H40" i="55"/>
  <c r="L37" i="55"/>
  <c r="N37" i="55" s="1"/>
  <c r="H125" i="27"/>
  <c r="J122" i="27"/>
  <c r="D90" i="98"/>
  <c r="L87" i="98"/>
  <c r="F87" i="98"/>
  <c r="H137" i="39"/>
  <c r="J134" i="39"/>
  <c r="D80" i="76"/>
  <c r="F77" i="76"/>
  <c r="Z130" i="39"/>
  <c r="T134" i="39"/>
  <c r="V130" i="39"/>
  <c r="H126" i="85"/>
  <c r="J123" i="85"/>
  <c r="L31" i="11"/>
  <c r="D36" i="11"/>
  <c r="P55" i="105"/>
  <c r="X51" i="105"/>
  <c r="Z51" i="105" s="1"/>
  <c r="R51" i="105"/>
  <c r="H36" i="13"/>
  <c r="N36" i="13" s="1"/>
  <c r="N31" i="13"/>
  <c r="Z285" i="18"/>
  <c r="T289" i="18"/>
  <c r="V285" i="18"/>
  <c r="T121" i="69"/>
  <c r="Z117" i="69"/>
  <c r="V117" i="69"/>
  <c r="D44" i="109"/>
  <c r="L41" i="109"/>
  <c r="Z31" i="113"/>
  <c r="T36" i="113"/>
  <c r="Z36" i="113" s="1"/>
  <c r="P76" i="110"/>
  <c r="R73" i="110"/>
  <c r="P36" i="52"/>
  <c r="X31" i="52"/>
  <c r="D36" i="13"/>
  <c r="L31" i="13"/>
  <c r="N31" i="46"/>
  <c r="H36" i="46"/>
  <c r="N36" i="46" s="1"/>
  <c r="H273" i="12"/>
  <c r="J270" i="12"/>
  <c r="H96" i="45"/>
  <c r="J92" i="45"/>
  <c r="P68" i="79"/>
  <c r="X64" i="79"/>
  <c r="Z64" i="79" s="1"/>
  <c r="R64" i="79"/>
  <c r="X85" i="106"/>
  <c r="Z85" i="106" s="1"/>
  <c r="P89" i="106"/>
  <c r="R85" i="106"/>
  <c r="L123" i="42"/>
  <c r="D126" i="42"/>
  <c r="F123" i="42"/>
  <c r="X95" i="33"/>
  <c r="P98" i="33"/>
  <c r="R95" i="33"/>
  <c r="R36" i="83"/>
  <c r="N31" i="16"/>
  <c r="H36" i="16"/>
  <c r="N36" i="16" s="1"/>
  <c r="D31" i="6"/>
  <c r="L26" i="6"/>
  <c r="X31" i="31"/>
  <c r="P36" i="31"/>
  <c r="T152" i="30"/>
  <c r="V148" i="30"/>
  <c r="D36" i="31"/>
  <c r="L31" i="31"/>
  <c r="T317" i="3"/>
  <c r="V312" i="3"/>
  <c r="N31" i="20"/>
  <c r="H36" i="20"/>
  <c r="N36" i="20" s="1"/>
  <c r="X31" i="22"/>
  <c r="P36" i="22"/>
  <c r="Z67" i="94"/>
  <c r="T71" i="94"/>
  <c r="V67" i="94"/>
  <c r="D36" i="113"/>
  <c r="L31" i="113"/>
  <c r="H36" i="11"/>
  <c r="N36" i="11" s="1"/>
  <c r="N31" i="11"/>
  <c r="X31" i="35"/>
  <c r="P36" i="35"/>
  <c r="Z55" i="61"/>
  <c r="T58" i="61"/>
  <c r="L31" i="40"/>
  <c r="D36" i="40"/>
  <c r="H77" i="80"/>
  <c r="J74" i="80"/>
  <c r="D129" i="36"/>
  <c r="F126" i="36"/>
  <c r="N31" i="53"/>
  <c r="H36" i="53"/>
  <c r="N36" i="53" s="1"/>
  <c r="L31" i="5"/>
  <c r="D36" i="5"/>
  <c r="Z70" i="57"/>
  <c r="T73" i="57"/>
  <c r="Z31" i="16"/>
  <c r="T36" i="16"/>
  <c r="Z36" i="16" s="1"/>
  <c r="H56" i="60"/>
  <c r="L53" i="60"/>
  <c r="N53" i="60" s="1"/>
  <c r="H105" i="77"/>
  <c r="J101" i="77"/>
  <c r="Z77" i="56"/>
  <c r="T80" i="56"/>
  <c r="X80" i="56" s="1"/>
  <c r="P86" i="73"/>
  <c r="R83" i="73"/>
  <c r="Z31" i="35"/>
  <c r="T36" i="35"/>
  <c r="Z36" i="35" s="1"/>
  <c r="L47" i="100"/>
  <c r="D50" i="100"/>
  <c r="X99" i="64"/>
  <c r="P102" i="64"/>
  <c r="X102" i="64" s="1"/>
  <c r="N31" i="32"/>
  <c r="H36" i="32"/>
  <c r="N36" i="32" s="1"/>
  <c r="T36" i="4"/>
  <c r="Z36" i="4" s="1"/>
  <c r="Z31" i="4"/>
  <c r="X91" i="108"/>
  <c r="R91" i="108"/>
  <c r="Z31" i="37"/>
  <c r="T36" i="37"/>
  <c r="Z36" i="37" s="1"/>
  <c r="T82" i="81"/>
  <c r="V79" i="81"/>
  <c r="N31" i="10"/>
  <c r="H36" i="10"/>
  <c r="N36" i="10" s="1"/>
  <c r="Z31" i="17"/>
  <c r="T36" i="17"/>
  <c r="Z36" i="17" s="1"/>
  <c r="T96" i="45"/>
  <c r="X96" i="45" s="1"/>
  <c r="V92" i="45"/>
  <c r="L31" i="111"/>
  <c r="D36" i="111"/>
  <c r="T89" i="88"/>
  <c r="V86" i="88"/>
  <c r="H36" i="52"/>
  <c r="N36" i="52" s="1"/>
  <c r="N31" i="52"/>
  <c r="T36" i="8"/>
  <c r="Z36" i="8" s="1"/>
  <c r="Z31" i="8"/>
  <c r="L26" i="82"/>
  <c r="D29" i="82"/>
  <c r="D36" i="53"/>
  <c r="L31" i="53"/>
  <c r="X101" i="77"/>
  <c r="Z101" i="77" s="1"/>
  <c r="P105" i="77"/>
  <c r="R101" i="77"/>
  <c r="L75" i="58"/>
  <c r="D78" i="58"/>
  <c r="L78" i="58" s="1"/>
  <c r="L68" i="79"/>
  <c r="D71" i="79"/>
  <c r="F68" i="79"/>
  <c r="Z31" i="32"/>
  <c r="T36" i="32"/>
  <c r="Z36" i="32" s="1"/>
  <c r="H73" i="48"/>
  <c r="J69" i="48"/>
  <c r="X75" i="58"/>
  <c r="Z75" i="58" s="1"/>
  <c r="P78" i="58"/>
  <c r="X78" i="58" s="1"/>
  <c r="D36" i="47"/>
  <c r="L31" i="47"/>
  <c r="N31" i="41"/>
  <c r="H36" i="41"/>
  <c r="N36" i="41" s="1"/>
  <c r="T76" i="48"/>
  <c r="Z73" i="48"/>
  <c r="V73" i="48"/>
  <c r="X31" i="111"/>
  <c r="P36" i="111"/>
  <c r="X148" i="30"/>
  <c r="Z148" i="30" s="1"/>
  <c r="L30" i="86"/>
  <c r="N30" i="86" s="1"/>
  <c r="D34" i="86"/>
  <c r="F30" i="86"/>
  <c r="H74" i="94"/>
  <c r="J71" i="94"/>
  <c r="T78" i="58"/>
  <c r="X70" i="57"/>
  <c r="P73" i="57"/>
  <c r="X73" i="57" s="1"/>
  <c r="H58" i="105"/>
  <c r="J55" i="105"/>
  <c r="X31" i="47"/>
  <c r="P36" i="47"/>
  <c r="H36" i="28"/>
  <c r="N36" i="28" s="1"/>
  <c r="N31" i="28"/>
  <c r="T110" i="21"/>
  <c r="V107" i="21"/>
  <c r="T36" i="28"/>
  <c r="Z36" i="28" s="1"/>
  <c r="Z31" i="28"/>
  <c r="D36" i="7"/>
  <c r="L31" i="7"/>
  <c r="T108" i="77"/>
  <c r="V105" i="77"/>
  <c r="H69" i="59"/>
  <c r="Z31" i="34"/>
  <c r="T36" i="34"/>
  <c r="Z36" i="34" s="1"/>
  <c r="L134" i="39"/>
  <c r="N134" i="39" s="1"/>
  <c r="D137" i="39"/>
  <c r="F134" i="39"/>
  <c r="X122" i="36"/>
  <c r="Z122" i="36" s="1"/>
  <c r="P126" i="36"/>
  <c r="R122" i="36"/>
  <c r="X82" i="102"/>
  <c r="P86" i="102"/>
  <c r="R82" i="102"/>
  <c r="X31" i="8"/>
  <c r="P36" i="8"/>
  <c r="P68" i="68"/>
  <c r="X65" i="68"/>
  <c r="Z65" i="68" s="1"/>
  <c r="L94" i="9"/>
  <c r="N94" i="9" s="1"/>
  <c r="D97" i="9"/>
  <c r="L97" i="9" s="1"/>
  <c r="T68" i="68"/>
  <c r="X75" i="81"/>
  <c r="Z75" i="81" s="1"/>
  <c r="P79" i="81"/>
  <c r="R75" i="81"/>
  <c r="T36" i="83"/>
  <c r="X36" i="83" s="1"/>
  <c r="Z33" i="83"/>
  <c r="V33" i="83"/>
  <c r="X31" i="32"/>
  <c r="P36" i="32"/>
  <c r="J76" i="110"/>
  <c r="T36" i="11"/>
  <c r="Z36" i="11" s="1"/>
  <c r="Z31" i="11"/>
  <c r="D36" i="50"/>
  <c r="L31" i="50"/>
  <c r="X92" i="45"/>
  <c r="Z92" i="45" s="1"/>
  <c r="L28" i="87"/>
  <c r="N28" i="87" s="1"/>
  <c r="D31" i="87"/>
  <c r="L31" i="87" s="1"/>
  <c r="Z31" i="22"/>
  <c r="T36" i="22"/>
  <c r="Z36" i="22" s="1"/>
  <c r="D83" i="73"/>
  <c r="L79" i="73"/>
  <c r="N79" i="73" s="1"/>
  <c r="F79" i="73"/>
  <c r="T56" i="60"/>
  <c r="Z53" i="60"/>
  <c r="X53" i="60"/>
  <c r="X31" i="38"/>
  <c r="P36" i="38"/>
  <c r="H76" i="70"/>
  <c r="N73" i="70"/>
  <c r="J73" i="70"/>
  <c r="P36" i="7"/>
  <c r="X31" i="7"/>
  <c r="X152" i="30"/>
  <c r="P155" i="30"/>
  <c r="R152" i="30"/>
  <c r="T55" i="105"/>
  <c r="V51" i="105"/>
  <c r="L31" i="38"/>
  <c r="D36" i="38"/>
  <c r="N31" i="8"/>
  <c r="H36" i="8"/>
  <c r="N36" i="8" s="1"/>
  <c r="N31" i="87"/>
  <c r="P125" i="27"/>
  <c r="X122" i="27"/>
  <c r="R122" i="27"/>
  <c r="H36" i="112"/>
  <c r="N36" i="112" s="1"/>
  <c r="N31" i="112"/>
  <c r="P273" i="12"/>
  <c r="R270" i="12"/>
  <c r="X71" i="94"/>
  <c r="P74" i="94"/>
  <c r="R71" i="94"/>
  <c r="X31" i="40"/>
  <c r="P36" i="40"/>
  <c r="X65" i="101"/>
  <c r="Z65" i="101" s="1"/>
  <c r="P68" i="101"/>
  <c r="R65" i="101"/>
  <c r="D108" i="51"/>
  <c r="F105" i="51"/>
  <c r="D121" i="71"/>
  <c r="L117" i="71"/>
  <c r="N117" i="71" s="1"/>
  <c r="F117" i="71"/>
  <c r="L74" i="80"/>
  <c r="N74" i="80" s="1"/>
  <c r="D77" i="80"/>
  <c r="F74" i="80"/>
  <c r="Z91" i="108"/>
  <c r="V91" i="108"/>
  <c r="Z31" i="49"/>
  <c r="T36" i="49"/>
  <c r="Z36" i="49" s="1"/>
  <c r="T44" i="109"/>
  <c r="T125" i="27"/>
  <c r="Z122" i="27"/>
  <c r="V122" i="27"/>
  <c r="P36" i="53"/>
  <c r="X31" i="53"/>
  <c r="N31" i="38"/>
  <c r="H36" i="38"/>
  <c r="N36" i="38" s="1"/>
  <c r="H36" i="50"/>
  <c r="N36" i="50" s="1"/>
  <c r="N31" i="50"/>
  <c r="Z31" i="29"/>
  <c r="T36" i="29"/>
  <c r="Z36" i="29" s="1"/>
  <c r="D155" i="30"/>
  <c r="F152" i="30"/>
  <c r="L107" i="21"/>
  <c r="D110" i="21"/>
  <c r="F107" i="21"/>
  <c r="P99" i="45"/>
  <c r="R96" i="45"/>
  <c r="L26" i="54"/>
  <c r="D31" i="54"/>
  <c r="L31" i="54" s="1"/>
  <c r="D36" i="83"/>
  <c r="L33" i="83"/>
  <c r="N33" i="83" s="1"/>
  <c r="F33" i="83"/>
  <c r="X69" i="59"/>
  <c r="H96" i="92"/>
  <c r="X31" i="10"/>
  <c r="P36" i="10"/>
  <c r="T86" i="84"/>
  <c r="V82" i="84"/>
  <c r="H86" i="73"/>
  <c r="J83" i="73"/>
  <c r="X54" i="103"/>
  <c r="Z54" i="103" s="1"/>
  <c r="P57" i="103"/>
  <c r="X57" i="103" s="1"/>
  <c r="H102" i="64"/>
  <c r="L31" i="16"/>
  <c r="D36" i="16"/>
  <c r="L31" i="22"/>
  <c r="D36" i="22"/>
  <c r="X117" i="71"/>
  <c r="Z117" i="71" s="1"/>
  <c r="P121" i="71"/>
  <c r="R117" i="71"/>
  <c r="D82" i="93"/>
  <c r="F79" i="93"/>
  <c r="Z31" i="43"/>
  <c r="T36" i="43"/>
  <c r="Z36" i="43" s="1"/>
  <c r="Z87" i="74"/>
  <c r="T91" i="74"/>
  <c r="V87" i="74"/>
  <c r="P36" i="4"/>
  <c r="X31" i="4"/>
  <c r="N31" i="113"/>
  <c r="H36" i="113"/>
  <c r="N36" i="113" s="1"/>
  <c r="D36" i="29"/>
  <c r="L31" i="29"/>
  <c r="D36" i="49"/>
  <c r="L31" i="49"/>
  <c r="P77" i="80"/>
  <c r="R74" i="80"/>
  <c r="T108" i="51"/>
  <c r="V105" i="51"/>
  <c r="P36" i="19"/>
  <c r="X31" i="19"/>
  <c r="X31" i="26"/>
  <c r="P36" i="26"/>
  <c r="H312" i="3"/>
  <c r="L312" i="3" s="1"/>
  <c r="N308" i="3"/>
  <c r="J308" i="3"/>
  <c r="L61" i="101"/>
  <c r="N61" i="101" s="1"/>
  <c r="D65" i="101"/>
  <c r="X34" i="86"/>
  <c r="P37" i="86"/>
  <c r="R34" i="86"/>
  <c r="V68" i="101"/>
  <c r="T124" i="71"/>
  <c r="V121" i="71"/>
  <c r="Z31" i="13"/>
  <c r="T36" i="13"/>
  <c r="Z36" i="13" s="1"/>
  <c r="N31" i="111"/>
  <c r="H36" i="111"/>
  <c r="N36" i="111" s="1"/>
  <c r="Z31" i="26"/>
  <c r="T36" i="26"/>
  <c r="Z36" i="26" s="1"/>
  <c r="L76" i="70"/>
  <c r="F76" i="70"/>
  <c r="Z119" i="85"/>
  <c r="T123" i="85"/>
  <c r="V119" i="85"/>
  <c r="L31" i="8"/>
  <c r="D36" i="8"/>
  <c r="T114" i="75"/>
  <c r="Z110" i="75"/>
  <c r="V110" i="75"/>
  <c r="X258" i="15"/>
  <c r="P262" i="15"/>
  <c r="R258" i="15"/>
  <c r="P94" i="74"/>
  <c r="X91" i="74"/>
  <c r="R91" i="74"/>
  <c r="H58" i="61"/>
  <c r="T36" i="41"/>
  <c r="Z36" i="41" s="1"/>
  <c r="Z31" i="41"/>
  <c r="Z73" i="89"/>
  <c r="T77" i="89"/>
  <c r="X73" i="89"/>
  <c r="V73" i="89"/>
  <c r="H86" i="102"/>
  <c r="N82" i="102"/>
  <c r="J82" i="102"/>
  <c r="P36" i="41"/>
  <c r="X31" i="41"/>
  <c r="H86" i="84"/>
  <c r="N82" i="84"/>
  <c r="J82" i="84"/>
  <c r="T71" i="79"/>
  <c r="V68" i="79"/>
  <c r="N31" i="26"/>
  <c r="H36" i="26"/>
  <c r="N36" i="26" s="1"/>
  <c r="L31" i="34"/>
  <c r="D36" i="34"/>
  <c r="N31" i="25"/>
  <c r="H36" i="25"/>
  <c r="N36" i="25" s="1"/>
  <c r="L92" i="45"/>
  <c r="N92" i="45" s="1"/>
  <c r="X31" i="28"/>
  <c r="P36" i="28"/>
  <c r="P91" i="104"/>
  <c r="R88" i="104"/>
  <c r="X31" i="11"/>
  <c r="P36" i="11"/>
  <c r="X31" i="23"/>
  <c r="P36" i="23"/>
  <c r="Z31" i="44"/>
  <c r="T36" i="44"/>
  <c r="Z36" i="44" s="1"/>
  <c r="L88" i="104"/>
  <c r="D91" i="104"/>
  <c r="F88" i="104"/>
  <c r="H117" i="75"/>
  <c r="J114" i="75"/>
  <c r="N103" i="21"/>
  <c r="H107" i="21"/>
  <c r="J103" i="21"/>
  <c r="H36" i="23"/>
  <c r="N36" i="23" s="1"/>
  <c r="N31" i="23"/>
  <c r="L73" i="110"/>
  <c r="N73" i="110" s="1"/>
  <c r="D76" i="110"/>
  <c r="F73" i="110"/>
  <c r="Z258" i="15"/>
  <c r="T262" i="15"/>
  <c r="V258" i="15"/>
  <c r="X31" i="44"/>
  <c r="P36" i="44"/>
  <c r="L110" i="75"/>
  <c r="N110" i="75" s="1"/>
  <c r="D114" i="75"/>
  <c r="F110" i="75"/>
  <c r="D89" i="106"/>
  <c r="L85" i="106"/>
  <c r="F85" i="106"/>
  <c r="T102" i="64"/>
  <c r="Z99" i="64"/>
  <c r="Z31" i="50"/>
  <c r="T36" i="50"/>
  <c r="Z36" i="50" s="1"/>
  <c r="Z28" i="87"/>
  <c r="T31" i="87"/>
  <c r="L95" i="33"/>
  <c r="D98" i="33"/>
  <c r="F95" i="33"/>
  <c r="N31" i="44"/>
  <c r="H36" i="44"/>
  <c r="N36" i="44" s="1"/>
  <c r="X75" i="93"/>
  <c r="Z75" i="93" s="1"/>
  <c r="P79" i="93"/>
  <c r="R75" i="93"/>
  <c r="P36" i="20"/>
  <c r="X31" i="20"/>
  <c r="H98" i="33"/>
  <c r="N95" i="33"/>
  <c r="J95" i="33"/>
  <c r="D36" i="44"/>
  <c r="L31" i="44"/>
  <c r="X77" i="95"/>
  <c r="Z77" i="95" s="1"/>
  <c r="P81" i="95"/>
  <c r="R77" i="95"/>
  <c r="H140" i="24"/>
  <c r="J137" i="24"/>
  <c r="L77" i="56"/>
  <c r="D80" i="56"/>
  <c r="H57" i="103"/>
  <c r="Z31" i="6"/>
  <c r="N31" i="4"/>
  <c r="H36" i="4"/>
  <c r="N36" i="4" s="1"/>
  <c r="X31" i="17"/>
  <c r="P36" i="17"/>
  <c r="X37" i="55"/>
  <c r="Z37" i="55" s="1"/>
  <c r="P40" i="55"/>
  <c r="H77" i="76"/>
  <c r="L77" i="76" s="1"/>
  <c r="N73" i="76"/>
  <c r="J73" i="76"/>
  <c r="Z119" i="42"/>
  <c r="T123" i="42"/>
  <c r="V119" i="42"/>
  <c r="Z31" i="20"/>
  <c r="T36" i="20"/>
  <c r="Z36" i="20" s="1"/>
  <c r="D99" i="45"/>
  <c r="L96" i="45"/>
  <c r="F96" i="45"/>
  <c r="Z31" i="38"/>
  <c r="T36" i="38"/>
  <c r="Z36" i="38" s="1"/>
  <c r="T36" i="40"/>
  <c r="Z36" i="40" s="1"/>
  <c r="Z31" i="40"/>
  <c r="Z69" i="59"/>
  <c r="L31" i="25"/>
  <c r="D36" i="25"/>
  <c r="Z31" i="112"/>
  <c r="T36" i="112"/>
  <c r="Z36" i="112" s="1"/>
  <c r="Z31" i="7"/>
  <c r="T36" i="7"/>
  <c r="Z36" i="7" s="1"/>
  <c r="X31" i="16"/>
  <c r="P36" i="16"/>
  <c r="Z31" i="10"/>
  <c r="T36" i="10"/>
  <c r="Z36" i="10" s="1"/>
  <c r="Z31" i="53"/>
  <c r="T36" i="53"/>
  <c r="Z36" i="53" s="1"/>
  <c r="N289" i="18"/>
  <c r="H292" i="18"/>
  <c r="J289" i="18"/>
  <c r="Z31" i="19"/>
  <c r="T36" i="19"/>
  <c r="Z36" i="19" s="1"/>
  <c r="T87" i="98"/>
  <c r="Z83" i="98"/>
  <c r="V83" i="98"/>
  <c r="T31" i="107"/>
  <c r="X31" i="107" s="1"/>
  <c r="Z69" i="110"/>
  <c r="T73" i="110"/>
  <c r="V69" i="110"/>
  <c r="H89" i="106"/>
  <c r="N85" i="106"/>
  <c r="J85" i="106"/>
  <c r="D36" i="112"/>
  <c r="L31" i="112"/>
  <c r="P36" i="49"/>
  <c r="X31" i="49"/>
  <c r="P89" i="88"/>
  <c r="X86" i="88"/>
  <c r="Z86" i="88" s="1"/>
  <c r="R86" i="88"/>
  <c r="T36" i="52"/>
  <c r="Z36" i="52" s="1"/>
  <c r="Z31" i="52"/>
  <c r="D58" i="61"/>
  <c r="L58" i="61" s="1"/>
  <c r="L55" i="61"/>
  <c r="N55" i="61" s="1"/>
  <c r="H126" i="36"/>
  <c r="L126" i="36" s="1"/>
  <c r="N122" i="36"/>
  <c r="J122" i="36"/>
  <c r="H89" i="88"/>
  <c r="J86" i="88"/>
  <c r="P126" i="42"/>
  <c r="X123" i="42"/>
  <c r="R123" i="42"/>
  <c r="X29" i="82"/>
  <c r="D36" i="32"/>
  <c r="L31" i="32"/>
  <c r="T74" i="80"/>
  <c r="X74" i="80" s="1"/>
  <c r="Z70" i="80"/>
  <c r="V70" i="80"/>
  <c r="L119" i="85"/>
  <c r="N119" i="85" s="1"/>
  <c r="D123" i="85"/>
  <c r="F119" i="85"/>
  <c r="D91" i="74"/>
  <c r="L87" i="74"/>
  <c r="N87" i="74" s="1"/>
  <c r="F87" i="74"/>
  <c r="L67" i="94"/>
  <c r="N67" i="94" s="1"/>
  <c r="D71" i="94"/>
  <c r="F67" i="94"/>
  <c r="Z31" i="46"/>
  <c r="T36" i="46"/>
  <c r="Z36" i="46" s="1"/>
  <c r="N31" i="49"/>
  <c r="H36" i="49"/>
  <c r="N36" i="49" s="1"/>
  <c r="N31" i="5"/>
  <c r="H36" i="5"/>
  <c r="N36" i="5" s="1"/>
  <c r="Z97" i="9"/>
  <c r="P105" i="51"/>
  <c r="X101" i="51"/>
  <c r="Z101" i="51" s="1"/>
  <c r="R101" i="51"/>
  <c r="D137" i="24"/>
  <c r="L133" i="24"/>
  <c r="N133" i="24" s="1"/>
  <c r="F133" i="24"/>
  <c r="N123" i="42"/>
  <c r="H126" i="42"/>
  <c r="J123" i="42"/>
  <c r="T36" i="23"/>
  <c r="Z36" i="23" s="1"/>
  <c r="Z31" i="23"/>
  <c r="Z31" i="14"/>
  <c r="T36" i="14"/>
  <c r="Z36" i="14" s="1"/>
  <c r="D36" i="14"/>
  <c r="L31" i="14"/>
  <c r="L86" i="84"/>
  <c r="D89" i="84"/>
  <c r="F86" i="84"/>
  <c r="T82" i="93"/>
  <c r="V79" i="93"/>
  <c r="D102" i="64"/>
  <c r="L102" i="64" s="1"/>
  <c r="L99" i="64"/>
  <c r="N99" i="64" s="1"/>
  <c r="H80" i="89"/>
  <c r="J77" i="89"/>
  <c r="L77" i="89"/>
  <c r="N77" i="89" s="1"/>
  <c r="L73" i="57"/>
  <c r="D121" i="69"/>
  <c r="L117" i="69"/>
  <c r="N117" i="69" s="1"/>
  <c r="F117" i="69"/>
  <c r="N70" i="57"/>
  <c r="H73" i="57"/>
  <c r="P86" i="84"/>
  <c r="X82" i="84"/>
  <c r="Z82" i="84" s="1"/>
  <c r="R82" i="84"/>
  <c r="X73" i="48"/>
  <c r="P76" i="48"/>
  <c r="R73" i="48"/>
  <c r="N31" i="43"/>
  <c r="H36" i="43"/>
  <c r="N36" i="43" s="1"/>
  <c r="L289" i="18"/>
  <c r="D292" i="18"/>
  <c r="F289" i="18"/>
  <c r="L31" i="35"/>
  <c r="D36" i="35"/>
  <c r="L93" i="92"/>
  <c r="N93" i="92" s="1"/>
  <c r="D96" i="92"/>
  <c r="L96" i="92" s="1"/>
  <c r="D262" i="15"/>
  <c r="L258" i="15"/>
  <c r="F258" i="15"/>
  <c r="Z73" i="76"/>
  <c r="T77" i="76"/>
  <c r="V73" i="76"/>
  <c r="Z82" i="102"/>
  <c r="T86" i="102"/>
  <c r="V82" i="102"/>
  <c r="P87" i="98"/>
  <c r="X83" i="98"/>
  <c r="R83" i="98"/>
  <c r="H262" i="15"/>
  <c r="N258" i="15"/>
  <c r="J258" i="15"/>
  <c r="T129" i="36"/>
  <c r="V126" i="36"/>
  <c r="X31" i="14"/>
  <c r="P36" i="14"/>
  <c r="N31" i="22"/>
  <c r="H36" i="22"/>
  <c r="N36" i="22" s="1"/>
  <c r="X107" i="21"/>
  <c r="Z107" i="21" s="1"/>
  <c r="P110" i="21"/>
  <c r="R107" i="21"/>
  <c r="L28" i="107"/>
  <c r="D31" i="107"/>
  <c r="L31" i="107" s="1"/>
  <c r="P31" i="87"/>
  <c r="X31" i="87" s="1"/>
  <c r="X28" i="87"/>
  <c r="H36" i="14"/>
  <c r="N36" i="14" s="1"/>
  <c r="N31" i="14"/>
  <c r="N47" i="99"/>
  <c r="H50" i="99"/>
  <c r="N50" i="99" s="1"/>
  <c r="N31" i="37"/>
  <c r="H36" i="37"/>
  <c r="N36" i="37" s="1"/>
  <c r="X47" i="100"/>
  <c r="Z47" i="100" s="1"/>
  <c r="P50" i="100"/>
  <c r="X50" i="100" s="1"/>
  <c r="Z50" i="100" s="1"/>
  <c r="H36" i="31"/>
  <c r="N36" i="31" s="1"/>
  <c r="N31" i="31"/>
  <c r="L31" i="10"/>
  <c r="D36" i="10"/>
  <c r="D270" i="12"/>
  <c r="L266" i="12"/>
  <c r="N266" i="12" s="1"/>
  <c r="F266" i="12"/>
  <c r="H124" i="69"/>
  <c r="J121" i="69"/>
  <c r="H79" i="93"/>
  <c r="N75" i="93"/>
  <c r="J75" i="93"/>
  <c r="N41" i="109"/>
  <c r="H44" i="109"/>
  <c r="N87" i="98"/>
  <c r="H90" i="98"/>
  <c r="J87" i="98"/>
  <c r="Z31" i="54"/>
  <c r="X31" i="54"/>
  <c r="X31" i="112"/>
  <c r="P36" i="112"/>
  <c r="N31" i="29"/>
  <c r="H36" i="29"/>
  <c r="N36" i="29" s="1"/>
  <c r="P36" i="25"/>
  <c r="X31" i="25"/>
  <c r="L31" i="19"/>
  <c r="D36" i="19"/>
  <c r="H81" i="95"/>
  <c r="N77" i="95"/>
  <c r="J77" i="95"/>
  <c r="X31" i="50"/>
  <c r="P36" i="50"/>
  <c r="H68" i="101"/>
  <c r="N31" i="54"/>
  <c r="N31" i="34"/>
  <c r="H36" i="34"/>
  <c r="N36" i="34" s="1"/>
  <c r="Z31" i="25"/>
  <c r="T36" i="25"/>
  <c r="Z36" i="25" s="1"/>
  <c r="H124" i="71"/>
  <c r="J121" i="71"/>
  <c r="N31" i="7"/>
  <c r="H36" i="7"/>
  <c r="N36" i="7" s="1"/>
  <c r="H94" i="74"/>
  <c r="J91" i="74"/>
  <c r="T40" i="55"/>
  <c r="P94" i="96"/>
  <c r="X91" i="96"/>
  <c r="Z91" i="96" s="1"/>
  <c r="R91" i="96"/>
  <c r="N31" i="47"/>
  <c r="H36" i="47"/>
  <c r="N36" i="47" s="1"/>
  <c r="L31" i="23"/>
  <c r="D36" i="23"/>
  <c r="N47" i="100"/>
  <c r="H50" i="100"/>
  <c r="L31" i="41"/>
  <c r="D36" i="41"/>
  <c r="L31" i="28"/>
  <c r="D36" i="28"/>
  <c r="X31" i="29"/>
  <c r="P36" i="29"/>
  <c r="L31" i="52"/>
  <c r="D36" i="52"/>
  <c r="T37" i="86"/>
  <c r="Z34" i="86"/>
  <c r="V34" i="86"/>
  <c r="X41" i="109"/>
  <c r="Z41" i="109" s="1"/>
  <c r="P44" i="109"/>
  <c r="X44" i="109" s="1"/>
  <c r="L31" i="20"/>
  <c r="D36" i="20"/>
  <c r="N88" i="104"/>
  <c r="H91" i="104"/>
  <c r="J88" i="104"/>
  <c r="T88" i="104"/>
  <c r="X88" i="104" s="1"/>
  <c r="Z84" i="104"/>
  <c r="V84" i="104"/>
  <c r="P140" i="24"/>
  <c r="R137" i="24"/>
  <c r="N97" i="9"/>
  <c r="X94" i="9"/>
  <c r="Z94" i="9" s="1"/>
  <c r="P97" i="9"/>
  <c r="X97" i="9" s="1"/>
  <c r="N77" i="56"/>
  <c r="H80" i="56"/>
  <c r="X31" i="43"/>
  <c r="P36" i="43"/>
  <c r="Z133" i="24"/>
  <c r="T137" i="24"/>
  <c r="X137" i="24" s="1"/>
  <c r="V133" i="24"/>
  <c r="T270" i="12"/>
  <c r="Z266" i="12"/>
  <c r="V266" i="12"/>
  <c r="N148" i="30"/>
  <c r="H152" i="30"/>
  <c r="L152" i="30" s="1"/>
  <c r="J148" i="30"/>
  <c r="L31" i="37"/>
  <c r="D36" i="37"/>
  <c r="Z31" i="31"/>
  <c r="T36" i="31"/>
  <c r="Z36" i="31" s="1"/>
  <c r="L69" i="48"/>
  <c r="N69" i="48" s="1"/>
  <c r="D57" i="103"/>
  <c r="L57" i="103" s="1"/>
  <c r="L54" i="103"/>
  <c r="N54" i="103" s="1"/>
  <c r="Z31" i="47"/>
  <c r="T36" i="47"/>
  <c r="Z36" i="47" s="1"/>
  <c r="L31" i="43"/>
  <c r="D36" i="43"/>
  <c r="P312" i="3"/>
  <c r="X308" i="3"/>
  <c r="Z308" i="3" s="1"/>
  <c r="R308" i="3"/>
  <c r="D89" i="102"/>
  <c r="L86" i="102"/>
  <c r="F86" i="102"/>
  <c r="H29" i="82"/>
  <c r="N29" i="82" s="1"/>
  <c r="N26" i="82"/>
  <c r="D122" i="27"/>
  <c r="L118" i="27"/>
  <c r="N118" i="27" s="1"/>
  <c r="F118" i="27"/>
  <c r="L31" i="17"/>
  <c r="D36" i="17"/>
  <c r="N31" i="19"/>
  <c r="H36" i="19"/>
  <c r="N36" i="19" s="1"/>
  <c r="H91" i="108"/>
  <c r="J88" i="108"/>
  <c r="X31" i="46"/>
  <c r="P36" i="46"/>
  <c r="P36" i="5"/>
  <c r="X31" i="5"/>
  <c r="L31" i="26"/>
  <c r="D36" i="26"/>
  <c r="T84" i="95"/>
  <c r="V81" i="95"/>
  <c r="L101" i="77"/>
  <c r="N101" i="77" s="1"/>
  <c r="D105" i="77"/>
  <c r="F101" i="77"/>
  <c r="Z79" i="73"/>
  <c r="T83" i="73"/>
  <c r="V79" i="73"/>
  <c r="P76" i="70"/>
  <c r="X73" i="70"/>
  <c r="Z73" i="70" s="1"/>
  <c r="R73" i="70"/>
  <c r="L81" i="95"/>
  <c r="D84" i="95"/>
  <c r="F81" i="95"/>
  <c r="N31" i="40"/>
  <c r="H36" i="40"/>
  <c r="N36" i="40" s="1"/>
  <c r="X31" i="13"/>
  <c r="P36" i="13"/>
  <c r="T76" i="70"/>
  <c r="V73" i="70"/>
  <c r="D69" i="59"/>
  <c r="L69" i="59" s="1"/>
  <c r="L66" i="59"/>
  <c r="N66" i="59" s="1"/>
  <c r="Z95" i="33"/>
  <c r="T98" i="33"/>
  <c r="V95" i="33"/>
  <c r="H36" i="17"/>
  <c r="N36" i="17" s="1"/>
  <c r="N31" i="17"/>
  <c r="X114" i="75"/>
  <c r="P117" i="75"/>
  <c r="R114" i="75"/>
  <c r="T36" i="5"/>
  <c r="Z36" i="5" s="1"/>
  <c r="Z31" i="5"/>
  <c r="L88" i="108"/>
  <c r="N88" i="108" s="1"/>
  <c r="D91" i="108"/>
  <c r="F88" i="108"/>
  <c r="P137" i="39"/>
  <c r="X134" i="39"/>
  <c r="R134" i="39"/>
  <c r="L55" i="105"/>
  <c r="N55" i="105" s="1"/>
  <c r="D58" i="105"/>
  <c r="F55" i="105"/>
  <c r="X28" i="107"/>
  <c r="Z28" i="107" s="1"/>
  <c r="Z57" i="103"/>
  <c r="D50" i="99"/>
  <c r="L47" i="99"/>
  <c r="F47" i="99"/>
  <c r="Z43" i="99"/>
  <c r="T47" i="99"/>
  <c r="X31" i="113"/>
  <c r="P36" i="113"/>
  <c r="H105" i="51"/>
  <c r="J101" i="51"/>
  <c r="D91" i="96"/>
  <c r="L87" i="96"/>
  <c r="N87" i="96" s="1"/>
  <c r="F87" i="96"/>
  <c r="L73" i="48"/>
  <c r="D76" i="48"/>
  <c r="F73" i="48"/>
  <c r="L31" i="4"/>
  <c r="D36" i="4"/>
  <c r="H31" i="6"/>
  <c r="N26" i="6"/>
  <c r="X70" i="80"/>
  <c r="P96" i="92"/>
  <c r="X96" i="92" s="1"/>
  <c r="Z96" i="92" s="1"/>
  <c r="X93" i="92"/>
  <c r="Z93" i="92" s="1"/>
  <c r="H36" i="35"/>
  <c r="N36" i="35" s="1"/>
  <c r="N31" i="35"/>
  <c r="P36" i="37"/>
  <c r="X31" i="37"/>
  <c r="L101" i="51"/>
  <c r="N101" i="51" s="1"/>
  <c r="L79" i="81"/>
  <c r="N79" i="81" s="1"/>
  <c r="D82" i="81"/>
  <c r="F79" i="81"/>
  <c r="X36" i="37" l="1"/>
  <c r="X36" i="113"/>
  <c r="X36" i="41"/>
  <c r="X36" i="17"/>
  <c r="X36" i="32"/>
  <c r="L36" i="23"/>
  <c r="X36" i="4"/>
  <c r="L36" i="28"/>
  <c r="L36" i="26"/>
  <c r="L36" i="20"/>
  <c r="X36" i="111"/>
  <c r="X36" i="16"/>
  <c r="L36" i="32"/>
  <c r="L36" i="44"/>
  <c r="X36" i="13"/>
  <c r="X36" i="44"/>
  <c r="X36" i="11"/>
  <c r="L36" i="37"/>
  <c r="X36" i="14"/>
  <c r="L36" i="25"/>
  <c r="X36" i="28"/>
  <c r="L36" i="10"/>
  <c r="X36" i="53"/>
  <c r="L36" i="14"/>
  <c r="X36" i="19"/>
  <c r="X36" i="7"/>
  <c r="X36" i="23"/>
  <c r="X36" i="40"/>
  <c r="X36" i="43"/>
  <c r="L36" i="112"/>
  <c r="L36" i="49"/>
  <c r="L36" i="4"/>
  <c r="L36" i="17"/>
  <c r="L36" i="19"/>
  <c r="X36" i="34"/>
  <c r="X81" i="95"/>
  <c r="Z81" i="95" s="1"/>
  <c r="P84" i="95"/>
  <c r="R81" i="95"/>
  <c r="X68" i="101"/>
  <c r="Z68" i="101" s="1"/>
  <c r="R68" i="101"/>
  <c r="R155" i="30"/>
  <c r="Z68" i="68"/>
  <c r="X126" i="36"/>
  <c r="Z126" i="36" s="1"/>
  <c r="P129" i="36"/>
  <c r="R126" i="36"/>
  <c r="H108" i="77"/>
  <c r="J105" i="77"/>
  <c r="L58" i="105"/>
  <c r="N58" i="105" s="1"/>
  <c r="F58" i="105"/>
  <c r="T86" i="73"/>
  <c r="V83" i="73"/>
  <c r="X36" i="46"/>
  <c r="L36" i="41"/>
  <c r="J124" i="71"/>
  <c r="H84" i="95"/>
  <c r="L84" i="95" s="1"/>
  <c r="N81" i="95"/>
  <c r="J81" i="95"/>
  <c r="J124" i="69"/>
  <c r="T76" i="110"/>
  <c r="V73" i="110"/>
  <c r="X36" i="20"/>
  <c r="L36" i="7"/>
  <c r="L36" i="47"/>
  <c r="P58" i="105"/>
  <c r="X55" i="105"/>
  <c r="Z55" i="105" s="1"/>
  <c r="R55" i="105"/>
  <c r="F80" i="76"/>
  <c r="N36" i="83"/>
  <c r="J36" i="83"/>
  <c r="X110" i="21"/>
  <c r="R110" i="21"/>
  <c r="X87" i="98"/>
  <c r="P90" i="98"/>
  <c r="R87" i="98"/>
  <c r="L36" i="35"/>
  <c r="N80" i="89"/>
  <c r="J80" i="89"/>
  <c r="L80" i="89"/>
  <c r="X105" i="51"/>
  <c r="Z105" i="51" s="1"/>
  <c r="P108" i="51"/>
  <c r="R105" i="51"/>
  <c r="J117" i="75"/>
  <c r="R91" i="104"/>
  <c r="T80" i="89"/>
  <c r="X77" i="89"/>
  <c r="Z77" i="89" s="1"/>
  <c r="V77" i="89"/>
  <c r="X37" i="86"/>
  <c r="R37" i="86"/>
  <c r="V108" i="51"/>
  <c r="L36" i="22"/>
  <c r="Z86" i="84"/>
  <c r="T89" i="84"/>
  <c r="V86" i="84"/>
  <c r="X125" i="27"/>
  <c r="R125" i="27"/>
  <c r="L83" i="73"/>
  <c r="N83" i="73" s="1"/>
  <c r="D86" i="73"/>
  <c r="F83" i="73"/>
  <c r="L34" i="86"/>
  <c r="N34" i="86" s="1"/>
  <c r="D37" i="86"/>
  <c r="F34" i="86"/>
  <c r="Z89" i="88"/>
  <c r="V89" i="88"/>
  <c r="L50" i="100"/>
  <c r="L129" i="36"/>
  <c r="F129" i="36"/>
  <c r="V317" i="3"/>
  <c r="L44" i="109"/>
  <c r="N44" i="109" s="1"/>
  <c r="L40" i="55"/>
  <c r="N40" i="55" s="1"/>
  <c r="Z270" i="12"/>
  <c r="T273" i="12"/>
  <c r="X273" i="12" s="1"/>
  <c r="V270" i="12"/>
  <c r="N50" i="100"/>
  <c r="J94" i="74"/>
  <c r="D94" i="74"/>
  <c r="L91" i="74"/>
  <c r="N91" i="74" s="1"/>
  <c r="F91" i="74"/>
  <c r="R126" i="42"/>
  <c r="Z31" i="107"/>
  <c r="X79" i="93"/>
  <c r="Z79" i="93" s="1"/>
  <c r="P82" i="93"/>
  <c r="R79" i="93"/>
  <c r="Z102" i="64"/>
  <c r="T265" i="15"/>
  <c r="Z262" i="15"/>
  <c r="V262" i="15"/>
  <c r="V71" i="79"/>
  <c r="L77" i="80"/>
  <c r="F77" i="80"/>
  <c r="L137" i="39"/>
  <c r="N137" i="39" s="1"/>
  <c r="F137" i="39"/>
  <c r="J58" i="105"/>
  <c r="P108" i="77"/>
  <c r="X105" i="77"/>
  <c r="Z105" i="77" s="1"/>
  <c r="R105" i="77"/>
  <c r="V82" i="81"/>
  <c r="X68" i="79"/>
  <c r="Z68" i="79" s="1"/>
  <c r="P71" i="79"/>
  <c r="R68" i="79"/>
  <c r="L36" i="13"/>
  <c r="X47" i="99"/>
  <c r="P50" i="99"/>
  <c r="R47" i="99"/>
  <c r="D89" i="88"/>
  <c r="L86" i="88"/>
  <c r="N86" i="88" s="1"/>
  <c r="F86" i="88"/>
  <c r="Z125" i="27"/>
  <c r="V125" i="27"/>
  <c r="L82" i="81"/>
  <c r="F82" i="81"/>
  <c r="D108" i="77"/>
  <c r="L105" i="77"/>
  <c r="N105" i="77" s="1"/>
  <c r="F105" i="77"/>
  <c r="R140" i="24"/>
  <c r="T126" i="42"/>
  <c r="X126" i="42" s="1"/>
  <c r="Z123" i="42"/>
  <c r="V123" i="42"/>
  <c r="Z114" i="75"/>
  <c r="T117" i="75"/>
  <c r="V114" i="75"/>
  <c r="L65" i="101"/>
  <c r="N65" i="101" s="1"/>
  <c r="D68" i="101"/>
  <c r="L68" i="101" s="1"/>
  <c r="T94" i="74"/>
  <c r="Z91" i="74"/>
  <c r="V91" i="74"/>
  <c r="L36" i="16"/>
  <c r="X99" i="45"/>
  <c r="R99" i="45"/>
  <c r="L36" i="111"/>
  <c r="L56" i="60"/>
  <c r="N56" i="60" s="1"/>
  <c r="L36" i="113"/>
  <c r="L36" i="31"/>
  <c r="L36" i="11"/>
  <c r="J137" i="39"/>
  <c r="L36" i="46"/>
  <c r="D125" i="27"/>
  <c r="L122" i="27"/>
  <c r="N122" i="27" s="1"/>
  <c r="F122" i="27"/>
  <c r="L36" i="83"/>
  <c r="F36" i="83"/>
  <c r="J91" i="108"/>
  <c r="N90" i="98"/>
  <c r="J90" i="98"/>
  <c r="P89" i="84"/>
  <c r="X86" i="84"/>
  <c r="R86" i="84"/>
  <c r="X89" i="88"/>
  <c r="R89" i="88"/>
  <c r="X36" i="25"/>
  <c r="L292" i="18"/>
  <c r="F292" i="18"/>
  <c r="N73" i="57"/>
  <c r="L123" i="85"/>
  <c r="N123" i="85" s="1"/>
  <c r="D126" i="85"/>
  <c r="F123" i="85"/>
  <c r="N57" i="103"/>
  <c r="L91" i="104"/>
  <c r="N91" i="104" s="1"/>
  <c r="F91" i="104"/>
  <c r="L36" i="8"/>
  <c r="X36" i="10"/>
  <c r="R74" i="94"/>
  <c r="X68" i="68"/>
  <c r="N77" i="80"/>
  <c r="J77" i="80"/>
  <c r="X98" i="33"/>
  <c r="R98" i="33"/>
  <c r="N96" i="45"/>
  <c r="H99" i="45"/>
  <c r="J96" i="45"/>
  <c r="X36" i="52"/>
  <c r="Z121" i="69"/>
  <c r="T124" i="69"/>
  <c r="V121" i="69"/>
  <c r="N82" i="81"/>
  <c r="J82" i="81"/>
  <c r="X77" i="76"/>
  <c r="Z77" i="76" s="1"/>
  <c r="P80" i="76"/>
  <c r="R77" i="76"/>
  <c r="F317" i="3"/>
  <c r="X121" i="71"/>
  <c r="Z121" i="71" s="1"/>
  <c r="P124" i="71"/>
  <c r="R121" i="71"/>
  <c r="X117" i="75"/>
  <c r="R117" i="75"/>
  <c r="T89" i="102"/>
  <c r="V86" i="102"/>
  <c r="L89" i="102"/>
  <c r="F89" i="102"/>
  <c r="Z37" i="86"/>
  <c r="V37" i="86"/>
  <c r="D273" i="12"/>
  <c r="L270" i="12"/>
  <c r="N270" i="12" s="1"/>
  <c r="F270" i="12"/>
  <c r="V82" i="93"/>
  <c r="J89" i="88"/>
  <c r="X36" i="49"/>
  <c r="L80" i="56"/>
  <c r="D92" i="106"/>
  <c r="L89" i="106"/>
  <c r="F89" i="106"/>
  <c r="L76" i="110"/>
  <c r="N76" i="110" s="1"/>
  <c r="F76" i="110"/>
  <c r="N86" i="84"/>
  <c r="H89" i="84"/>
  <c r="J86" i="84"/>
  <c r="N58" i="61"/>
  <c r="R77" i="80"/>
  <c r="Z44" i="109"/>
  <c r="L36" i="38"/>
  <c r="N76" i="70"/>
  <c r="J76" i="70"/>
  <c r="X36" i="8"/>
  <c r="Z110" i="21"/>
  <c r="V110" i="21"/>
  <c r="N73" i="48"/>
  <c r="H76" i="48"/>
  <c r="L76" i="48" s="1"/>
  <c r="J73" i="48"/>
  <c r="L36" i="53"/>
  <c r="Z71" i="94"/>
  <c r="T74" i="94"/>
  <c r="V71" i="94"/>
  <c r="V76" i="70"/>
  <c r="H108" i="51"/>
  <c r="N105" i="51"/>
  <c r="J105" i="51"/>
  <c r="Z47" i="99"/>
  <c r="T50" i="99"/>
  <c r="Z50" i="99" s="1"/>
  <c r="Z137" i="24"/>
  <c r="T140" i="24"/>
  <c r="X140" i="24" s="1"/>
  <c r="V137" i="24"/>
  <c r="F76" i="48"/>
  <c r="R137" i="39"/>
  <c r="Z98" i="33"/>
  <c r="V98" i="33"/>
  <c r="F84" i="95"/>
  <c r="V84" i="95"/>
  <c r="L36" i="52"/>
  <c r="V129" i="36"/>
  <c r="T80" i="76"/>
  <c r="V77" i="76"/>
  <c r="N126" i="42"/>
  <c r="J126" i="42"/>
  <c r="Z87" i="98"/>
  <c r="T90" i="98"/>
  <c r="V87" i="98"/>
  <c r="N102" i="64"/>
  <c r="L110" i="21"/>
  <c r="F110" i="21"/>
  <c r="D124" i="71"/>
  <c r="L121" i="71"/>
  <c r="N121" i="71" s="1"/>
  <c r="F121" i="71"/>
  <c r="X36" i="38"/>
  <c r="N69" i="59"/>
  <c r="Z78" i="58"/>
  <c r="L29" i="82"/>
  <c r="X83" i="73"/>
  <c r="Z83" i="73" s="1"/>
  <c r="Z73" i="57"/>
  <c r="L36" i="40"/>
  <c r="Z152" i="30"/>
  <c r="T155" i="30"/>
  <c r="V152" i="30"/>
  <c r="X73" i="110"/>
  <c r="Z73" i="110" s="1"/>
  <c r="Z289" i="18"/>
  <c r="T292" i="18"/>
  <c r="V289" i="18"/>
  <c r="X262" i="15"/>
  <c r="P265" i="15"/>
  <c r="R262" i="15"/>
  <c r="P317" i="3"/>
  <c r="X312" i="3"/>
  <c r="Z312" i="3" s="1"/>
  <c r="R312" i="3"/>
  <c r="Z88" i="104"/>
  <c r="T91" i="104"/>
  <c r="X91" i="104" s="1"/>
  <c r="V88" i="104"/>
  <c r="N68" i="101"/>
  <c r="H80" i="76"/>
  <c r="L80" i="76" s="1"/>
  <c r="N77" i="76"/>
  <c r="J77" i="76"/>
  <c r="L98" i="33"/>
  <c r="F98" i="33"/>
  <c r="L114" i="75"/>
  <c r="N114" i="75" s="1"/>
  <c r="D117" i="75"/>
  <c r="F114" i="75"/>
  <c r="T126" i="85"/>
  <c r="Z123" i="85"/>
  <c r="V123" i="85"/>
  <c r="N312" i="3"/>
  <c r="H317" i="3"/>
  <c r="J312" i="3"/>
  <c r="N96" i="92"/>
  <c r="R273" i="12"/>
  <c r="Z36" i="83"/>
  <c r="V36" i="83"/>
  <c r="Z96" i="45"/>
  <c r="T99" i="45"/>
  <c r="V96" i="45"/>
  <c r="X86" i="73"/>
  <c r="R86" i="73"/>
  <c r="X36" i="22"/>
  <c r="X36" i="31"/>
  <c r="L126" i="42"/>
  <c r="F126" i="42"/>
  <c r="X76" i="110"/>
  <c r="R76" i="110"/>
  <c r="J126" i="85"/>
  <c r="L90" i="98"/>
  <c r="F90" i="98"/>
  <c r="X121" i="69"/>
  <c r="P124" i="69"/>
  <c r="R121" i="69"/>
  <c r="F99" i="45"/>
  <c r="X36" i="29"/>
  <c r="X36" i="50"/>
  <c r="D124" i="69"/>
  <c r="L121" i="69"/>
  <c r="N121" i="69" s="1"/>
  <c r="F121" i="69"/>
  <c r="L89" i="84"/>
  <c r="F89" i="84"/>
  <c r="Z74" i="80"/>
  <c r="T77" i="80"/>
  <c r="X77" i="80" s="1"/>
  <c r="V74" i="80"/>
  <c r="N126" i="36"/>
  <c r="H129" i="36"/>
  <c r="J126" i="36"/>
  <c r="X40" i="55"/>
  <c r="Z40" i="55" s="1"/>
  <c r="J140" i="24"/>
  <c r="L36" i="34"/>
  <c r="V124" i="71"/>
  <c r="X36" i="26"/>
  <c r="L82" i="93"/>
  <c r="F82" i="93"/>
  <c r="L105" i="51"/>
  <c r="X270" i="12"/>
  <c r="L36" i="50"/>
  <c r="X86" i="102"/>
  <c r="Z86" i="102" s="1"/>
  <c r="P89" i="102"/>
  <c r="R86" i="102"/>
  <c r="V76" i="48"/>
  <c r="Z80" i="56"/>
  <c r="L36" i="5"/>
  <c r="Z58" i="61"/>
  <c r="J273" i="12"/>
  <c r="J94" i="96"/>
  <c r="L91" i="108"/>
  <c r="N91" i="108" s="1"/>
  <c r="F91" i="108"/>
  <c r="N80" i="56"/>
  <c r="J91" i="104"/>
  <c r="H82" i="93"/>
  <c r="J79" i="93"/>
  <c r="Z31" i="87"/>
  <c r="R94" i="74"/>
  <c r="L36" i="29"/>
  <c r="L79" i="93"/>
  <c r="N79" i="93" s="1"/>
  <c r="L108" i="51"/>
  <c r="F108" i="51"/>
  <c r="T58" i="105"/>
  <c r="V55" i="105"/>
  <c r="X79" i="81"/>
  <c r="Z79" i="81" s="1"/>
  <c r="P82" i="81"/>
  <c r="R79" i="81"/>
  <c r="V108" i="77"/>
  <c r="L71" i="79"/>
  <c r="N71" i="79" s="1"/>
  <c r="F71" i="79"/>
  <c r="Z134" i="39"/>
  <c r="T137" i="39"/>
  <c r="V134" i="39"/>
  <c r="J125" i="27"/>
  <c r="X36" i="5"/>
  <c r="X76" i="48"/>
  <c r="Z76" i="48" s="1"/>
  <c r="R76" i="48"/>
  <c r="L50" i="99"/>
  <c r="F50" i="99"/>
  <c r="L91" i="96"/>
  <c r="N91" i="96" s="1"/>
  <c r="D94" i="96"/>
  <c r="F91" i="96"/>
  <c r="X76" i="70"/>
  <c r="Z76" i="70" s="1"/>
  <c r="R76" i="70"/>
  <c r="L36" i="43"/>
  <c r="N152" i="30"/>
  <c r="H155" i="30"/>
  <c r="J152" i="30"/>
  <c r="X94" i="96"/>
  <c r="Z94" i="96" s="1"/>
  <c r="R94" i="96"/>
  <c r="X36" i="112"/>
  <c r="H265" i="15"/>
  <c r="J262" i="15"/>
  <c r="L262" i="15"/>
  <c r="N262" i="15" s="1"/>
  <c r="D265" i="15"/>
  <c r="F262" i="15"/>
  <c r="L137" i="24"/>
  <c r="N137" i="24" s="1"/>
  <c r="D140" i="24"/>
  <c r="F137" i="24"/>
  <c r="L71" i="94"/>
  <c r="N71" i="94" s="1"/>
  <c r="D74" i="94"/>
  <c r="F71" i="94"/>
  <c r="H92" i="106"/>
  <c r="N89" i="106"/>
  <c r="J89" i="106"/>
  <c r="N292" i="18"/>
  <c r="J292" i="18"/>
  <c r="N98" i="33"/>
  <c r="J98" i="33"/>
  <c r="H110" i="21"/>
  <c r="N107" i="21"/>
  <c r="J107" i="21"/>
  <c r="H89" i="102"/>
  <c r="N86" i="102"/>
  <c r="J86" i="102"/>
  <c r="J86" i="73"/>
  <c r="L155" i="30"/>
  <c r="F155" i="30"/>
  <c r="Z56" i="60"/>
  <c r="X56" i="60"/>
  <c r="X36" i="47"/>
  <c r="J74" i="94"/>
  <c r="X36" i="35"/>
  <c r="L31" i="6"/>
  <c r="N31" i="6" s="1"/>
  <c r="X89" i="106"/>
  <c r="Z89" i="106" s="1"/>
  <c r="P92" i="106"/>
  <c r="R89" i="106"/>
  <c r="N78" i="58"/>
  <c r="J71" i="79"/>
  <c r="X58" i="61"/>
  <c r="X126" i="85"/>
  <c r="R126" i="85"/>
  <c r="X292" i="18"/>
  <c r="R292" i="18"/>
  <c r="J317" i="3" l="1"/>
  <c r="L140" i="24"/>
  <c r="N140" i="24" s="1"/>
  <c r="F140" i="24"/>
  <c r="X58" i="105"/>
  <c r="R58" i="105"/>
  <c r="Z99" i="45"/>
  <c r="V99" i="45"/>
  <c r="Z126" i="85"/>
  <c r="V126" i="85"/>
  <c r="V155" i="30"/>
  <c r="L124" i="71"/>
  <c r="N124" i="71" s="1"/>
  <c r="F124" i="71"/>
  <c r="N99" i="45"/>
  <c r="J99" i="45"/>
  <c r="V265" i="15"/>
  <c r="X90" i="98"/>
  <c r="R90" i="98"/>
  <c r="L265" i="15"/>
  <c r="N265" i="15" s="1"/>
  <c r="F265" i="15"/>
  <c r="Z58" i="105"/>
  <c r="V58" i="105"/>
  <c r="L92" i="106"/>
  <c r="F92" i="106"/>
  <c r="L317" i="3"/>
  <c r="N317" i="3" s="1"/>
  <c r="X89" i="84"/>
  <c r="Z89" i="84" s="1"/>
  <c r="R89" i="84"/>
  <c r="X50" i="99"/>
  <c r="R50" i="99"/>
  <c r="V89" i="84"/>
  <c r="X129" i="36"/>
  <c r="Z129" i="36" s="1"/>
  <c r="R129" i="36"/>
  <c r="V94" i="74"/>
  <c r="L117" i="75"/>
  <c r="N117" i="75" s="1"/>
  <c r="F117" i="75"/>
  <c r="Z74" i="94"/>
  <c r="V74" i="94"/>
  <c r="X82" i="93"/>
  <c r="Z82" i="93" s="1"/>
  <c r="R82" i="93"/>
  <c r="V137" i="39"/>
  <c r="X89" i="102"/>
  <c r="Z89" i="102" s="1"/>
  <c r="R89" i="102"/>
  <c r="L124" i="69"/>
  <c r="N124" i="69" s="1"/>
  <c r="F124" i="69"/>
  <c r="Z140" i="24"/>
  <c r="V140" i="24"/>
  <c r="N92" i="106"/>
  <c r="J92" i="106"/>
  <c r="X265" i="15"/>
  <c r="Z265" i="15" s="1"/>
  <c r="R265" i="15"/>
  <c r="V89" i="102"/>
  <c r="X71" i="79"/>
  <c r="Z71" i="79" s="1"/>
  <c r="R71" i="79"/>
  <c r="L37" i="86"/>
  <c r="N37" i="86" s="1"/>
  <c r="F37" i="86"/>
  <c r="X108" i="51"/>
  <c r="Z108" i="51" s="1"/>
  <c r="R108" i="51"/>
  <c r="Z76" i="110"/>
  <c r="V76" i="110"/>
  <c r="Z86" i="73"/>
  <c r="V86" i="73"/>
  <c r="X155" i="30"/>
  <c r="Z155" i="30" s="1"/>
  <c r="Z90" i="98"/>
  <c r="V90" i="98"/>
  <c r="N129" i="36"/>
  <c r="J129" i="36"/>
  <c r="N76" i="48"/>
  <c r="J76" i="48"/>
  <c r="Z117" i="75"/>
  <c r="V117" i="75"/>
  <c r="X317" i="3"/>
  <c r="Z317" i="3" s="1"/>
  <c r="R317" i="3"/>
  <c r="X80" i="76"/>
  <c r="R80" i="76"/>
  <c r="L126" i="85"/>
  <c r="N126" i="85" s="1"/>
  <c r="F126" i="85"/>
  <c r="Z273" i="12"/>
  <c r="V273" i="12"/>
  <c r="X92" i="106"/>
  <c r="Z92" i="106" s="1"/>
  <c r="R92" i="106"/>
  <c r="L94" i="96"/>
  <c r="N94" i="96" s="1"/>
  <c r="F94" i="96"/>
  <c r="L108" i="77"/>
  <c r="F108" i="77"/>
  <c r="J265" i="15"/>
  <c r="N89" i="102"/>
  <c r="J89" i="102"/>
  <c r="L74" i="94"/>
  <c r="N74" i="94" s="1"/>
  <c r="F74" i="94"/>
  <c r="X94" i="74"/>
  <c r="Z94" i="74" s="1"/>
  <c r="L99" i="45"/>
  <c r="N89" i="84"/>
  <c r="J89" i="84"/>
  <c r="N80" i="76"/>
  <c r="J80" i="76"/>
  <c r="V124" i="69"/>
  <c r="X74" i="94"/>
  <c r="L86" i="73"/>
  <c r="N86" i="73" s="1"/>
  <c r="F86" i="73"/>
  <c r="X84" i="95"/>
  <c r="Z84" i="95" s="1"/>
  <c r="R84" i="95"/>
  <c r="X82" i="81"/>
  <c r="Z82" i="81" s="1"/>
  <c r="R82" i="81"/>
  <c r="Z77" i="80"/>
  <c r="V77" i="80"/>
  <c r="N108" i="51"/>
  <c r="J108" i="51"/>
  <c r="X124" i="71"/>
  <c r="Z124" i="71" s="1"/>
  <c r="R124" i="71"/>
  <c r="Z292" i="18"/>
  <c r="V292" i="18"/>
  <c r="X124" i="69"/>
  <c r="Z124" i="69" s="1"/>
  <c r="R124" i="69"/>
  <c r="N110" i="21"/>
  <c r="J110" i="21"/>
  <c r="N155" i="30"/>
  <c r="J155" i="30"/>
  <c r="N82" i="93"/>
  <c r="J82" i="93"/>
  <c r="L273" i="12"/>
  <c r="N273" i="12" s="1"/>
  <c r="F273" i="12"/>
  <c r="L125" i="27"/>
  <c r="N125" i="27" s="1"/>
  <c r="F125" i="27"/>
  <c r="L94" i="74"/>
  <c r="N94" i="74" s="1"/>
  <c r="F94" i="74"/>
  <c r="V80" i="89"/>
  <c r="X80" i="89"/>
  <c r="Z80" i="89" s="1"/>
  <c r="Z91" i="104"/>
  <c r="V91" i="104"/>
  <c r="Z80" i="76"/>
  <c r="V80" i="76"/>
  <c r="X137" i="39"/>
  <c r="Z137" i="39" s="1"/>
  <c r="Z126" i="42"/>
  <c r="V126" i="42"/>
  <c r="L89" i="88"/>
  <c r="N89" i="88" s="1"/>
  <c r="F89" i="88"/>
  <c r="X108" i="77"/>
  <c r="Z108" i="77" s="1"/>
  <c r="R108" i="77"/>
  <c r="N84" i="95"/>
  <c r="J84" i="95"/>
  <c r="N108" i="77"/>
  <c r="J108" i="77"/>
</calcChain>
</file>

<file path=xl/sharedStrings.xml><?xml version="1.0" encoding="utf-8"?>
<sst xmlns="http://schemas.openxmlformats.org/spreadsheetml/2006/main" count="3000" uniqueCount="314">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</sst>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167" fontId="2" fillId="0" borderId="0" xfId="3" applyNumberFormat="1" applyFont="1" applyFill="1" applyBorder="1"/>
    <xf numFmtId="168" fontId="2" fillId="2" borderId="3" xfId="2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167" fontId="0" fillId="0" borderId="0" xfId="3" applyNumberFormat="1" applyFont="1"/>
    <xf numFmtId="164" fontId="2" fillId="0" borderId="0" xfId="1" applyNumberFormat="1" applyFont="1" applyAlignment="1">
      <alignment horizontal="left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3" applyNumberFormat="1" applyFont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167" fontId="0" fillId="0" borderId="0" xfId="0" applyNumberFormat="1" applyFill="1"/>
    <xf numFmtId="49" fontId="2" fillId="0" borderId="0" xfId="0" applyNumberFormat="1" applyFont="1" applyFill="1"/>
    <xf numFmtId="0" fontId="2" fillId="0" borderId="0" xfId="0" applyFont="1" applyFill="1" applyBorder="1"/>
    <xf numFmtId="0" fontId="0" fillId="0" borderId="0" xfId="0" applyBorder="1"/>
    <xf numFmtId="165" fontId="0" fillId="0" borderId="0" xfId="0" applyNumberFormat="1"/>
    <xf numFmtId="49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Fill="1" applyAlignment="1">
      <alignment horizontal="centerContinuous"/>
    </xf>
    <xf numFmtId="0" fontId="2" fillId="0" borderId="0" xfId="0" applyFont="1" applyAlignment="1">
      <alignment horizontal="left"/>
    </xf>
    <xf numFmtId="0" fontId="0" fillId="0" borderId="0" xfId="0" applyFill="1" applyAlignment="1">
      <alignment horizontal="centerContinuous"/>
    </xf>
    <xf numFmtId="166" fontId="3" fillId="0" borderId="0" xfId="0" applyNumberFormat="1" applyFont="1" applyAlignment="1">
      <alignment horizontal="left"/>
    </xf>
    <xf numFmtId="0" fontId="4" fillId="0" borderId="0" xfId="0" applyFont="1" applyFill="1"/>
    <xf numFmtId="0" fontId="5" fillId="0" borderId="0" xfId="0" applyFont="1"/>
    <xf numFmtId="0" fontId="3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307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","501", " - ", "ID Card Services")</f>
        <v>Department 501 - ID Card Services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22315</v>
      </c>
      <c r="E12" s="4"/>
      <c r="F12" s="12"/>
      <c r="G12" s="4"/>
      <c r="H12" s="4">
        <f>SUM(OSRRefH13x_0)</f>
        <v>38574</v>
      </c>
      <c r="I12" s="4"/>
      <c r="J12" s="12"/>
      <c r="K12" s="4"/>
      <c r="L12" s="4">
        <f t="shared" ref="L12:L13" si="0">+D12-H12</f>
        <v>-16259</v>
      </c>
      <c r="M12" s="4"/>
      <c r="N12" s="12">
        <f t="shared" ref="N12:N13" si="1">IF(H12=0,0,L12/H12)</f>
        <v>-0.42150152952766112</v>
      </c>
      <c r="O12" s="10"/>
      <c r="P12" s="4">
        <f>SUM(OSRRefP13x_0)</f>
        <v>145451</v>
      </c>
      <c r="Q12" s="4"/>
      <c r="R12" s="12"/>
      <c r="S12" s="4"/>
      <c r="T12" s="4">
        <f>SUM(OSRRefT13x_0)</f>
        <v>160810</v>
      </c>
      <c r="U12" s="4"/>
      <c r="V12" s="12"/>
      <c r="W12" s="4"/>
      <c r="X12" s="4">
        <f t="shared" ref="X12:X13" si="2">+P12-T12</f>
        <v>-15359</v>
      </c>
      <c r="Y12" s="4"/>
      <c r="Z12" s="12">
        <f t="shared" ref="Z12:Z13" si="3">IF(T12=0,0,X12/T12)</f>
        <v>-9.5510229463341825E-2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--22315</f>
        <v>22315</v>
      </c>
      <c r="E13" s="2"/>
      <c r="F13" s="19"/>
      <c r="G13" s="2"/>
      <c r="H13" s="2">
        <f>--38574</f>
        <v>38574</v>
      </c>
      <c r="I13" s="2"/>
      <c r="J13" s="19"/>
      <c r="K13" s="2"/>
      <c r="L13" s="2">
        <f t="shared" si="0"/>
        <v>-16259</v>
      </c>
      <c r="M13" s="2"/>
      <c r="N13" s="19">
        <f t="shared" si="1"/>
        <v>-0.42150152952766112</v>
      </c>
      <c r="O13" s="11"/>
      <c r="P13" s="2">
        <f>--145451</f>
        <v>145451</v>
      </c>
      <c r="Q13" s="2"/>
      <c r="R13" s="19"/>
      <c r="S13" s="2"/>
      <c r="T13" s="2">
        <f>--160810</f>
        <v>160810</v>
      </c>
      <c r="U13" s="2"/>
      <c r="V13" s="19"/>
      <c r="W13" s="2"/>
      <c r="X13" s="2">
        <f t="shared" si="2"/>
        <v>-15359</v>
      </c>
      <c r="Y13" s="2"/>
      <c r="Z13" s="19">
        <f t="shared" si="3"/>
        <v>-9.5510229463341825E-2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1">
        <f>D12-D15</f>
        <v>22315</v>
      </c>
      <c r="E17" s="14"/>
      <c r="F17" s="20">
        <f>IF(D$12=0,0,D17/D$12)</f>
        <v>1</v>
      </c>
      <c r="G17" s="14"/>
      <c r="H17" s="21">
        <f>H12-H15</f>
        <v>38574</v>
      </c>
      <c r="I17" s="14"/>
      <c r="J17" s="20">
        <f>IF(H$12=0,0,H17/H$12)</f>
        <v>1</v>
      </c>
      <c r="K17" s="15"/>
      <c r="L17" s="21">
        <f>+D17-H17</f>
        <v>-16259</v>
      </c>
      <c r="M17" s="15"/>
      <c r="N17" s="20">
        <f>IF(H17=0,0,L17/H17)</f>
        <v>-0.42150152952766112</v>
      </c>
      <c r="O17" s="28"/>
      <c r="P17" s="21">
        <f>P12-P15</f>
        <v>145451</v>
      </c>
      <c r="Q17" s="14"/>
      <c r="R17" s="20">
        <f>IF(P$12=0,0,P17/P$12)</f>
        <v>1</v>
      </c>
      <c r="S17" s="14"/>
      <c r="T17" s="21">
        <f>T12-T15</f>
        <v>160810</v>
      </c>
      <c r="U17" s="14"/>
      <c r="V17" s="20">
        <f>IF(T$12=0,0,T17/T$12)</f>
        <v>1</v>
      </c>
      <c r="W17" s="15"/>
      <c r="X17" s="21">
        <f>+P17-T17</f>
        <v>-15359</v>
      </c>
      <c r="Y17" s="15"/>
      <c r="Z17" s="20">
        <f>IF(T17=0,0,X17/T17)</f>
        <v>-9.5510229463341825E-2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22180.92</v>
      </c>
      <c r="E19" s="22"/>
      <c r="F19" s="33">
        <f t="shared" ref="F19:F28" si="4">IF(D$12=0,0,D19/D$12)</f>
        <v>0.99399148554783767</v>
      </c>
      <c r="G19" s="22"/>
      <c r="H19" s="22">
        <f>SUM(OSRRefH22x_0)</f>
        <v>40341.759999999995</v>
      </c>
      <c r="I19" s="22"/>
      <c r="J19" s="33">
        <f t="shared" ref="J19:J28" si="5">IF(H$12=0,0,H19/H$12)</f>
        <v>1.0458277596308392</v>
      </c>
      <c r="K19" s="4"/>
      <c r="L19" s="22">
        <f t="shared" ref="L19:L28" si="6">+D19-H19</f>
        <v>-18160.839999999997</v>
      </c>
      <c r="M19" s="4"/>
      <c r="N19" s="33">
        <f t="shared" ref="N19:N28" si="7">IF(H19=0,0,L19/H19)</f>
        <v>-0.45017470730082176</v>
      </c>
      <c r="O19" s="10"/>
      <c r="P19" s="22">
        <f>SUM(OSRRefP22x_0)</f>
        <v>145240.64000000001</v>
      </c>
      <c r="Q19" s="22"/>
      <c r="R19" s="33">
        <f t="shared" ref="R19:R28" si="8">IF(P$12=0,0,P19/P$12)</f>
        <v>0.99855373974740647</v>
      </c>
      <c r="S19" s="22"/>
      <c r="T19" s="22">
        <f>SUM(OSRRefT22x_0)</f>
        <v>163012.08000000002</v>
      </c>
      <c r="U19" s="22"/>
      <c r="V19" s="33">
        <f t="shared" ref="V19:V28" si="9">IF(T$12=0,0,T19/T$12)</f>
        <v>1.0136936757664325</v>
      </c>
      <c r="W19" s="4"/>
      <c r="X19" s="22">
        <f t="shared" ref="X19:X28" si="10">+P19-T19</f>
        <v>-17771.440000000002</v>
      </c>
      <c r="Y19" s="4"/>
      <c r="Z19" s="33">
        <f t="shared" ref="Z19:Z28" si="11">IF(T19=0,0,X19/T19)</f>
        <v>-0.10901915980705235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3933.82</v>
      </c>
      <c r="E20" s="1"/>
      <c r="F20" s="5">
        <f t="shared" si="4"/>
        <v>0.17628590634102623</v>
      </c>
      <c r="G20" s="1"/>
      <c r="H20" s="1">
        <f>SUM(OSRRefH22_0x_0)</f>
        <v>3640.79</v>
      </c>
      <c r="I20" s="1"/>
      <c r="J20" s="5">
        <f t="shared" si="5"/>
        <v>9.4384559547881997E-2</v>
      </c>
      <c r="K20" s="1"/>
      <c r="L20" s="1">
        <f t="shared" si="6"/>
        <v>293.0300000000002</v>
      </c>
      <c r="M20" s="1"/>
      <c r="N20" s="5">
        <f t="shared" si="7"/>
        <v>8.0485279293779702E-2</v>
      </c>
      <c r="O20" s="13"/>
      <c r="P20" s="1">
        <f>SUM(OSRRefP22_0x_0)</f>
        <v>23183.78</v>
      </c>
      <c r="Q20" s="1"/>
      <c r="R20" s="5">
        <f t="shared" si="8"/>
        <v>0.15939237268908429</v>
      </c>
      <c r="S20" s="1"/>
      <c r="T20" s="1">
        <f>SUM(OSRRefT22_0x_0)</f>
        <v>22369.06</v>
      </c>
      <c r="U20" s="1"/>
      <c r="V20" s="5">
        <f t="shared" si="9"/>
        <v>0.1391024190037933</v>
      </c>
      <c r="W20" s="1"/>
      <c r="X20" s="1">
        <f t="shared" si="10"/>
        <v>814.71999999999753</v>
      </c>
      <c r="Y20" s="1"/>
      <c r="Z20" s="5">
        <f t="shared" si="11"/>
        <v>3.6421736094408859E-2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933.75</v>
      </c>
      <c r="E21" s="2"/>
      <c r="F21" s="7">
        <f t="shared" si="4"/>
        <v>4.184405108671297E-2</v>
      </c>
      <c r="G21" s="2"/>
      <c r="H21" s="6">
        <v>734.6</v>
      </c>
      <c r="I21" s="2"/>
      <c r="J21" s="7">
        <f t="shared" si="5"/>
        <v>1.9043915590812466E-2</v>
      </c>
      <c r="K21" s="2"/>
      <c r="L21" s="6">
        <f t="shared" si="6"/>
        <v>199.14999999999998</v>
      </c>
      <c r="M21" s="2"/>
      <c r="N21" s="7">
        <f t="shared" si="7"/>
        <v>0.27109991832289676</v>
      </c>
      <c r="O21" s="11"/>
      <c r="P21" s="6">
        <v>5889.58</v>
      </c>
      <c r="Q21" s="2"/>
      <c r="R21" s="7">
        <f t="shared" si="8"/>
        <v>4.0491849488831291E-2</v>
      </c>
      <c r="S21" s="2"/>
      <c r="T21" s="6">
        <v>5326.91</v>
      </c>
      <c r="U21" s="2"/>
      <c r="V21" s="7">
        <f t="shared" si="9"/>
        <v>3.3125489708351469E-2</v>
      </c>
      <c r="W21" s="2"/>
      <c r="X21" s="6">
        <f t="shared" si="10"/>
        <v>562.67000000000007</v>
      </c>
      <c r="Y21" s="2"/>
      <c r="Z21" s="7">
        <f t="shared" si="11"/>
        <v>0.10562784053043886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53.23</v>
      </c>
      <c r="E22" s="2"/>
      <c r="F22" s="7">
        <f t="shared" si="4"/>
        <v>2.3853909926058701E-3</v>
      </c>
      <c r="G22" s="2"/>
      <c r="H22" s="6">
        <v>44.75</v>
      </c>
      <c r="I22" s="2"/>
      <c r="J22" s="7">
        <f t="shared" si="5"/>
        <v>1.1601078446622076E-3</v>
      </c>
      <c r="K22" s="2"/>
      <c r="L22" s="6">
        <f t="shared" si="6"/>
        <v>8.4799999999999969</v>
      </c>
      <c r="M22" s="2"/>
      <c r="N22" s="7">
        <f t="shared" si="7"/>
        <v>0.18949720670391054</v>
      </c>
      <c r="O22" s="11"/>
      <c r="P22" s="6">
        <v>216.64</v>
      </c>
      <c r="Q22" s="2"/>
      <c r="R22" s="7">
        <f t="shared" si="8"/>
        <v>1.4894363050099344E-3</v>
      </c>
      <c r="S22" s="2"/>
      <c r="T22" s="6">
        <v>297.76</v>
      </c>
      <c r="U22" s="2"/>
      <c r="V22" s="7">
        <f t="shared" si="9"/>
        <v>1.85162614265282E-3</v>
      </c>
      <c r="W22" s="2"/>
      <c r="X22" s="6">
        <f t="shared" si="10"/>
        <v>-81.12</v>
      </c>
      <c r="Y22" s="2"/>
      <c r="Z22" s="7">
        <f t="shared" si="11"/>
        <v>-0.27243417517463731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1243.31</v>
      </c>
      <c r="E23" s="2"/>
      <c r="F23" s="7">
        <f t="shared" si="4"/>
        <v>5.5716334304279629E-2</v>
      </c>
      <c r="G23" s="2"/>
      <c r="H23" s="6">
        <v>1243.31</v>
      </c>
      <c r="I23" s="2"/>
      <c r="J23" s="7">
        <f t="shared" si="5"/>
        <v>3.2231814175351273E-2</v>
      </c>
      <c r="K23" s="2"/>
      <c r="L23" s="6">
        <f t="shared" si="6"/>
        <v>0</v>
      </c>
      <c r="M23" s="2"/>
      <c r="N23" s="7">
        <f t="shared" si="7"/>
        <v>0</v>
      </c>
      <c r="O23" s="11"/>
      <c r="P23" s="6">
        <v>6216.55</v>
      </c>
      <c r="Q23" s="2"/>
      <c r="R23" s="7">
        <f t="shared" si="8"/>
        <v>4.2739823033186436E-2</v>
      </c>
      <c r="S23" s="2"/>
      <c r="T23" s="6">
        <v>6082.67</v>
      </c>
      <c r="U23" s="2"/>
      <c r="V23" s="7">
        <f t="shared" si="9"/>
        <v>3.7825197437970276E-2</v>
      </c>
      <c r="W23" s="2"/>
      <c r="X23" s="6">
        <f t="shared" si="10"/>
        <v>133.88000000000011</v>
      </c>
      <c r="Y23" s="2"/>
      <c r="Z23" s="7">
        <f t="shared" si="11"/>
        <v>2.2010071235164838E-2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40.71</v>
      </c>
      <c r="E24" s="2"/>
      <c r="F24" s="7">
        <f t="shared" si="4"/>
        <v>1.8243334080215103E-3</v>
      </c>
      <c r="G24" s="2"/>
      <c r="H24" s="6">
        <v>37.49</v>
      </c>
      <c r="I24" s="2"/>
      <c r="J24" s="7">
        <f t="shared" si="5"/>
        <v>9.7189816975164624E-4</v>
      </c>
      <c r="K24" s="2"/>
      <c r="L24" s="6">
        <f t="shared" si="6"/>
        <v>3.2199999999999989</v>
      </c>
      <c r="M24" s="2"/>
      <c r="N24" s="7">
        <f t="shared" si="7"/>
        <v>8.5889570552147201E-2</v>
      </c>
      <c r="O24" s="11"/>
      <c r="P24" s="6">
        <v>234.92</v>
      </c>
      <c r="Q24" s="2"/>
      <c r="R24" s="7">
        <f t="shared" si="8"/>
        <v>1.61511436841273E-3</v>
      </c>
      <c r="S24" s="2"/>
      <c r="T24" s="6">
        <v>249.75</v>
      </c>
      <c r="U24" s="2"/>
      <c r="V24" s="7">
        <f t="shared" si="9"/>
        <v>1.5530750575212984E-3</v>
      </c>
      <c r="W24" s="2"/>
      <c r="X24" s="6">
        <f t="shared" si="10"/>
        <v>-14.830000000000013</v>
      </c>
      <c r="Y24" s="2"/>
      <c r="Z24" s="7">
        <f t="shared" si="11"/>
        <v>-5.9379379379379427E-2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639.47</v>
      </c>
      <c r="E25" s="2"/>
      <c r="F25" s="7">
        <f t="shared" si="4"/>
        <v>2.8656509074613489E-2</v>
      </c>
      <c r="G25" s="2"/>
      <c r="H25" s="6">
        <v>544.30999999999995</v>
      </c>
      <c r="I25" s="2"/>
      <c r="J25" s="7">
        <f t="shared" si="5"/>
        <v>1.4110800020739356E-2</v>
      </c>
      <c r="K25" s="2"/>
      <c r="L25" s="6">
        <f t="shared" si="6"/>
        <v>95.160000000000082</v>
      </c>
      <c r="M25" s="2"/>
      <c r="N25" s="7">
        <f t="shared" si="7"/>
        <v>0.17482684499641765</v>
      </c>
      <c r="O25" s="11"/>
      <c r="P25" s="6">
        <v>3967.77</v>
      </c>
      <c r="Q25" s="2"/>
      <c r="R25" s="7">
        <f t="shared" si="8"/>
        <v>2.7279083677664642E-2</v>
      </c>
      <c r="S25" s="2"/>
      <c r="T25" s="6">
        <v>3587.22</v>
      </c>
      <c r="U25" s="2"/>
      <c r="V25" s="7">
        <f t="shared" si="9"/>
        <v>2.2307194826192398E-2</v>
      </c>
      <c r="W25" s="2"/>
      <c r="X25" s="6">
        <f t="shared" si="10"/>
        <v>380.55000000000018</v>
      </c>
      <c r="Y25" s="2"/>
      <c r="Z25" s="7">
        <f t="shared" si="11"/>
        <v>0.10608493485205819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577.95000000000005</v>
      </c>
      <c r="E26" s="2"/>
      <c r="F26" s="7">
        <f t="shared" si="4"/>
        <v>2.5899619090298007E-2</v>
      </c>
      <c r="G26" s="2"/>
      <c r="H26" s="6">
        <v>534.38</v>
      </c>
      <c r="I26" s="2"/>
      <c r="J26" s="7">
        <f t="shared" si="5"/>
        <v>1.3853372738113755E-2</v>
      </c>
      <c r="K26" s="2"/>
      <c r="L26" s="6">
        <f t="shared" si="6"/>
        <v>43.57000000000005</v>
      </c>
      <c r="M26" s="2"/>
      <c r="N26" s="7">
        <f t="shared" si="7"/>
        <v>8.1533740035181046E-2</v>
      </c>
      <c r="O26" s="11"/>
      <c r="P26" s="6">
        <v>3914.94</v>
      </c>
      <c r="Q26" s="2"/>
      <c r="R26" s="7">
        <f t="shared" si="8"/>
        <v>2.6915868574296498E-2</v>
      </c>
      <c r="S26" s="2"/>
      <c r="T26" s="6">
        <v>3535.89</v>
      </c>
      <c r="U26" s="2"/>
      <c r="V26" s="7">
        <f t="shared" si="9"/>
        <v>2.1987998258814749E-2</v>
      </c>
      <c r="W26" s="2"/>
      <c r="X26" s="6">
        <f t="shared" si="10"/>
        <v>379.05000000000018</v>
      </c>
      <c r="Y26" s="2"/>
      <c r="Z26" s="7">
        <f t="shared" si="11"/>
        <v>0.10720073305447857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288.57</v>
      </c>
      <c r="E27" s="2"/>
      <c r="F27" s="7">
        <f t="shared" si="4"/>
        <v>1.2931660318171632E-2</v>
      </c>
      <c r="G27" s="2"/>
      <c r="H27" s="6">
        <v>353.46</v>
      </c>
      <c r="I27" s="2"/>
      <c r="J27" s="7">
        <f t="shared" si="5"/>
        <v>9.163166899984445E-3</v>
      </c>
      <c r="K27" s="2"/>
      <c r="L27" s="6">
        <f t="shared" si="6"/>
        <v>-64.889999999999986</v>
      </c>
      <c r="M27" s="2"/>
      <c r="N27" s="7">
        <f t="shared" si="7"/>
        <v>-0.18358512985910708</v>
      </c>
      <c r="O27" s="11"/>
      <c r="P27" s="6">
        <v>1977.13</v>
      </c>
      <c r="Q27" s="2"/>
      <c r="R27" s="7">
        <f t="shared" si="8"/>
        <v>1.3593100081814495E-2</v>
      </c>
      <c r="S27" s="2"/>
      <c r="T27" s="6">
        <v>1988.89</v>
      </c>
      <c r="U27" s="2"/>
      <c r="V27" s="7">
        <f t="shared" si="9"/>
        <v>1.236794975436851E-2</v>
      </c>
      <c r="W27" s="2"/>
      <c r="X27" s="6">
        <f t="shared" si="10"/>
        <v>-11.759999999999991</v>
      </c>
      <c r="Y27" s="2"/>
      <c r="Z27" s="7">
        <f t="shared" si="11"/>
        <v>-5.9128458587453256E-3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156.83000000000001</v>
      </c>
      <c r="E28" s="2"/>
      <c r="F28" s="7">
        <f t="shared" si="4"/>
        <v>7.028008066323102E-3</v>
      </c>
      <c r="G28" s="2"/>
      <c r="H28" s="6">
        <v>148.49</v>
      </c>
      <c r="I28" s="2"/>
      <c r="J28" s="7">
        <f t="shared" si="5"/>
        <v>3.8494841084668434E-3</v>
      </c>
      <c r="K28" s="2"/>
      <c r="L28" s="6">
        <f t="shared" si="6"/>
        <v>8.3400000000000034</v>
      </c>
      <c r="M28" s="2"/>
      <c r="N28" s="7">
        <f t="shared" si="7"/>
        <v>5.6165398343322799E-2</v>
      </c>
      <c r="O28" s="11"/>
      <c r="P28" s="6">
        <v>766.25</v>
      </c>
      <c r="Q28" s="2"/>
      <c r="R28" s="7">
        <f t="shared" si="8"/>
        <v>5.2680971598682716E-3</v>
      </c>
      <c r="S28" s="2"/>
      <c r="T28" s="6">
        <v>1299.97</v>
      </c>
      <c r="U28" s="2"/>
      <c r="V28" s="7">
        <f t="shared" si="9"/>
        <v>8.0838878179217716E-3</v>
      </c>
      <c r="W28" s="2"/>
      <c r="X28" s="6">
        <f t="shared" si="10"/>
        <v>-533.72</v>
      </c>
      <c r="Y28" s="2"/>
      <c r="Z28" s="7">
        <f t="shared" si="11"/>
        <v>-0.41056332069201601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14847.91</v>
      </c>
      <c r="E29" s="1"/>
      <c r="F29" s="5">
        <f t="shared" ref="F29:F35" si="12">IF(D$12=0,0,D29/D$12)</f>
        <v>0.66537799686309651</v>
      </c>
      <c r="G29" s="1"/>
      <c r="H29" s="1">
        <f>SUM(OSRRefH22_1x_0)</f>
        <v>14271.539999999997</v>
      </c>
      <c r="I29" s="1"/>
      <c r="J29" s="5">
        <f t="shared" ref="J29:J35" si="13">IF(H$12=0,0,H29/H$12)</f>
        <v>0.3699782236739772</v>
      </c>
      <c r="K29" s="1"/>
      <c r="L29" s="1">
        <f t="shared" ref="L29:L35" si="14">+D29-H29</f>
        <v>576.37000000000262</v>
      </c>
      <c r="M29" s="1"/>
      <c r="N29" s="5">
        <f t="shared" ref="N29:N35" si="15">IF(H29=0,0,L29/H29)</f>
        <v>4.038597096038709E-2</v>
      </c>
      <c r="O29" s="13"/>
      <c r="P29" s="1">
        <f>SUM(OSRRefP22_1x_0)</f>
        <v>87099.37000000001</v>
      </c>
      <c r="Q29" s="1"/>
      <c r="R29" s="5">
        <f t="shared" ref="R29:R35" si="16">IF(P$12=0,0,P29/P$12)</f>
        <v>0.59882276505489829</v>
      </c>
      <c r="S29" s="1"/>
      <c r="T29" s="1">
        <f>SUM(OSRRefT22_1x_0)</f>
        <v>84379.18</v>
      </c>
      <c r="U29" s="1"/>
      <c r="V29" s="5">
        <f t="shared" ref="V29:V35" si="17">IF(T$12=0,0,T29/T$12)</f>
        <v>0.52471351284124113</v>
      </c>
      <c r="W29" s="1"/>
      <c r="X29" s="1">
        <f t="shared" ref="X29:X35" si="18">+P29-T29</f>
        <v>2720.1900000000169</v>
      </c>
      <c r="Y29" s="1"/>
      <c r="Z29" s="5">
        <f t="shared" ref="Z29:Z35" si="19">IF(T29=0,0,X29/T29)</f>
        <v>3.2237691809757066E-2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5943.64</v>
      </c>
      <c r="E30" s="2"/>
      <c r="F30" s="7">
        <f t="shared" si="12"/>
        <v>0.26635178131301818</v>
      </c>
      <c r="G30" s="2"/>
      <c r="H30" s="6">
        <v>5784.94</v>
      </c>
      <c r="I30" s="2"/>
      <c r="J30" s="7">
        <f t="shared" si="13"/>
        <v>0.14996992793073052</v>
      </c>
      <c r="K30" s="2"/>
      <c r="L30" s="6">
        <f t="shared" si="14"/>
        <v>158.70000000000073</v>
      </c>
      <c r="M30" s="2"/>
      <c r="N30" s="7">
        <f t="shared" si="15"/>
        <v>2.7433300950398923E-2</v>
      </c>
      <c r="O30" s="11"/>
      <c r="P30" s="6">
        <v>29181.88</v>
      </c>
      <c r="Q30" s="2"/>
      <c r="R30" s="7">
        <f t="shared" si="16"/>
        <v>0.200630315363937</v>
      </c>
      <c r="S30" s="2"/>
      <c r="T30" s="6">
        <v>29792.43</v>
      </c>
      <c r="U30" s="2"/>
      <c r="V30" s="7">
        <f t="shared" si="17"/>
        <v>0.18526478452832534</v>
      </c>
      <c r="W30" s="2"/>
      <c r="X30" s="6">
        <f t="shared" si="18"/>
        <v>-610.54999999999927</v>
      </c>
      <c r="Y30" s="2"/>
      <c r="Z30" s="7">
        <f t="shared" si="19"/>
        <v>-2.0493460922791435E-2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12"/>
        <v>0</v>
      </c>
      <c r="G31" s="2"/>
      <c r="H31" s="6"/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11061</v>
      </c>
      <c r="U31" s="2"/>
      <c r="V31" s="7">
        <f t="shared" si="17"/>
        <v>6.8783035880853174E-2</v>
      </c>
      <c r="W31" s="2"/>
      <c r="X31" s="6">
        <f t="shared" si="18"/>
        <v>-11061</v>
      </c>
      <c r="Y31" s="2"/>
      <c r="Z31" s="7">
        <f t="shared" si="19"/>
        <v>-1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6">
        <v>6413.45</v>
      </c>
      <c r="E32" s="2"/>
      <c r="F32" s="7">
        <f t="shared" si="12"/>
        <v>0.28740533273582791</v>
      </c>
      <c r="G32" s="2"/>
      <c r="H32" s="6">
        <v>3858.6</v>
      </c>
      <c r="I32" s="2"/>
      <c r="J32" s="7">
        <f t="shared" si="13"/>
        <v>0.1000311090371753</v>
      </c>
      <c r="K32" s="2"/>
      <c r="L32" s="6">
        <f t="shared" si="14"/>
        <v>2554.85</v>
      </c>
      <c r="M32" s="2"/>
      <c r="N32" s="7">
        <f t="shared" si="15"/>
        <v>0.6621183849064427</v>
      </c>
      <c r="O32" s="11"/>
      <c r="P32" s="6">
        <v>39096.04</v>
      </c>
      <c r="Q32" s="2"/>
      <c r="R32" s="7">
        <f t="shared" si="16"/>
        <v>0.26879182680077829</v>
      </c>
      <c r="S32" s="2"/>
      <c r="T32" s="6">
        <v>15827.68</v>
      </c>
      <c r="U32" s="2"/>
      <c r="V32" s="7">
        <f t="shared" si="17"/>
        <v>9.842472483054536E-2</v>
      </c>
      <c r="W32" s="2"/>
      <c r="X32" s="6">
        <f t="shared" si="18"/>
        <v>23268.36</v>
      </c>
      <c r="Y32" s="2"/>
      <c r="Z32" s="7">
        <f t="shared" si="19"/>
        <v>1.4701055366294997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12"/>
        <v>0</v>
      </c>
      <c r="G33" s="2"/>
      <c r="H33" s="6">
        <v>264.38</v>
      </c>
      <c r="I33" s="2"/>
      <c r="J33" s="7">
        <f t="shared" si="13"/>
        <v>6.8538393736713851E-3</v>
      </c>
      <c r="K33" s="2"/>
      <c r="L33" s="6">
        <f t="shared" si="14"/>
        <v>-264.38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4838.08</v>
      </c>
      <c r="U33" s="2"/>
      <c r="V33" s="7">
        <f t="shared" si="17"/>
        <v>3.0085691188358934E-2</v>
      </c>
      <c r="W33" s="2"/>
      <c r="X33" s="6">
        <f t="shared" si="18"/>
        <v>-4838.08</v>
      </c>
      <c r="Y33" s="2"/>
      <c r="Z33" s="7">
        <f t="shared" si="19"/>
        <v>-1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>
        <v>1780</v>
      </c>
      <c r="E34" s="2"/>
      <c r="F34" s="7">
        <f t="shared" si="12"/>
        <v>7.9766972888191803E-2</v>
      </c>
      <c r="G34" s="2"/>
      <c r="H34" s="6">
        <v>4193.12</v>
      </c>
      <c r="I34" s="2"/>
      <c r="J34" s="7">
        <f t="shared" si="13"/>
        <v>0.10870327163374294</v>
      </c>
      <c r="K34" s="2"/>
      <c r="L34" s="6">
        <f t="shared" si="14"/>
        <v>-2413.12</v>
      </c>
      <c r="M34" s="2"/>
      <c r="N34" s="7">
        <f t="shared" si="15"/>
        <v>-0.57549509672988131</v>
      </c>
      <c r="O34" s="11"/>
      <c r="P34" s="6">
        <v>15047.430000000002</v>
      </c>
      <c r="Q34" s="2"/>
      <c r="R34" s="7">
        <f t="shared" si="16"/>
        <v>0.10345360293157148</v>
      </c>
      <c r="S34" s="2"/>
      <c r="T34" s="6">
        <v>22689.489999999998</v>
      </c>
      <c r="U34" s="2"/>
      <c r="V34" s="7">
        <f t="shared" si="17"/>
        <v>0.14109501896648216</v>
      </c>
      <c r="W34" s="2"/>
      <c r="X34" s="6">
        <f t="shared" si="18"/>
        <v>-7642.0599999999959</v>
      </c>
      <c r="Y34" s="2"/>
      <c r="Z34" s="7">
        <f t="shared" si="19"/>
        <v>-0.33681056735960113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>
        <v>710.82</v>
      </c>
      <c r="E35" s="2"/>
      <c r="F35" s="7">
        <f t="shared" si="12"/>
        <v>3.1853909926058709E-2</v>
      </c>
      <c r="G35" s="2"/>
      <c r="H35" s="6">
        <v>170.5</v>
      </c>
      <c r="I35" s="2"/>
      <c r="J35" s="7">
        <f t="shared" si="13"/>
        <v>4.4200756986571268E-3</v>
      </c>
      <c r="K35" s="2"/>
      <c r="L35" s="6">
        <f t="shared" si="14"/>
        <v>540.32000000000005</v>
      </c>
      <c r="M35" s="2"/>
      <c r="N35" s="7">
        <f t="shared" si="15"/>
        <v>3.1690322580645165</v>
      </c>
      <c r="O35" s="11"/>
      <c r="P35" s="6">
        <v>3774.02</v>
      </c>
      <c r="Q35" s="2"/>
      <c r="R35" s="7">
        <f t="shared" si="16"/>
        <v>2.5947019958611491E-2</v>
      </c>
      <c r="S35" s="2"/>
      <c r="T35" s="6">
        <v>170.5</v>
      </c>
      <c r="U35" s="2"/>
      <c r="V35" s="7">
        <f t="shared" si="17"/>
        <v>1.0602574466762017E-3</v>
      </c>
      <c r="W35" s="2"/>
      <c r="X35" s="6">
        <f t="shared" si="18"/>
        <v>3603.52</v>
      </c>
      <c r="Y35" s="2"/>
      <c r="Z35" s="7">
        <f t="shared" si="19"/>
        <v>21.1350146627566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54" si="20">IF(D$12=0,0,D36/D$12)</f>
        <v>0</v>
      </c>
      <c r="G36" s="1"/>
      <c r="H36" s="1">
        <f>SUM(OSRRefH22_2x_0)</f>
        <v>137.5</v>
      </c>
      <c r="I36" s="1"/>
      <c r="J36" s="5">
        <f t="shared" ref="J36:J54" si="21">IF(H$12=0,0,H36/H$12)</f>
        <v>3.5645771763363923E-3</v>
      </c>
      <c r="K36" s="1"/>
      <c r="L36" s="1">
        <f t="shared" ref="L36:L54" si="22">+D36-H36</f>
        <v>-137.5</v>
      </c>
      <c r="M36" s="1"/>
      <c r="N36" s="5">
        <f t="shared" ref="N36:N54" si="23">IF(H36=0,0,L36/H36)</f>
        <v>-1</v>
      </c>
      <c r="O36" s="13"/>
      <c r="P36" s="1">
        <f>SUM(OSRRefP22_2x_0)</f>
        <v>106.77</v>
      </c>
      <c r="Q36" s="1"/>
      <c r="R36" s="5">
        <f t="shared" ref="R36:R54" si="24">IF(P$12=0,0,P36/P$12)</f>
        <v>7.340616427525421E-4</v>
      </c>
      <c r="S36" s="1"/>
      <c r="T36" s="1">
        <f>SUM(OSRRefT22_2x_0)</f>
        <v>2487.94</v>
      </c>
      <c r="U36" s="1"/>
      <c r="V36" s="5">
        <f t="shared" ref="V36:V54" si="25">IF(T$12=0,0,T36/T$12)</f>
        <v>1.5471301535974131E-2</v>
      </c>
      <c r="W36" s="1"/>
      <c r="X36" s="1">
        <f t="shared" ref="X36:X54" si="26">+P36-T36</f>
        <v>-2381.17</v>
      </c>
      <c r="Y36" s="1"/>
      <c r="Z36" s="5">
        <f t="shared" ref="Z36:Z54" si="27">IF(T36=0,0,X36/T36)</f>
        <v>-0.95708497793355141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>
        <v>137.5</v>
      </c>
      <c r="I37" s="2"/>
      <c r="J37" s="7">
        <f t="shared" si="21"/>
        <v>3.5645771763363923E-3</v>
      </c>
      <c r="K37" s="2"/>
      <c r="L37" s="6">
        <f t="shared" si="22"/>
        <v>-137.5</v>
      </c>
      <c r="M37" s="2"/>
      <c r="N37" s="7">
        <f t="shared" si="23"/>
        <v>-1</v>
      </c>
      <c r="O37" s="11"/>
      <c r="P37" s="6">
        <v>106.77</v>
      </c>
      <c r="Q37" s="2"/>
      <c r="R37" s="7">
        <f t="shared" si="24"/>
        <v>7.340616427525421E-4</v>
      </c>
      <c r="S37" s="2"/>
      <c r="T37" s="6">
        <v>2487.94</v>
      </c>
      <c r="U37" s="2"/>
      <c r="V37" s="7">
        <f t="shared" si="25"/>
        <v>1.5471301535974131E-2</v>
      </c>
      <c r="W37" s="2"/>
      <c r="X37" s="6">
        <f t="shared" si="26"/>
        <v>-2381.17</v>
      </c>
      <c r="Y37" s="2"/>
      <c r="Z37" s="7">
        <f t="shared" si="27"/>
        <v>-0.95708497793355141</v>
      </c>
    </row>
    <row r="38" spans="1:26" s="25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2341.1</v>
      </c>
      <c r="E38" s="1"/>
      <c r="F38" s="5">
        <f t="shared" si="20"/>
        <v>0.10491149451041899</v>
      </c>
      <c r="G38" s="1"/>
      <c r="H38" s="1">
        <f>SUM(OSRRefH22_3x_0)</f>
        <v>2018.11</v>
      </c>
      <c r="I38" s="1"/>
      <c r="J38" s="5">
        <f t="shared" si="21"/>
        <v>5.2317882511536268E-2</v>
      </c>
      <c r="K38" s="1"/>
      <c r="L38" s="1">
        <f t="shared" si="22"/>
        <v>322.99</v>
      </c>
      <c r="M38" s="1"/>
      <c r="N38" s="5">
        <f t="shared" si="23"/>
        <v>0.16004578541308453</v>
      </c>
      <c r="O38" s="13"/>
      <c r="P38" s="1">
        <f>SUM(OSRRefP22_3x_0)</f>
        <v>10857.79</v>
      </c>
      <c r="Q38" s="1"/>
      <c r="R38" s="5">
        <f t="shared" si="24"/>
        <v>7.4649125822441931E-2</v>
      </c>
      <c r="S38" s="1"/>
      <c r="T38" s="1">
        <f>SUM(OSRRefT22_3x_0)</f>
        <v>10133.76</v>
      </c>
      <c r="U38" s="1"/>
      <c r="V38" s="5">
        <f t="shared" si="25"/>
        <v>6.3016976556184323E-2</v>
      </c>
      <c r="W38" s="1"/>
      <c r="X38" s="1">
        <f t="shared" si="26"/>
        <v>724.03000000000065</v>
      </c>
      <c r="Y38" s="1"/>
      <c r="Z38" s="5">
        <f t="shared" si="27"/>
        <v>7.1447320639131048E-2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6">
        <v>2341.1</v>
      </c>
      <c r="E39" s="2"/>
      <c r="F39" s="7">
        <f t="shared" si="20"/>
        <v>0.10491149451041899</v>
      </c>
      <c r="G39" s="2"/>
      <c r="H39" s="6">
        <v>2018.11</v>
      </c>
      <c r="I39" s="2"/>
      <c r="J39" s="7">
        <f t="shared" si="21"/>
        <v>5.2317882511536268E-2</v>
      </c>
      <c r="K39" s="2"/>
      <c r="L39" s="6">
        <f t="shared" si="22"/>
        <v>322.99</v>
      </c>
      <c r="M39" s="2"/>
      <c r="N39" s="7">
        <f t="shared" si="23"/>
        <v>0.16004578541308453</v>
      </c>
      <c r="O39" s="11"/>
      <c r="P39" s="6">
        <v>10857.79</v>
      </c>
      <c r="Q39" s="2"/>
      <c r="R39" s="7">
        <f t="shared" si="24"/>
        <v>7.4649125822441931E-2</v>
      </c>
      <c r="S39" s="2"/>
      <c r="T39" s="6">
        <v>10133.76</v>
      </c>
      <c r="U39" s="2"/>
      <c r="V39" s="7">
        <f t="shared" si="25"/>
        <v>6.3016976556184323E-2</v>
      </c>
      <c r="W39" s="2"/>
      <c r="X39" s="6">
        <f t="shared" si="26"/>
        <v>724.03000000000065</v>
      </c>
      <c r="Y39" s="2"/>
      <c r="Z39" s="7">
        <f t="shared" si="27"/>
        <v>7.1447320639131048E-2</v>
      </c>
    </row>
    <row r="40" spans="1:26" s="25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64.239999999999995</v>
      </c>
      <c r="Q40" s="1"/>
      <c r="R40" s="5">
        <f t="shared" si="24"/>
        <v>4.4166076548115857E-4</v>
      </c>
      <c r="S40" s="1"/>
      <c r="T40" s="1">
        <f>SUM(OSRRefT22_4x_0)</f>
        <v>0</v>
      </c>
      <c r="U40" s="1"/>
      <c r="V40" s="5">
        <f t="shared" si="25"/>
        <v>0</v>
      </c>
      <c r="W40" s="1"/>
      <c r="X40" s="1">
        <f t="shared" si="26"/>
        <v>64.239999999999995</v>
      </c>
      <c r="Y40" s="1"/>
      <c r="Z40" s="5">
        <f t="shared" si="27"/>
        <v>0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64.239999999999995</v>
      </c>
      <c r="Q41" s="2"/>
      <c r="R41" s="7">
        <f t="shared" si="24"/>
        <v>4.4166076548115857E-4</v>
      </c>
      <c r="S41" s="2"/>
      <c r="T41" s="6"/>
      <c r="U41" s="2"/>
      <c r="V41" s="7">
        <f t="shared" si="25"/>
        <v>0</v>
      </c>
      <c r="W41" s="2"/>
      <c r="X41" s="6">
        <f t="shared" si="26"/>
        <v>64.239999999999995</v>
      </c>
      <c r="Y41" s="2"/>
      <c r="Z41" s="7">
        <f t="shared" si="27"/>
        <v>0</v>
      </c>
    </row>
    <row r="42" spans="1:26" s="25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3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21.12</v>
      </c>
      <c r="U42" s="1"/>
      <c r="V42" s="5">
        <f t="shared" si="25"/>
        <v>1.3133511597537468E-4</v>
      </c>
      <c r="W42" s="1"/>
      <c r="X42" s="1">
        <f t="shared" si="26"/>
        <v>-21.12</v>
      </c>
      <c r="Y42" s="1"/>
      <c r="Z42" s="5">
        <f t="shared" si="27"/>
        <v>-1</v>
      </c>
    </row>
    <row r="43" spans="1:26" s="24" customFormat="1" hidden="1" outlineLevel="2" x14ac:dyDescent="0.25">
      <c r="A43" s="26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21.12</v>
      </c>
      <c r="U43" s="2"/>
      <c r="V43" s="7">
        <f t="shared" si="25"/>
        <v>1.3133511597537468E-4</v>
      </c>
      <c r="W43" s="2"/>
      <c r="X43" s="6">
        <f t="shared" si="26"/>
        <v>-21.12</v>
      </c>
      <c r="Y43" s="2"/>
      <c r="Z43" s="7">
        <f t="shared" si="27"/>
        <v>-1</v>
      </c>
    </row>
    <row r="44" spans="1:26" s="25" customFormat="1" outlineLevel="1" collapsed="1" x14ac:dyDescent="0.25">
      <c r="A44" s="27"/>
      <c r="B44" s="13" t="str">
        <f>CONCATENATE("     ","General                                           ")</f>
        <v xml:space="preserve">     General                                           </v>
      </c>
      <c r="C44" s="13"/>
      <c r="D44" s="1">
        <f>SUM(OSRRefD22_6x_0)</f>
        <v>0</v>
      </c>
      <c r="E44" s="1"/>
      <c r="F44" s="5">
        <f t="shared" si="20"/>
        <v>0</v>
      </c>
      <c r="G44" s="1"/>
      <c r="H44" s="1">
        <f>SUM(OSRRefH22_6x_0)</f>
        <v>-1600</v>
      </c>
      <c r="I44" s="1"/>
      <c r="J44" s="5">
        <f t="shared" si="21"/>
        <v>-4.1478716233732567E-2</v>
      </c>
      <c r="K44" s="1"/>
      <c r="L44" s="1">
        <f t="shared" si="22"/>
        <v>1600</v>
      </c>
      <c r="M44" s="1"/>
      <c r="N44" s="5">
        <f t="shared" si="23"/>
        <v>-1</v>
      </c>
      <c r="O44" s="13"/>
      <c r="P44" s="1">
        <f>SUM(OSRRefP22_6x_0)</f>
        <v>0</v>
      </c>
      <c r="Q44" s="1"/>
      <c r="R44" s="5">
        <f t="shared" si="24"/>
        <v>0</v>
      </c>
      <c r="S44" s="1"/>
      <c r="T44" s="1">
        <f>SUM(OSRRefT22_6x_0)</f>
        <v>301</v>
      </c>
      <c r="U44" s="1"/>
      <c r="V44" s="5">
        <f t="shared" si="25"/>
        <v>1.8717741433990423E-3</v>
      </c>
      <c r="W44" s="1"/>
      <c r="X44" s="1">
        <f t="shared" si="26"/>
        <v>-301</v>
      </c>
      <c r="Y44" s="1"/>
      <c r="Z44" s="5">
        <f t="shared" si="27"/>
        <v>-1</v>
      </c>
    </row>
    <row r="45" spans="1:26" s="24" customFormat="1" hidden="1" outlineLevel="2" x14ac:dyDescent="0.25">
      <c r="A45" s="26"/>
      <c r="B45" s="11" t="str">
        <f>CONCATENATE("          ", "6279", " - ", "GENERAL EXPENSE")</f>
        <v xml:space="preserve">          6279 - GENERAL EXPENSE</v>
      </c>
      <c r="C45" s="11"/>
      <c r="D45" s="6"/>
      <c r="E45" s="2"/>
      <c r="F45" s="7">
        <f t="shared" si="20"/>
        <v>0</v>
      </c>
      <c r="G45" s="2"/>
      <c r="H45" s="6">
        <v>-1600</v>
      </c>
      <c r="I45" s="2"/>
      <c r="J45" s="7">
        <f t="shared" si="21"/>
        <v>-4.1478716233732567E-2</v>
      </c>
      <c r="K45" s="2"/>
      <c r="L45" s="6">
        <f t="shared" si="22"/>
        <v>1600</v>
      </c>
      <c r="M45" s="2"/>
      <c r="N45" s="7">
        <f t="shared" si="23"/>
        <v>-1</v>
      </c>
      <c r="O45" s="11"/>
      <c r="P45" s="6"/>
      <c r="Q45" s="2"/>
      <c r="R45" s="7">
        <f t="shared" si="24"/>
        <v>0</v>
      </c>
      <c r="S45" s="2"/>
      <c r="T45" s="6">
        <v>301</v>
      </c>
      <c r="U45" s="2"/>
      <c r="V45" s="7">
        <f t="shared" si="25"/>
        <v>1.8717741433990423E-3</v>
      </c>
      <c r="W45" s="2"/>
      <c r="X45" s="6">
        <f t="shared" si="26"/>
        <v>-301</v>
      </c>
      <c r="Y45" s="2"/>
      <c r="Z45" s="7">
        <f t="shared" si="27"/>
        <v>-1</v>
      </c>
    </row>
    <row r="46" spans="1:26" s="25" customFormat="1" outlineLevel="1" collapsed="1" x14ac:dyDescent="0.25">
      <c r="A46" s="27"/>
      <c r="B46" s="13" t="str">
        <f>CONCATENATE("     ","Insurance                                         ")</f>
        <v xml:space="preserve">     Insurance                                         </v>
      </c>
      <c r="C46" s="13"/>
      <c r="D46" s="1">
        <f>SUM(OSRRefD22_7x_0)</f>
        <v>29.01</v>
      </c>
      <c r="E46" s="1"/>
      <c r="F46" s="5">
        <f t="shared" si="20"/>
        <v>1.3000224064530586E-3</v>
      </c>
      <c r="G46" s="1"/>
      <c r="H46" s="1">
        <f>SUM(OSRRefH22_7x_0)</f>
        <v>27.33</v>
      </c>
      <c r="I46" s="1"/>
      <c r="J46" s="5">
        <f t="shared" si="21"/>
        <v>7.0850832166744436E-4</v>
      </c>
      <c r="K46" s="1"/>
      <c r="L46" s="1">
        <f t="shared" si="22"/>
        <v>1.6800000000000033</v>
      </c>
      <c r="M46" s="1"/>
      <c r="N46" s="5">
        <f t="shared" si="23"/>
        <v>6.1470911086718018E-2</v>
      </c>
      <c r="O46" s="13"/>
      <c r="P46" s="1">
        <f>SUM(OSRRefP22_7x_0)</f>
        <v>145.05000000000001</v>
      </c>
      <c r="Q46" s="1"/>
      <c r="R46" s="5">
        <f t="shared" si="24"/>
        <v>9.9724305779953391E-4</v>
      </c>
      <c r="S46" s="1"/>
      <c r="T46" s="1">
        <f>SUM(OSRRefT22_7x_0)</f>
        <v>136.65</v>
      </c>
      <c r="U46" s="1"/>
      <c r="V46" s="5">
        <f t="shared" si="25"/>
        <v>8.4976058702816997E-4</v>
      </c>
      <c r="W46" s="1"/>
      <c r="X46" s="1">
        <f t="shared" si="26"/>
        <v>8.4000000000000057</v>
      </c>
      <c r="Y46" s="1"/>
      <c r="Z46" s="5">
        <f t="shared" si="27"/>
        <v>6.1470911086717935E-2</v>
      </c>
    </row>
    <row r="47" spans="1:26" s="24" customFormat="1" hidden="1" outlineLevel="2" x14ac:dyDescent="0.25">
      <c r="A47" s="26"/>
      <c r="B47" s="11" t="str">
        <f>CONCATENATE("          ", "6314", " - ", "LIABILITY INSURANCE")</f>
        <v xml:space="preserve">          6314 - LIABILITY INSURANCE</v>
      </c>
      <c r="C47" s="11"/>
      <c r="D47" s="6">
        <v>29.01</v>
      </c>
      <c r="E47" s="2"/>
      <c r="F47" s="7">
        <f t="shared" si="20"/>
        <v>1.3000224064530586E-3</v>
      </c>
      <c r="G47" s="2"/>
      <c r="H47" s="6">
        <v>27.33</v>
      </c>
      <c r="I47" s="2"/>
      <c r="J47" s="7">
        <f t="shared" si="21"/>
        <v>7.0850832166744436E-4</v>
      </c>
      <c r="K47" s="2"/>
      <c r="L47" s="6">
        <f t="shared" si="22"/>
        <v>1.6800000000000033</v>
      </c>
      <c r="M47" s="2"/>
      <c r="N47" s="7">
        <f t="shared" si="23"/>
        <v>6.1470911086718018E-2</v>
      </c>
      <c r="O47" s="11"/>
      <c r="P47" s="6">
        <v>145.05000000000001</v>
      </c>
      <c r="Q47" s="2"/>
      <c r="R47" s="7">
        <f t="shared" si="24"/>
        <v>9.9724305779953391E-4</v>
      </c>
      <c r="S47" s="2"/>
      <c r="T47" s="6">
        <v>136.65</v>
      </c>
      <c r="U47" s="2"/>
      <c r="V47" s="7">
        <f t="shared" si="25"/>
        <v>8.4976058702816997E-4</v>
      </c>
      <c r="W47" s="2"/>
      <c r="X47" s="6">
        <f t="shared" si="26"/>
        <v>8.4000000000000057</v>
      </c>
      <c r="Y47" s="2"/>
      <c r="Z47" s="7">
        <f t="shared" si="27"/>
        <v>6.1470911086717935E-2</v>
      </c>
    </row>
    <row r="48" spans="1:26" s="25" customFormat="1" outlineLevel="1" collapsed="1" x14ac:dyDescent="0.25">
      <c r="A48" s="27"/>
      <c r="B48" s="13" t="str">
        <f>CONCATENATE("     ","Professional Services                             ")</f>
        <v xml:space="preserve">     Professional Services                             </v>
      </c>
      <c r="C48" s="13"/>
      <c r="D48" s="1">
        <f>SUM(OSRRefD22_8x_0)</f>
        <v>0</v>
      </c>
      <c r="E48" s="1"/>
      <c r="F48" s="5">
        <f t="shared" si="20"/>
        <v>0</v>
      </c>
      <c r="G48" s="1"/>
      <c r="H48" s="1">
        <f>SUM(OSRRefH22_8x_0)</f>
        <v>0</v>
      </c>
      <c r="I48" s="1"/>
      <c r="J48" s="5">
        <f t="shared" si="21"/>
        <v>0</v>
      </c>
      <c r="K48" s="1"/>
      <c r="L48" s="1">
        <f t="shared" si="22"/>
        <v>0</v>
      </c>
      <c r="M48" s="1"/>
      <c r="N48" s="5">
        <f t="shared" si="23"/>
        <v>0</v>
      </c>
      <c r="O48" s="13"/>
      <c r="P48" s="1">
        <f>SUM(OSRRefP22_8x_0)</f>
        <v>0</v>
      </c>
      <c r="Q48" s="1"/>
      <c r="R48" s="5">
        <f t="shared" si="24"/>
        <v>0</v>
      </c>
      <c r="S48" s="1"/>
      <c r="T48" s="1">
        <f>SUM(OSRRefT22_8x_0)</f>
        <v>1680</v>
      </c>
      <c r="U48" s="1"/>
      <c r="V48" s="5">
        <f t="shared" si="25"/>
        <v>1.0447111498041166E-2</v>
      </c>
      <c r="W48" s="1"/>
      <c r="X48" s="1">
        <f t="shared" si="26"/>
        <v>-1680</v>
      </c>
      <c r="Y48" s="1"/>
      <c r="Z48" s="5">
        <f t="shared" si="27"/>
        <v>-1</v>
      </c>
    </row>
    <row r="49" spans="1:26" s="24" customFormat="1" hidden="1" outlineLevel="2" x14ac:dyDescent="0.25">
      <c r="A49" s="26"/>
      <c r="B49" s="11" t="str">
        <f>CONCATENATE("          ", "6336", " - ", "PROFESSIONAL SERVICES")</f>
        <v xml:space="preserve">          6336 - PROFESSIONAL SERVICES</v>
      </c>
      <c r="C49" s="11"/>
      <c r="D49" s="6"/>
      <c r="E49" s="2"/>
      <c r="F49" s="7">
        <f t="shared" si="20"/>
        <v>0</v>
      </c>
      <c r="G49" s="2"/>
      <c r="H49" s="6"/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1680</v>
      </c>
      <c r="U49" s="2"/>
      <c r="V49" s="7">
        <f t="shared" si="25"/>
        <v>1.0447111498041166E-2</v>
      </c>
      <c r="W49" s="2"/>
      <c r="X49" s="6">
        <f t="shared" si="26"/>
        <v>-1680</v>
      </c>
      <c r="Y49" s="2"/>
      <c r="Z49" s="7">
        <f t="shared" si="27"/>
        <v>-1</v>
      </c>
    </row>
    <row r="50" spans="1:26" s="25" customFormat="1" outlineLevel="1" collapsed="1" x14ac:dyDescent="0.25">
      <c r="A50" s="27"/>
      <c r="B50" s="13" t="str">
        <f>CONCATENATE("     ","Rent                                              ")</f>
        <v xml:space="preserve">     Rent                                              </v>
      </c>
      <c r="C50" s="13"/>
      <c r="D50" s="1">
        <f>SUM(OSRRefD22_9x_0)</f>
        <v>800</v>
      </c>
      <c r="E50" s="1"/>
      <c r="F50" s="5">
        <f t="shared" si="20"/>
        <v>3.5850324893569346E-2</v>
      </c>
      <c r="G50" s="1"/>
      <c r="H50" s="1">
        <f>SUM(OSRRefH22_9x_0)</f>
        <v>800</v>
      </c>
      <c r="I50" s="1"/>
      <c r="J50" s="5">
        <f t="shared" si="21"/>
        <v>2.0739358116866283E-2</v>
      </c>
      <c r="K50" s="1"/>
      <c r="L50" s="1">
        <f t="shared" si="22"/>
        <v>0</v>
      </c>
      <c r="M50" s="1"/>
      <c r="N50" s="5">
        <f t="shared" si="23"/>
        <v>0</v>
      </c>
      <c r="O50" s="13"/>
      <c r="P50" s="1">
        <f>SUM(OSRRefP22_9x_0)</f>
        <v>4000</v>
      </c>
      <c r="Q50" s="1"/>
      <c r="R50" s="5">
        <f t="shared" si="24"/>
        <v>2.7500670328839266E-2</v>
      </c>
      <c r="S50" s="1"/>
      <c r="T50" s="1">
        <f>SUM(OSRRefT22_9x_0)</f>
        <v>3200</v>
      </c>
      <c r="U50" s="1"/>
      <c r="V50" s="5">
        <f t="shared" si="25"/>
        <v>1.9899259996268889E-2</v>
      </c>
      <c r="W50" s="1"/>
      <c r="X50" s="1">
        <f t="shared" si="26"/>
        <v>800</v>
      </c>
      <c r="Y50" s="1"/>
      <c r="Z50" s="5">
        <f t="shared" si="27"/>
        <v>0.25</v>
      </c>
    </row>
    <row r="51" spans="1:26" s="24" customFormat="1" hidden="1" outlineLevel="2" x14ac:dyDescent="0.25">
      <c r="A51" s="26"/>
      <c r="B51" s="11" t="str">
        <f>CONCATENATE("          ", "6273", " - ", "RENT")</f>
        <v xml:space="preserve">          6273 - RENT</v>
      </c>
      <c r="C51" s="11"/>
      <c r="D51" s="6">
        <v>800</v>
      </c>
      <c r="E51" s="2"/>
      <c r="F51" s="7">
        <f t="shared" si="20"/>
        <v>3.5850324893569346E-2</v>
      </c>
      <c r="G51" s="2"/>
      <c r="H51" s="6">
        <v>800</v>
      </c>
      <c r="I51" s="2"/>
      <c r="J51" s="7">
        <f t="shared" si="21"/>
        <v>2.0739358116866283E-2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>
        <v>4000</v>
      </c>
      <c r="Q51" s="2"/>
      <c r="R51" s="7">
        <f t="shared" si="24"/>
        <v>2.7500670328839266E-2</v>
      </c>
      <c r="S51" s="2"/>
      <c r="T51" s="6">
        <v>3200</v>
      </c>
      <c r="U51" s="2"/>
      <c r="V51" s="7">
        <f t="shared" si="25"/>
        <v>1.9899259996268889E-2</v>
      </c>
      <c r="W51" s="2"/>
      <c r="X51" s="6">
        <f t="shared" si="26"/>
        <v>800</v>
      </c>
      <c r="Y51" s="2"/>
      <c r="Z51" s="7">
        <f t="shared" si="27"/>
        <v>0.25</v>
      </c>
    </row>
    <row r="52" spans="1:26" s="25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SUM(OSRRefD22_10x_0)</f>
        <v>0</v>
      </c>
      <c r="E52" s="1"/>
      <c r="F52" s="5">
        <f t="shared" si="20"/>
        <v>0</v>
      </c>
      <c r="G52" s="1"/>
      <c r="H52" s="1">
        <f>SUM(OSRRefH22_10x_0)</f>
        <v>0</v>
      </c>
      <c r="I52" s="1"/>
      <c r="J52" s="5">
        <f t="shared" si="21"/>
        <v>0</v>
      </c>
      <c r="K52" s="1"/>
      <c r="L52" s="1">
        <f t="shared" si="22"/>
        <v>0</v>
      </c>
      <c r="M52" s="1"/>
      <c r="N52" s="5">
        <f t="shared" si="23"/>
        <v>0</v>
      </c>
      <c r="O52" s="13"/>
      <c r="P52" s="1">
        <f>SUM(OSRRefP22_10x_0)</f>
        <v>437.31</v>
      </c>
      <c r="Q52" s="1"/>
      <c r="R52" s="5">
        <f t="shared" si="24"/>
        <v>3.0065795353761749E-3</v>
      </c>
      <c r="S52" s="1"/>
      <c r="T52" s="1">
        <f>SUM(OSRRefT22_10x_0)</f>
        <v>600</v>
      </c>
      <c r="U52" s="1"/>
      <c r="V52" s="5">
        <f t="shared" si="25"/>
        <v>3.7311112493004167E-3</v>
      </c>
      <c r="W52" s="1"/>
      <c r="X52" s="1">
        <f t="shared" si="26"/>
        <v>-162.69</v>
      </c>
      <c r="Y52" s="1"/>
      <c r="Z52" s="5">
        <f t="shared" si="27"/>
        <v>-0.27115</v>
      </c>
    </row>
    <row r="53" spans="1:26" s="24" customFormat="1" hidden="1" outlineLevel="2" x14ac:dyDescent="0.25">
      <c r="A53" s="26"/>
      <c r="B53" s="11" t="str">
        <f>CONCATENATE("          ", "6371", " - ", "COMPUTER SOFTWARE MAINTENANCE")</f>
        <v xml:space="preserve">          6371 - COMPUTER SOFTWARE MAINTENANCE</v>
      </c>
      <c r="C53" s="11"/>
      <c r="D53" s="6"/>
      <c r="E53" s="2"/>
      <c r="F53" s="7">
        <f t="shared" si="20"/>
        <v>0</v>
      </c>
      <c r="G53" s="2"/>
      <c r="H53" s="6"/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>
        <v>437.31</v>
      </c>
      <c r="Q53" s="2"/>
      <c r="R53" s="7">
        <f t="shared" si="24"/>
        <v>3.0065795353761749E-3</v>
      </c>
      <c r="S53" s="2"/>
      <c r="T53" s="6"/>
      <c r="U53" s="2"/>
      <c r="V53" s="7">
        <f t="shared" si="25"/>
        <v>0</v>
      </c>
      <c r="W53" s="2"/>
      <c r="X53" s="6">
        <f t="shared" si="26"/>
        <v>437.31</v>
      </c>
      <c r="Y53" s="2"/>
      <c r="Z53" s="7">
        <f t="shared" si="27"/>
        <v>0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0"/>
        <v>0</v>
      </c>
      <c r="G54" s="2"/>
      <c r="H54" s="6"/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600</v>
      </c>
      <c r="U54" s="2"/>
      <c r="V54" s="7">
        <f t="shared" si="25"/>
        <v>3.7311112493004167E-3</v>
      </c>
      <c r="W54" s="2"/>
      <c r="X54" s="6">
        <f t="shared" si="26"/>
        <v>-600</v>
      </c>
      <c r="Y54" s="2"/>
      <c r="Z54" s="7">
        <f t="shared" si="27"/>
        <v>-1</v>
      </c>
    </row>
    <row r="55" spans="1:26" s="25" customFormat="1" outlineLevel="1" collapsed="1" x14ac:dyDescent="0.25">
      <c r="A55" s="27"/>
      <c r="B55" s="13" t="str">
        <f>CONCATENATE("     ","Supplies                                          ")</f>
        <v xml:space="preserve">     Supplies                                          </v>
      </c>
      <c r="C55" s="13"/>
      <c r="D55" s="1">
        <f>SUM(OSRRefD22_11x_0)</f>
        <v>45.18</v>
      </c>
      <c r="E55" s="1"/>
      <c r="F55" s="5">
        <f t="shared" ref="F55:F59" si="28">IF(D$12=0,0,D55/D$12)</f>
        <v>2.0246470983643289E-3</v>
      </c>
      <c r="G55" s="1"/>
      <c r="H55" s="1">
        <f>SUM(OSRRefH22_11x_0)</f>
        <v>19101.32</v>
      </c>
      <c r="I55" s="1"/>
      <c r="J55" s="5">
        <f t="shared" ref="J55:J59" si="29">IF(H$12=0,0,H55/H$12)</f>
        <v>0.49518639498107531</v>
      </c>
      <c r="K55" s="1"/>
      <c r="L55" s="1">
        <f t="shared" ref="L55:L59" si="30">+D55-H55</f>
        <v>-19056.14</v>
      </c>
      <c r="M55" s="1"/>
      <c r="N55" s="5">
        <f t="shared" ref="N55:N59" si="31">IF(H55=0,0,L55/H55)</f>
        <v>-0.99763471843830687</v>
      </c>
      <c r="O55" s="13"/>
      <c r="P55" s="1">
        <f>SUM(OSRRefP22_11x_0)</f>
        <v>18397.830000000002</v>
      </c>
      <c r="Q55" s="1"/>
      <c r="R55" s="5">
        <f t="shared" ref="R55:R59" si="32">IF(P$12=0,0,P55/P$12)</f>
        <v>0.12648816439900723</v>
      </c>
      <c r="S55" s="1"/>
      <c r="T55" s="1">
        <f>SUM(OSRRefT22_11x_0)</f>
        <v>34255.370000000003</v>
      </c>
      <c r="U55" s="1"/>
      <c r="V55" s="5">
        <f t="shared" ref="V55:V59" si="33">IF(T$12=0,0,T55/T$12)</f>
        <v>0.2130176605932467</v>
      </c>
      <c r="W55" s="1"/>
      <c r="X55" s="1">
        <f t="shared" ref="X55:X59" si="34">+P55-T55</f>
        <v>-15857.54</v>
      </c>
      <c r="Y55" s="1"/>
      <c r="Z55" s="5">
        <f t="shared" ref="Z55:Z59" si="35">IF(T55=0,0,X55/T55)</f>
        <v>-0.46292128796156629</v>
      </c>
    </row>
    <row r="56" spans="1:26" s="24" customFormat="1" hidden="1" outlineLevel="2" x14ac:dyDescent="0.25">
      <c r="A56" s="26"/>
      <c r="B56" s="11" t="str">
        <f>CONCATENATE("          ", "6234", " - ", "EXPENDABLE SUPPLIES &amp; EQUIPMEN")</f>
        <v xml:space="preserve">          6234 - EXPENDABLE SUPPLIES &amp; EQUIPMEN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413.27</v>
      </c>
      <c r="Q56" s="2"/>
      <c r="R56" s="7">
        <f t="shared" si="32"/>
        <v>2.8413005066998506E-3</v>
      </c>
      <c r="S56" s="2"/>
      <c r="T56" s="6"/>
      <c r="U56" s="2"/>
      <c r="V56" s="7">
        <f t="shared" si="33"/>
        <v>0</v>
      </c>
      <c r="W56" s="2"/>
      <c r="X56" s="6">
        <f t="shared" si="34"/>
        <v>413.27</v>
      </c>
      <c r="Y56" s="2"/>
      <c r="Z56" s="7">
        <f t="shared" si="35"/>
        <v>0</v>
      </c>
    </row>
    <row r="57" spans="1:26" s="24" customFormat="1" hidden="1" outlineLevel="2" x14ac:dyDescent="0.25">
      <c r="A57" s="26"/>
      <c r="B57" s="11" t="str">
        <f>CONCATENATE("          ", "6241", " - ", "OFFICE EXPENSE")</f>
        <v xml:space="preserve">          6241 - OFFICE EXPENSE</v>
      </c>
      <c r="C57" s="11"/>
      <c r="D57" s="6">
        <v>45.18</v>
      </c>
      <c r="E57" s="2"/>
      <c r="F57" s="7">
        <f t="shared" si="28"/>
        <v>2.0246470983643289E-3</v>
      </c>
      <c r="G57" s="2"/>
      <c r="H57" s="6">
        <v>19101.32</v>
      </c>
      <c r="I57" s="2"/>
      <c r="J57" s="7">
        <f t="shared" si="29"/>
        <v>0.49518639498107531</v>
      </c>
      <c r="K57" s="2"/>
      <c r="L57" s="6">
        <f t="shared" si="30"/>
        <v>-19056.14</v>
      </c>
      <c r="M57" s="2"/>
      <c r="N57" s="7">
        <f t="shared" si="31"/>
        <v>-0.99763471843830687</v>
      </c>
      <c r="O57" s="11"/>
      <c r="P57" s="6">
        <v>17863.73</v>
      </c>
      <c r="Q57" s="2"/>
      <c r="R57" s="7">
        <f t="shared" si="32"/>
        <v>0.12281613739334896</v>
      </c>
      <c r="S57" s="2"/>
      <c r="T57" s="6">
        <v>33895.950000000004</v>
      </c>
      <c r="U57" s="2"/>
      <c r="V57" s="7">
        <f t="shared" si="33"/>
        <v>0.21078260058454079</v>
      </c>
      <c r="W57" s="2"/>
      <c r="X57" s="6">
        <f t="shared" si="34"/>
        <v>-16032.220000000005</v>
      </c>
      <c r="Y57" s="2"/>
      <c r="Z57" s="7">
        <f t="shared" si="35"/>
        <v>-0.47298335051827733</v>
      </c>
    </row>
    <row r="58" spans="1:26" s="24" customFormat="1" hidden="1" outlineLevel="2" x14ac:dyDescent="0.25">
      <c r="A58" s="26"/>
      <c r="B58" s="11" t="str">
        <f>CONCATENATE("          ", "6245", " - ", "PRINTING")</f>
        <v xml:space="preserve">          6245 - PRINTING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>
        <v>120.83</v>
      </c>
      <c r="Q58" s="2"/>
      <c r="R58" s="7">
        <f t="shared" si="32"/>
        <v>8.3072649895841208E-4</v>
      </c>
      <c r="S58" s="2"/>
      <c r="T58" s="6">
        <v>359.42</v>
      </c>
      <c r="U58" s="2"/>
      <c r="V58" s="7">
        <f t="shared" si="33"/>
        <v>2.2350600087059263E-3</v>
      </c>
      <c r="W58" s="2"/>
      <c r="X58" s="6">
        <f t="shared" si="34"/>
        <v>-238.59000000000003</v>
      </c>
      <c r="Y58" s="2"/>
      <c r="Z58" s="7">
        <f t="shared" si="35"/>
        <v>-0.66381948695119919</v>
      </c>
    </row>
    <row r="59" spans="1:26" s="24" customFormat="1" hidden="1" outlineLevel="2" x14ac:dyDescent="0.25">
      <c r="A59" s="26"/>
      <c r="B59" s="11" t="str">
        <f>CONCATENATE("          ", "6247", " - ", "STORE SUPPLIES")</f>
        <v xml:space="preserve">          6247 - STORE SUPPLIES</v>
      </c>
      <c r="C59" s="11"/>
      <c r="D59" s="6"/>
      <c r="E59" s="2"/>
      <c r="F59" s="7">
        <f t="shared" si="28"/>
        <v>0</v>
      </c>
      <c r="G59" s="2"/>
      <c r="H59" s="6"/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/>
      <c r="Q59" s="2"/>
      <c r="R59" s="7">
        <f t="shared" si="32"/>
        <v>0</v>
      </c>
      <c r="S59" s="2"/>
      <c r="T59" s="6">
        <v>0</v>
      </c>
      <c r="U59" s="2"/>
      <c r="V59" s="7">
        <f t="shared" si="33"/>
        <v>0</v>
      </c>
      <c r="W59" s="2"/>
      <c r="X59" s="6">
        <f t="shared" si="34"/>
        <v>0</v>
      </c>
      <c r="Y59" s="2"/>
      <c r="Z59" s="7">
        <f t="shared" si="35"/>
        <v>0</v>
      </c>
    </row>
    <row r="60" spans="1:26" s="25" customFormat="1" outlineLevel="1" collapsed="1" x14ac:dyDescent="0.25">
      <c r="A60" s="27"/>
      <c r="B60" s="13" t="str">
        <f>CONCATENATE("     ","Telephone/Data Lines                              ")</f>
        <v xml:space="preserve">     Telephone/Data Lines                              </v>
      </c>
      <c r="C60" s="13"/>
      <c r="D60" s="1">
        <f>SUM(OSRRefD22_12x_0)</f>
        <v>183.9</v>
      </c>
      <c r="E60" s="1"/>
      <c r="F60" s="5">
        <f t="shared" ref="F60:F63" si="36">IF(D$12=0,0,D60/D$12)</f>
        <v>8.2410934349092541E-3</v>
      </c>
      <c r="G60" s="1"/>
      <c r="H60" s="1">
        <f>SUM(OSRRefH22_12x_0)</f>
        <v>345.17</v>
      </c>
      <c r="I60" s="1"/>
      <c r="J60" s="5">
        <f t="shared" ref="J60:J63" si="37">IF(H$12=0,0,H60/H$12)</f>
        <v>8.9482553014984187E-3</v>
      </c>
      <c r="K60" s="1"/>
      <c r="L60" s="1">
        <f t="shared" ref="L60:L63" si="38">+D60-H60</f>
        <v>-161.27000000000001</v>
      </c>
      <c r="M60" s="1"/>
      <c r="N60" s="5">
        <f t="shared" ref="N60:N63" si="39">IF(H60=0,0,L60/H60)</f>
        <v>-0.46721905148187848</v>
      </c>
      <c r="O60" s="13"/>
      <c r="P60" s="1">
        <f>SUM(OSRRefP22_12x_0)</f>
        <v>948.5</v>
      </c>
      <c r="Q60" s="1"/>
      <c r="R60" s="5">
        <f t="shared" ref="R60:R63" si="40">IF(P$12=0,0,P60/P$12)</f>
        <v>6.5210964517260104E-3</v>
      </c>
      <c r="S60" s="1"/>
      <c r="T60" s="1">
        <f>SUM(OSRRefT22_12x_0)</f>
        <v>1848</v>
      </c>
      <c r="U60" s="1"/>
      <c r="V60" s="5">
        <f t="shared" ref="V60:V63" si="41">IF(T$12=0,0,T60/T$12)</f>
        <v>1.1491822647845283E-2</v>
      </c>
      <c r="W60" s="1"/>
      <c r="X60" s="1">
        <f t="shared" ref="X60:X63" si="42">+P60-T60</f>
        <v>-899.5</v>
      </c>
      <c r="Y60" s="1"/>
      <c r="Z60" s="5">
        <f t="shared" ref="Z60:Z63" si="43">IF(T60=0,0,X60/T60)</f>
        <v>-0.48674242424242425</v>
      </c>
    </row>
    <row r="61" spans="1:26" s="24" customFormat="1" hidden="1" outlineLevel="2" x14ac:dyDescent="0.25">
      <c r="A61" s="26"/>
      <c r="B61" s="11" t="str">
        <f>CONCATENATE("          ", "6309", " - ", "TELEPHONE")</f>
        <v xml:space="preserve">          6309 - TELEPHONE</v>
      </c>
      <c r="C61" s="11"/>
      <c r="D61" s="6">
        <v>183.9</v>
      </c>
      <c r="E61" s="2"/>
      <c r="F61" s="7">
        <f t="shared" si="36"/>
        <v>8.2410934349092541E-3</v>
      </c>
      <c r="G61" s="2"/>
      <c r="H61" s="6">
        <v>345.17</v>
      </c>
      <c r="I61" s="2"/>
      <c r="J61" s="7">
        <f t="shared" si="37"/>
        <v>8.9482553014984187E-3</v>
      </c>
      <c r="K61" s="2"/>
      <c r="L61" s="6">
        <f t="shared" si="38"/>
        <v>-161.27000000000001</v>
      </c>
      <c r="M61" s="2"/>
      <c r="N61" s="7">
        <f t="shared" si="39"/>
        <v>-0.46721905148187848</v>
      </c>
      <c r="O61" s="11"/>
      <c r="P61" s="6">
        <v>948.5</v>
      </c>
      <c r="Q61" s="2"/>
      <c r="R61" s="7">
        <f t="shared" si="40"/>
        <v>6.5210964517260104E-3</v>
      </c>
      <c r="S61" s="2"/>
      <c r="T61" s="6">
        <v>1848</v>
      </c>
      <c r="U61" s="2"/>
      <c r="V61" s="7">
        <f t="shared" si="41"/>
        <v>1.1491822647845283E-2</v>
      </c>
      <c r="W61" s="2"/>
      <c r="X61" s="6">
        <f t="shared" si="42"/>
        <v>-899.5</v>
      </c>
      <c r="Y61" s="2"/>
      <c r="Z61" s="7">
        <f t="shared" si="43"/>
        <v>-0.48674242424242425</v>
      </c>
    </row>
    <row r="62" spans="1:26" s="25" customFormat="1" outlineLevel="1" collapsed="1" x14ac:dyDescent="0.25">
      <c r="A62" s="27"/>
      <c r="B62" s="13" t="str">
        <f>CONCATENATE("     ","Training                                          ")</f>
        <v xml:space="preserve">     Training                                          </v>
      </c>
      <c r="C62" s="13"/>
      <c r="D62" s="1">
        <f>SUM(OSRRefD22_13x_0)</f>
        <v>0</v>
      </c>
      <c r="E62" s="1"/>
      <c r="F62" s="5">
        <f t="shared" si="36"/>
        <v>0</v>
      </c>
      <c r="G62" s="1"/>
      <c r="H62" s="1">
        <f>SUM(OSRRefH22_13x_0)</f>
        <v>1600</v>
      </c>
      <c r="I62" s="1"/>
      <c r="J62" s="5">
        <f t="shared" si="37"/>
        <v>4.1478716233732567E-2</v>
      </c>
      <c r="K62" s="1"/>
      <c r="L62" s="1">
        <f t="shared" si="38"/>
        <v>-1600</v>
      </c>
      <c r="M62" s="1"/>
      <c r="N62" s="5">
        <f t="shared" si="39"/>
        <v>-1</v>
      </c>
      <c r="O62" s="13"/>
      <c r="P62" s="1">
        <f>SUM(OSRRefP22_13x_0)</f>
        <v>0</v>
      </c>
      <c r="Q62" s="1"/>
      <c r="R62" s="5">
        <f t="shared" si="40"/>
        <v>0</v>
      </c>
      <c r="S62" s="1"/>
      <c r="T62" s="1">
        <f>SUM(OSRRefT22_13x_0)</f>
        <v>1600</v>
      </c>
      <c r="U62" s="1"/>
      <c r="V62" s="5">
        <f t="shared" si="41"/>
        <v>9.9496299981344447E-3</v>
      </c>
      <c r="W62" s="1"/>
      <c r="X62" s="1">
        <f t="shared" si="42"/>
        <v>-1600</v>
      </c>
      <c r="Y62" s="1"/>
      <c r="Z62" s="5">
        <f t="shared" si="43"/>
        <v>-1</v>
      </c>
    </row>
    <row r="63" spans="1:26" s="24" customFormat="1" hidden="1" outlineLevel="2" x14ac:dyDescent="0.25">
      <c r="A63" s="26"/>
      <c r="B63" s="11" t="str">
        <f>CONCATENATE("          ", "6376", " - ", "TRAINING")</f>
        <v xml:space="preserve">          6376 - TRAINING</v>
      </c>
      <c r="C63" s="11"/>
      <c r="D63" s="6"/>
      <c r="E63" s="2"/>
      <c r="F63" s="7">
        <f t="shared" si="36"/>
        <v>0</v>
      </c>
      <c r="G63" s="2"/>
      <c r="H63" s="6">
        <v>1600</v>
      </c>
      <c r="I63" s="2"/>
      <c r="J63" s="7">
        <f t="shared" si="37"/>
        <v>4.1478716233732567E-2</v>
      </c>
      <c r="K63" s="2"/>
      <c r="L63" s="6">
        <f t="shared" si="38"/>
        <v>-1600</v>
      </c>
      <c r="M63" s="2"/>
      <c r="N63" s="7">
        <f t="shared" si="39"/>
        <v>-1</v>
      </c>
      <c r="O63" s="11"/>
      <c r="P63" s="6"/>
      <c r="Q63" s="2"/>
      <c r="R63" s="7">
        <f t="shared" si="40"/>
        <v>0</v>
      </c>
      <c r="S63" s="2"/>
      <c r="T63" s="6">
        <v>1600</v>
      </c>
      <c r="U63" s="2"/>
      <c r="V63" s="7">
        <f t="shared" si="41"/>
        <v>9.9496299981344447E-3</v>
      </c>
      <c r="W63" s="2"/>
      <c r="X63" s="6">
        <f t="shared" si="42"/>
        <v>-1600</v>
      </c>
      <c r="Y63" s="2"/>
      <c r="Z63" s="7">
        <f t="shared" si="43"/>
        <v>-1</v>
      </c>
    </row>
    <row r="64" spans="1:26" s="53" customFormat="1" x14ac:dyDescent="0.25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collapsed="1" x14ac:dyDescent="0.25">
      <c r="A65" s="10"/>
      <c r="B65" s="28" t="s">
        <v>0</v>
      </c>
      <c r="C65" s="10"/>
      <c r="D65" s="4">
        <f>SUM(OSRRefD25x_0)</f>
        <v>1939.25</v>
      </c>
      <c r="E65" s="4"/>
      <c r="F65" s="12">
        <f t="shared" ref="F65:F67" si="44">IF(D$12=0,0,D65/D$12)</f>
        <v>8.6903428187317944E-2</v>
      </c>
      <c r="G65" s="4"/>
      <c r="H65" s="4">
        <f>SUM(OSRRefH25x_0)</f>
        <v>1689.01</v>
      </c>
      <c r="I65" s="4"/>
      <c r="J65" s="12">
        <f t="shared" ref="J65:J67" si="45">IF(H$12=0,0,H65/H$12)</f>
        <v>4.3786229066210401E-2</v>
      </c>
      <c r="K65" s="4"/>
      <c r="L65" s="4">
        <f t="shared" ref="L65:L67" si="46">+D65-H65</f>
        <v>250.24</v>
      </c>
      <c r="M65" s="4"/>
      <c r="N65" s="12">
        <f t="shared" ref="N65:N67" si="47">IF(H65=0,0,L65/H65)</f>
        <v>0.14815779657906111</v>
      </c>
      <c r="O65" s="10"/>
      <c r="P65" s="4">
        <f>SUM(OSRRefP25x_0)</f>
        <v>12186.74</v>
      </c>
      <c r="Q65" s="4"/>
      <c r="R65" s="12">
        <f t="shared" ref="R65:R67" si="48">IF(P$12=0,0,P65/P$12)</f>
        <v>8.3785879780819653E-2</v>
      </c>
      <c r="S65" s="4"/>
      <c r="T65" s="4">
        <f>SUM(OSRRefT25x_0)</f>
        <v>13430.74</v>
      </c>
      <c r="U65" s="4"/>
      <c r="V65" s="12">
        <f t="shared" ref="V65:V67" si="49">IF(T$12=0,0,T65/T$12)</f>
        <v>8.3519308500715123E-2</v>
      </c>
      <c r="W65" s="4"/>
      <c r="X65" s="4">
        <f t="shared" ref="X65:X67" si="50">+P65-T65</f>
        <v>-1244</v>
      </c>
      <c r="Y65" s="4"/>
      <c r="Z65" s="12">
        <f t="shared" ref="Z65:Z67" si="51">IF(T65=0,0,X65/T65)</f>
        <v>-9.2623340188254702E-2</v>
      </c>
    </row>
    <row r="66" spans="1:26" s="24" customFormat="1" hidden="1" outlineLevel="1" x14ac:dyDescent="0.25">
      <c r="A66" s="44"/>
      <c r="B66" s="11" t="str">
        <f>CONCATENATE("          ", "9150", " - ", "MISC. INCOME")</f>
        <v xml:space="preserve">          9150 - MISC. INCOME</v>
      </c>
      <c r="C66" s="11"/>
      <c r="D66" s="2">
        <f>--1939.25</f>
        <v>1939.25</v>
      </c>
      <c r="E66" s="2"/>
      <c r="F66" s="19">
        <f t="shared" si="44"/>
        <v>8.6903428187317944E-2</v>
      </c>
      <c r="G66" s="2"/>
      <c r="H66" s="2">
        <f>--1689.01</f>
        <v>1689.01</v>
      </c>
      <c r="I66" s="2"/>
      <c r="J66" s="19">
        <f t="shared" si="45"/>
        <v>4.3786229066210401E-2</v>
      </c>
      <c r="K66" s="2"/>
      <c r="L66" s="2">
        <f t="shared" si="46"/>
        <v>250.24</v>
      </c>
      <c r="M66" s="2"/>
      <c r="N66" s="19">
        <f t="shared" si="47"/>
        <v>0.14815779657906111</v>
      </c>
      <c r="O66" s="11"/>
      <c r="P66" s="2">
        <f>--12186.74</f>
        <v>12186.74</v>
      </c>
      <c r="Q66" s="2"/>
      <c r="R66" s="19">
        <f t="shared" si="48"/>
        <v>8.3785879780819653E-2</v>
      </c>
      <c r="S66" s="2"/>
      <c r="T66" s="2">
        <f>--13260.39</f>
        <v>13260.39</v>
      </c>
      <c r="U66" s="2"/>
      <c r="V66" s="19">
        <f t="shared" si="49"/>
        <v>8.2459983831851255E-2</v>
      </c>
      <c r="W66" s="2"/>
      <c r="X66" s="2">
        <f t="shared" si="50"/>
        <v>-1073.6499999999996</v>
      </c>
      <c r="Y66" s="2"/>
      <c r="Z66" s="19">
        <f t="shared" si="51"/>
        <v>-8.0966698566180911E-2</v>
      </c>
    </row>
    <row r="67" spans="1:26" s="24" customFormat="1" hidden="1" outlineLevel="1" x14ac:dyDescent="0.25">
      <c r="A67" s="44"/>
      <c r="B67" s="11" t="str">
        <f>CONCATENATE("          ", "9160", " - ", "MISC. INCOME")</f>
        <v xml:space="preserve">          9160 - MISC. INCOME</v>
      </c>
      <c r="C67" s="11"/>
      <c r="D67" s="2">
        <f>0</f>
        <v>0</v>
      </c>
      <c r="E67" s="2"/>
      <c r="F67" s="19">
        <f t="shared" si="44"/>
        <v>0</v>
      </c>
      <c r="G67" s="2"/>
      <c r="H67" s="2">
        <f>0</f>
        <v>0</v>
      </c>
      <c r="I67" s="2"/>
      <c r="J67" s="19">
        <f t="shared" si="45"/>
        <v>0</v>
      </c>
      <c r="K67" s="2"/>
      <c r="L67" s="2">
        <f t="shared" si="46"/>
        <v>0</v>
      </c>
      <c r="M67" s="2"/>
      <c r="N67" s="19">
        <f t="shared" si="47"/>
        <v>0</v>
      </c>
      <c r="O67" s="11"/>
      <c r="P67" s="2">
        <f>0</f>
        <v>0</v>
      </c>
      <c r="Q67" s="2"/>
      <c r="R67" s="19">
        <f t="shared" si="48"/>
        <v>0</v>
      </c>
      <c r="S67" s="2"/>
      <c r="T67" s="2">
        <f>--170.35</f>
        <v>170.35</v>
      </c>
      <c r="U67" s="2"/>
      <c r="V67" s="19">
        <f t="shared" si="49"/>
        <v>1.0593246688638766E-3</v>
      </c>
      <c r="W67" s="2"/>
      <c r="X67" s="2">
        <f t="shared" si="50"/>
        <v>-170.35</v>
      </c>
      <c r="Y67" s="2"/>
      <c r="Z67" s="19">
        <f t="shared" si="51"/>
        <v>-1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9" t="s">
        <v>3</v>
      </c>
      <c r="C69" s="29"/>
      <c r="D69" s="21">
        <f>+D17-D19+D65</f>
        <v>2073.3300000000017</v>
      </c>
      <c r="E69" s="14"/>
      <c r="F69" s="20">
        <f>IF(D$12=0,0,D69/D$12)</f>
        <v>9.2911942639480244E-2</v>
      </c>
      <c r="G69" s="14"/>
      <c r="H69" s="21">
        <f>+H17-H19+H65</f>
        <v>-78.74999999999477</v>
      </c>
      <c r="I69" s="14"/>
      <c r="J69" s="20">
        <f>IF(H$12=0,0,H69/H$12)</f>
        <v>-2.041530564628889E-3</v>
      </c>
      <c r="K69" s="15"/>
      <c r="L69" s="21">
        <f>+D69-H69</f>
        <v>2152.0799999999963</v>
      </c>
      <c r="M69" s="15"/>
      <c r="N69" s="20">
        <f>IF(H69=0,0,L69/H69)</f>
        <v>-27.328000000001769</v>
      </c>
      <c r="O69" s="28"/>
      <c r="P69" s="21">
        <f>+P17-P19+P65</f>
        <v>12397.099999999986</v>
      </c>
      <c r="Q69" s="14"/>
      <c r="R69" s="20">
        <f>IF(P$12=0,0,P69/P$12)</f>
        <v>8.5232140033413215E-2</v>
      </c>
      <c r="S69" s="14"/>
      <c r="T69" s="21">
        <f>+T17-T19+T65</f>
        <v>11228.659999999983</v>
      </c>
      <c r="U69" s="14"/>
      <c r="V69" s="20">
        <f>IF(T$12=0,0,T69/T$12)</f>
        <v>6.9825632734282592E-2</v>
      </c>
      <c r="W69" s="15"/>
      <c r="X69" s="21">
        <f>+P69-T69</f>
        <v>1168.4400000000023</v>
      </c>
      <c r="Y69" s="15"/>
      <c r="Z69" s="20">
        <f>IF(T69=0,0,X69/T69)</f>
        <v>0.10405872116530415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>
        <v>3007.1</v>
      </c>
      <c r="E71" s="4"/>
      <c r="F71" s="12">
        <f>IF(D$12=0,0,D71/D$12)</f>
        <v>0.13475688998431548</v>
      </c>
      <c r="G71" s="4"/>
      <c r="H71" s="4">
        <v>5694.68</v>
      </c>
      <c r="I71" s="4"/>
      <c r="J71" s="12">
        <f>IF(H$12=0,0,H71/H$12)</f>
        <v>0.14763000985119512</v>
      </c>
      <c r="K71" s="4"/>
      <c r="L71" s="4">
        <f>+D71-H71</f>
        <v>-2687.5800000000004</v>
      </c>
      <c r="M71" s="4"/>
      <c r="N71" s="12">
        <f>IF(H71=0,0,L71/H71)</f>
        <v>-0.47194574585402521</v>
      </c>
      <c r="O71" s="10"/>
      <c r="P71" s="4">
        <v>15402.28</v>
      </c>
      <c r="Q71" s="4"/>
      <c r="R71" s="12">
        <f>IF(P$12=0,0,P71/P$12)</f>
        <v>0.10589325614811862</v>
      </c>
      <c r="S71" s="4"/>
      <c r="T71" s="4">
        <v>16920.809999999998</v>
      </c>
      <c r="U71" s="4"/>
      <c r="V71" s="12">
        <f>IF(T$12=0,0,T71/T$12)</f>
        <v>0.10522237423045828</v>
      </c>
      <c r="W71" s="4"/>
      <c r="X71" s="4">
        <f>+P71-T71</f>
        <v>-1518.529999999997</v>
      </c>
      <c r="Y71" s="4"/>
      <c r="Z71" s="12">
        <f>IF(T71=0,0,X71/T71)</f>
        <v>-8.9743339710096459E-2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9" t="s">
        <v>4</v>
      </c>
      <c r="C73" s="29"/>
      <c r="D73" s="31">
        <f>+D69-D71</f>
        <v>-933.76999999999816</v>
      </c>
      <c r="E73" s="14"/>
      <c r="F73" s="32">
        <f>IF(D$12=0,0,D73/D$12)</f>
        <v>-4.184494734483523E-2</v>
      </c>
      <c r="G73" s="14"/>
      <c r="H73" s="31">
        <f>+H69-H71</f>
        <v>-5773.4299999999948</v>
      </c>
      <c r="I73" s="14"/>
      <c r="J73" s="32">
        <f>IF(H$12=0,0,H73/H$12)</f>
        <v>-0.14967154041582401</v>
      </c>
      <c r="K73" s="15"/>
      <c r="L73" s="31">
        <f>D73-H73</f>
        <v>4839.6599999999962</v>
      </c>
      <c r="M73" s="15"/>
      <c r="N73" s="32">
        <f>IF(H73=0,0,L73/H73)</f>
        <v>-0.83826425539064309</v>
      </c>
      <c r="O73" s="28"/>
      <c r="P73" s="31">
        <f>+P69-P71</f>
        <v>-3005.1800000000148</v>
      </c>
      <c r="Q73" s="14"/>
      <c r="R73" s="32">
        <f>IF(P$12=0,0,P73/P$12)</f>
        <v>-2.0661116114705398E-2</v>
      </c>
      <c r="S73" s="14"/>
      <c r="T73" s="31">
        <f>+T69-T71</f>
        <v>-5692.1500000000142</v>
      </c>
      <c r="U73" s="14"/>
      <c r="V73" s="32">
        <f>IF(T$12=0,0,T73/T$12)</f>
        <v>-3.53967414961757E-2</v>
      </c>
      <c r="W73" s="15"/>
      <c r="X73" s="31">
        <f>P73-T73</f>
        <v>2686.9699999999993</v>
      </c>
      <c r="Y73" s="15"/>
      <c r="Z73" s="32">
        <f>IF(T73=0,0,X73/T73)</f>
        <v>-0.4720483472852951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9" t="s">
        <v>5</v>
      </c>
      <c r="C76" s="29"/>
      <c r="D76" s="34">
        <f>SUM(D73:D75)</f>
        <v>-933.76999999999816</v>
      </c>
      <c r="E76" s="14"/>
      <c r="F76" s="30">
        <f>IF(D$12=0,0,D76/D$12)</f>
        <v>-4.184494734483523E-2</v>
      </c>
      <c r="G76" s="14"/>
      <c r="H76" s="34">
        <f>SUM(H73:H75)</f>
        <v>-5773.4299999999948</v>
      </c>
      <c r="I76" s="14"/>
      <c r="J76" s="30">
        <f>IF(H$12=0,0,H76/H$12)</f>
        <v>-0.14967154041582401</v>
      </c>
      <c r="K76" s="15"/>
      <c r="L76" s="34">
        <f>+D76-H76</f>
        <v>4839.6599999999962</v>
      </c>
      <c r="M76" s="15"/>
      <c r="N76" s="30">
        <f>IF(H76=0,0,L76/H76)</f>
        <v>-0.83826425539064309</v>
      </c>
      <c r="O76" s="28"/>
      <c r="P76" s="34">
        <f>SUM(P73:P75)</f>
        <v>-3005.1800000000148</v>
      </c>
      <c r="Q76" s="14"/>
      <c r="R76" s="30">
        <f>IF(P$12=0,0,P76/P$12)</f>
        <v>-2.0661116114705398E-2</v>
      </c>
      <c r="S76" s="14"/>
      <c r="T76" s="34">
        <f>SUM(T73:T75)</f>
        <v>-5692.1500000000142</v>
      </c>
      <c r="U76" s="14"/>
      <c r="V76" s="30">
        <f>IF(T$12=0,0,T76/T$12)</f>
        <v>-3.53967414961757E-2</v>
      </c>
      <c r="W76" s="15"/>
      <c r="X76" s="34">
        <f>+P76-T76</f>
        <v>2686.9699999999993</v>
      </c>
      <c r="Y76" s="15"/>
      <c r="Z76" s="30">
        <f>IF(T76=0,0,X76/T76)</f>
        <v>-0.4720483472852951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9">
        <v>43815.49234837963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2" t="s">
        <v>313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1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307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311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311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304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304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5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301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301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303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303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309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309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22"/>
  <sheetViews>
    <sheetView tabSelected="1" zoomScale="80" workbookViewId="0">
      <pane xSplit="3" ySplit="10" topLeftCell="D24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2637007.2399999998</v>
      </c>
      <c r="E12" s="4"/>
      <c r="F12" s="12"/>
      <c r="G12" s="4"/>
      <c r="H12" s="4">
        <f>SUM(OSRRefH13x_0)</f>
        <v>2202637.129999999</v>
      </c>
      <c r="I12" s="4"/>
      <c r="J12" s="12"/>
      <c r="K12" s="4"/>
      <c r="L12" s="4">
        <f t="shared" ref="L12:L134" si="0">+D12-H12</f>
        <v>434370.1100000008</v>
      </c>
      <c r="M12" s="4"/>
      <c r="N12" s="12">
        <f t="shared" ref="N12:N134" si="1">IF(H12=0,0,L12/H12)</f>
        <v>0.19720457086819426</v>
      </c>
      <c r="O12" s="10"/>
      <c r="P12" s="4">
        <f>SUM(OSRRefP13x_0)</f>
        <v>16094409.959999995</v>
      </c>
      <c r="Q12" s="4"/>
      <c r="R12" s="12"/>
      <c r="S12" s="4"/>
      <c r="T12" s="4">
        <f>SUM(OSRRefT13x_0)</f>
        <v>15936090.990000002</v>
      </c>
      <c r="U12" s="4"/>
      <c r="V12" s="12"/>
      <c r="W12" s="4"/>
      <c r="X12" s="4">
        <f t="shared" ref="X12:X134" si="2">+P12-T12</f>
        <v>158318.96999999322</v>
      </c>
      <c r="Y12" s="4"/>
      <c r="Z12" s="12">
        <f t="shared" ref="Z12:Z134" si="3">IF(T12=0,0,X12/T12)</f>
        <v>9.9346175984649805E-3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--8184.69</f>
        <v>8184.69</v>
      </c>
      <c r="E13" s="2"/>
      <c r="F13" s="19"/>
      <c r="G13" s="2"/>
      <c r="H13" s="2">
        <f>--11453.82</f>
        <v>11453.82</v>
      </c>
      <c r="I13" s="2"/>
      <c r="J13" s="19"/>
      <c r="K13" s="2"/>
      <c r="L13" s="2">
        <f t="shared" si="0"/>
        <v>-3269.13</v>
      </c>
      <c r="M13" s="2"/>
      <c r="N13" s="19">
        <f t="shared" si="1"/>
        <v>-0.28541831458849537</v>
      </c>
      <c r="O13" s="11"/>
      <c r="P13" s="2">
        <f>--1503344.43</f>
        <v>1503344.43</v>
      </c>
      <c r="Q13" s="2"/>
      <c r="R13" s="19"/>
      <c r="S13" s="2"/>
      <c r="T13" s="2">
        <f>--1850269.85</f>
        <v>1850269.85</v>
      </c>
      <c r="U13" s="2"/>
      <c r="V13" s="19"/>
      <c r="W13" s="2"/>
      <c r="X13" s="2">
        <f t="shared" si="2"/>
        <v>-346925.42000000016</v>
      </c>
      <c r="Y13" s="2"/>
      <c r="Z13" s="19">
        <f t="shared" si="3"/>
        <v>-0.1874999044058358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--4182.93</f>
        <v>4182.93</v>
      </c>
      <c r="E14" s="2"/>
      <c r="F14" s="19"/>
      <c r="G14" s="2"/>
      <c r="H14" s="2">
        <f>--771.05</f>
        <v>771.05</v>
      </c>
      <c r="I14" s="2"/>
      <c r="J14" s="19"/>
      <c r="K14" s="2"/>
      <c r="L14" s="2">
        <f t="shared" si="0"/>
        <v>3411.88</v>
      </c>
      <c r="M14" s="2"/>
      <c r="N14" s="19">
        <f t="shared" si="1"/>
        <v>4.4249789248427476</v>
      </c>
      <c r="O14" s="11"/>
      <c r="P14" s="2">
        <f>--670479.29</f>
        <v>670479.29</v>
      </c>
      <c r="Q14" s="2"/>
      <c r="R14" s="19"/>
      <c r="S14" s="2"/>
      <c r="T14" s="2">
        <f>--741382.24</f>
        <v>741382.24</v>
      </c>
      <c r="U14" s="2"/>
      <c r="V14" s="19"/>
      <c r="W14" s="2"/>
      <c r="X14" s="2">
        <f t="shared" si="2"/>
        <v>-70902.949999999953</v>
      </c>
      <c r="Y14" s="2"/>
      <c r="Z14" s="19">
        <f t="shared" si="3"/>
        <v>-9.5636159290786296E-2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--15844.66</f>
        <v>15844.66</v>
      </c>
      <c r="Q15" s="2"/>
      <c r="R15" s="19"/>
      <c r="S15" s="2"/>
      <c r="T15" s="2">
        <f>--9944.25</f>
        <v>9944.25</v>
      </c>
      <c r="U15" s="2"/>
      <c r="V15" s="19"/>
      <c r="W15" s="2"/>
      <c r="X15" s="2">
        <f t="shared" si="2"/>
        <v>5900.41</v>
      </c>
      <c r="Y15" s="2"/>
      <c r="Z15" s="19">
        <f t="shared" si="3"/>
        <v>0.59334892023028385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--119.4</f>
        <v>119.4</v>
      </c>
      <c r="E16" s="2"/>
      <c r="F16" s="19"/>
      <c r="G16" s="2"/>
      <c r="H16" s="2">
        <f>--345.04</f>
        <v>345.04</v>
      </c>
      <c r="I16" s="2"/>
      <c r="J16" s="19"/>
      <c r="K16" s="2"/>
      <c r="L16" s="2">
        <f t="shared" si="0"/>
        <v>-225.64000000000001</v>
      </c>
      <c r="M16" s="2"/>
      <c r="N16" s="19">
        <f t="shared" si="1"/>
        <v>-0.65395316485045207</v>
      </c>
      <c r="O16" s="11"/>
      <c r="P16" s="2">
        <f>--30279.88</f>
        <v>30279.88</v>
      </c>
      <c r="Q16" s="2"/>
      <c r="R16" s="19"/>
      <c r="S16" s="2"/>
      <c r="T16" s="2">
        <f>--42625.32</f>
        <v>42625.32</v>
      </c>
      <c r="U16" s="2"/>
      <c r="V16" s="19"/>
      <c r="W16" s="2"/>
      <c r="X16" s="2">
        <f t="shared" si="2"/>
        <v>-12345.439999999999</v>
      </c>
      <c r="Y16" s="2"/>
      <c r="Z16" s="19">
        <f t="shared" si="3"/>
        <v>-0.28962691658385203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>
        <f>--0.08</f>
        <v>0.08</v>
      </c>
      <c r="I17" s="2"/>
      <c r="J17" s="19"/>
      <c r="K17" s="2"/>
      <c r="L17" s="2">
        <f t="shared" si="0"/>
        <v>-0.08</v>
      </c>
      <c r="M17" s="2"/>
      <c r="N17" s="19">
        <f t="shared" si="1"/>
        <v>-1</v>
      </c>
      <c r="O17" s="11"/>
      <c r="P17" s="2">
        <f>--9.6</f>
        <v>9.6</v>
      </c>
      <c r="Q17" s="2"/>
      <c r="R17" s="19"/>
      <c r="S17" s="2"/>
      <c r="T17" s="2">
        <f>--5.31</f>
        <v>5.31</v>
      </c>
      <c r="U17" s="2"/>
      <c r="V17" s="19"/>
      <c r="W17" s="2"/>
      <c r="X17" s="2">
        <f t="shared" si="2"/>
        <v>4.29</v>
      </c>
      <c r="Y17" s="2"/>
      <c r="Z17" s="19">
        <f t="shared" si="3"/>
        <v>0.80790960451977412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--285.33</f>
        <v>285.33</v>
      </c>
      <c r="E18" s="2"/>
      <c r="F18" s="19"/>
      <c r="G18" s="2"/>
      <c r="H18" s="2">
        <f>--647.84</f>
        <v>647.84</v>
      </c>
      <c r="I18" s="2"/>
      <c r="J18" s="19"/>
      <c r="K18" s="2"/>
      <c r="L18" s="2">
        <f t="shared" si="0"/>
        <v>-362.51000000000005</v>
      </c>
      <c r="M18" s="2"/>
      <c r="N18" s="19">
        <f t="shared" si="1"/>
        <v>-0.55956717708076076</v>
      </c>
      <c r="O18" s="11"/>
      <c r="P18" s="2">
        <f>--1112.72</f>
        <v>1112.72</v>
      </c>
      <c r="Q18" s="2"/>
      <c r="R18" s="19"/>
      <c r="S18" s="2"/>
      <c r="T18" s="2">
        <f>--2656.33</f>
        <v>2656.33</v>
      </c>
      <c r="U18" s="2"/>
      <c r="V18" s="19"/>
      <c r="W18" s="2"/>
      <c r="X18" s="2">
        <f t="shared" si="2"/>
        <v>-1543.61</v>
      </c>
      <c r="Y18" s="2"/>
      <c r="Z18" s="19">
        <f t="shared" si="3"/>
        <v>-0.58110626315254499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--189.13</f>
        <v>189.13</v>
      </c>
      <c r="E19" s="2"/>
      <c r="F19" s="19"/>
      <c r="G19" s="2"/>
      <c r="H19" s="2">
        <f>--327.3</f>
        <v>327.3</v>
      </c>
      <c r="I19" s="2"/>
      <c r="J19" s="19"/>
      <c r="K19" s="2"/>
      <c r="L19" s="2">
        <f t="shared" si="0"/>
        <v>-138.17000000000002</v>
      </c>
      <c r="M19" s="2"/>
      <c r="N19" s="19">
        <f t="shared" si="1"/>
        <v>-0.42215093186678893</v>
      </c>
      <c r="O19" s="11"/>
      <c r="P19" s="2">
        <f>--883.35</f>
        <v>883.35</v>
      </c>
      <c r="Q19" s="2"/>
      <c r="R19" s="19"/>
      <c r="S19" s="2"/>
      <c r="T19" s="2">
        <f>--1143.92</f>
        <v>1143.92</v>
      </c>
      <c r="U19" s="2"/>
      <c r="V19" s="19"/>
      <c r="W19" s="2"/>
      <c r="X19" s="2">
        <f t="shared" si="2"/>
        <v>-260.57000000000005</v>
      </c>
      <c r="Y19" s="2"/>
      <c r="Z19" s="19">
        <f t="shared" si="3"/>
        <v>-0.2277869081753969</v>
      </c>
    </row>
    <row r="20" spans="1:26" s="24" customFormat="1" hidden="1" outlineLevel="1" x14ac:dyDescent="0.25">
      <c r="A20" s="44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--5.49</f>
        <v>5.49</v>
      </c>
      <c r="E20" s="2"/>
      <c r="F20" s="19"/>
      <c r="G20" s="2"/>
      <c r="H20" s="2">
        <f>--10.44</f>
        <v>10.44</v>
      </c>
      <c r="I20" s="2"/>
      <c r="J20" s="19"/>
      <c r="K20" s="2"/>
      <c r="L20" s="2">
        <f t="shared" si="0"/>
        <v>-4.9499999999999993</v>
      </c>
      <c r="M20" s="2"/>
      <c r="N20" s="19">
        <f t="shared" si="1"/>
        <v>-0.47413793103448271</v>
      </c>
      <c r="O20" s="11"/>
      <c r="P20" s="2">
        <f>--231.16</f>
        <v>231.16</v>
      </c>
      <c r="Q20" s="2"/>
      <c r="R20" s="19"/>
      <c r="S20" s="2"/>
      <c r="T20" s="2">
        <f>--643.57</f>
        <v>643.57000000000005</v>
      </c>
      <c r="U20" s="2"/>
      <c r="V20" s="19"/>
      <c r="W20" s="2"/>
      <c r="X20" s="2">
        <f t="shared" si="2"/>
        <v>-412.41000000000008</v>
      </c>
      <c r="Y20" s="2"/>
      <c r="Z20" s="19">
        <f t="shared" si="3"/>
        <v>-0.64081607284366904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--277.82</f>
        <v>277.82</v>
      </c>
      <c r="E21" s="2"/>
      <c r="F21" s="19"/>
      <c r="G21" s="2"/>
      <c r="H21" s="2">
        <f>--289.77</f>
        <v>289.77</v>
      </c>
      <c r="I21" s="2"/>
      <c r="J21" s="19"/>
      <c r="K21" s="2"/>
      <c r="L21" s="2">
        <f t="shared" si="0"/>
        <v>-11.949999999999989</v>
      </c>
      <c r="M21" s="2"/>
      <c r="N21" s="19">
        <f t="shared" si="1"/>
        <v>-4.1239603823722229E-2</v>
      </c>
      <c r="O21" s="11"/>
      <c r="P21" s="2">
        <f>--2732.65</f>
        <v>2732.65</v>
      </c>
      <c r="Q21" s="2"/>
      <c r="R21" s="19"/>
      <c r="S21" s="2"/>
      <c r="T21" s="2">
        <f>--3719.55</f>
        <v>3719.55</v>
      </c>
      <c r="U21" s="2"/>
      <c r="V21" s="19"/>
      <c r="W21" s="2"/>
      <c r="X21" s="2">
        <f t="shared" si="2"/>
        <v>-986.90000000000009</v>
      </c>
      <c r="Y21" s="2"/>
      <c r="Z21" s="19">
        <f t="shared" si="3"/>
        <v>-0.26532779502896858</v>
      </c>
    </row>
    <row r="22" spans="1:26" s="24" customFormat="1" hidden="1" outlineLevel="1" x14ac:dyDescent="0.25">
      <c r="A22" s="44"/>
      <c r="B22" s="11" t="str">
        <f>CONCATENATE("          ", "4019", " - ", "TAXABLE SALES-BOOK RELATED")</f>
        <v xml:space="preserve">          4019 - TAXABLE SALES-BOOK RELATED</v>
      </c>
      <c r="C22" s="11"/>
      <c r="D22" s="2">
        <f>--3.98</f>
        <v>3.98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3.98</v>
      </c>
      <c r="M22" s="2"/>
      <c r="N22" s="19">
        <f t="shared" si="1"/>
        <v>0</v>
      </c>
      <c r="O22" s="11"/>
      <c r="P22" s="2">
        <f>--33.88</f>
        <v>33.880000000000003</v>
      </c>
      <c r="Q22" s="2"/>
      <c r="R22" s="19"/>
      <c r="S22" s="2"/>
      <c r="T22" s="2">
        <f>--54.48</f>
        <v>54.48</v>
      </c>
      <c r="U22" s="2"/>
      <c r="V22" s="19"/>
      <c r="W22" s="2"/>
      <c r="X22" s="2">
        <f t="shared" si="2"/>
        <v>-20.599999999999994</v>
      </c>
      <c r="Y22" s="2"/>
      <c r="Z22" s="19">
        <f t="shared" si="3"/>
        <v>-0.37812041116005868</v>
      </c>
    </row>
    <row r="23" spans="1:26" s="24" customFormat="1" hidden="1" outlineLevel="1" x14ac:dyDescent="0.25">
      <c r="A23" s="44"/>
      <c r="B23" s="11" t="str">
        <f>CONCATENATE("          ", "4025", " - ", "TAXABLE SALES-TEST FORMS")</f>
        <v xml:space="preserve">          4025 - TAXABLE SALES-TEST FORMS</v>
      </c>
      <c r="C23" s="11"/>
      <c r="D23" s="2">
        <f>--3212.68</f>
        <v>3212.68</v>
      </c>
      <c r="E23" s="2"/>
      <c r="F23" s="19"/>
      <c r="G23" s="2"/>
      <c r="H23" s="2">
        <f>--2857.44</f>
        <v>2857.44</v>
      </c>
      <c r="I23" s="2"/>
      <c r="J23" s="19"/>
      <c r="K23" s="2"/>
      <c r="L23" s="2">
        <f t="shared" si="0"/>
        <v>355.23999999999978</v>
      </c>
      <c r="M23" s="2"/>
      <c r="N23" s="19">
        <f t="shared" si="1"/>
        <v>0.12432107060865662</v>
      </c>
      <c r="O23" s="11"/>
      <c r="P23" s="2">
        <f>--29544.72</f>
        <v>29544.720000000001</v>
      </c>
      <c r="Q23" s="2"/>
      <c r="R23" s="19"/>
      <c r="S23" s="2"/>
      <c r="T23" s="2">
        <f>--28067.17</f>
        <v>28067.17</v>
      </c>
      <c r="U23" s="2"/>
      <c r="V23" s="19"/>
      <c r="W23" s="2"/>
      <c r="X23" s="2">
        <f t="shared" si="2"/>
        <v>1477.5500000000029</v>
      </c>
      <c r="Y23" s="2"/>
      <c r="Z23" s="19">
        <f t="shared" si="3"/>
        <v>5.2643355208238062E-2</v>
      </c>
    </row>
    <row r="24" spans="1:26" s="24" customFormat="1" hidden="1" outlineLevel="1" x14ac:dyDescent="0.25">
      <c r="A24" s="44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>--6609.41</f>
        <v>6609.41</v>
      </c>
      <c r="E24" s="2"/>
      <c r="F24" s="19"/>
      <c r="G24" s="2"/>
      <c r="H24" s="2">
        <f>--4736.5</f>
        <v>4736.5</v>
      </c>
      <c r="I24" s="2"/>
      <c r="J24" s="19"/>
      <c r="K24" s="2"/>
      <c r="L24" s="2">
        <f t="shared" si="0"/>
        <v>1872.9099999999999</v>
      </c>
      <c r="M24" s="2"/>
      <c r="N24" s="19">
        <f t="shared" si="1"/>
        <v>0.39542066927055841</v>
      </c>
      <c r="O24" s="11"/>
      <c r="P24" s="2">
        <f>--43673.95</f>
        <v>43673.95</v>
      </c>
      <c r="Q24" s="2"/>
      <c r="R24" s="19"/>
      <c r="S24" s="2"/>
      <c r="T24" s="2">
        <f>--37370.84</f>
        <v>37370.839999999997</v>
      </c>
      <c r="U24" s="2"/>
      <c r="V24" s="19"/>
      <c r="W24" s="2"/>
      <c r="X24" s="2">
        <f t="shared" si="2"/>
        <v>6303.1100000000006</v>
      </c>
      <c r="Y24" s="2"/>
      <c r="Z24" s="19">
        <f t="shared" si="3"/>
        <v>0.1686638566326045</v>
      </c>
    </row>
    <row r="25" spans="1:26" s="24" customFormat="1" hidden="1" outlineLevel="1" x14ac:dyDescent="0.25">
      <c r="A25" s="44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--10515.54</f>
        <v>10515.54</v>
      </c>
      <c r="E25" s="2"/>
      <c r="F25" s="19"/>
      <c r="G25" s="2"/>
      <c r="H25" s="2">
        <f>--9293.82</f>
        <v>9293.82</v>
      </c>
      <c r="I25" s="2"/>
      <c r="J25" s="19"/>
      <c r="K25" s="2"/>
      <c r="L25" s="2">
        <f t="shared" si="0"/>
        <v>1221.7200000000012</v>
      </c>
      <c r="M25" s="2"/>
      <c r="N25" s="19">
        <f t="shared" si="1"/>
        <v>0.13145509596699756</v>
      </c>
      <c r="O25" s="11"/>
      <c r="P25" s="2">
        <f>--154789.08</f>
        <v>154789.07999999999</v>
      </c>
      <c r="Q25" s="2"/>
      <c r="R25" s="19"/>
      <c r="S25" s="2"/>
      <c r="T25" s="2">
        <f>--142192.08</f>
        <v>142192.07999999999</v>
      </c>
      <c r="U25" s="2"/>
      <c r="V25" s="19"/>
      <c r="W25" s="2"/>
      <c r="X25" s="2">
        <f t="shared" si="2"/>
        <v>12597</v>
      </c>
      <c r="Y25" s="2"/>
      <c r="Z25" s="19">
        <f t="shared" si="3"/>
        <v>8.8591432096639985E-2</v>
      </c>
    </row>
    <row r="26" spans="1:26" s="24" customFormat="1" hidden="1" outlineLevel="1" x14ac:dyDescent="0.25">
      <c r="A26" s="44"/>
      <c r="B26" s="11" t="str">
        <f>CONCATENATE("          ", "4028", " - ", "TAXABLE SALES-ART/TECH")</f>
        <v xml:space="preserve">          4028 - TAXABLE SALES-ART/TECH</v>
      </c>
      <c r="C26" s="11"/>
      <c r="D26" s="2">
        <f>--29388.04</f>
        <v>29388.04</v>
      </c>
      <c r="E26" s="2"/>
      <c r="F26" s="19"/>
      <c r="G26" s="2"/>
      <c r="H26" s="2">
        <f>--23523.68</f>
        <v>23523.68</v>
      </c>
      <c r="I26" s="2"/>
      <c r="J26" s="19"/>
      <c r="K26" s="2"/>
      <c r="L26" s="2">
        <f t="shared" si="0"/>
        <v>5864.3600000000006</v>
      </c>
      <c r="M26" s="2"/>
      <c r="N26" s="19">
        <f t="shared" si="1"/>
        <v>0.24929602851254568</v>
      </c>
      <c r="O26" s="11"/>
      <c r="P26" s="2">
        <f>--175952.71</f>
        <v>175952.71</v>
      </c>
      <c r="Q26" s="2"/>
      <c r="R26" s="19"/>
      <c r="S26" s="2"/>
      <c r="T26" s="2">
        <f>--178368.48</f>
        <v>178368.48</v>
      </c>
      <c r="U26" s="2"/>
      <c r="V26" s="19"/>
      <c r="W26" s="2"/>
      <c r="X26" s="2">
        <f t="shared" si="2"/>
        <v>-2415.7700000000186</v>
      </c>
      <c r="Y26" s="2"/>
      <c r="Z26" s="19">
        <f t="shared" si="3"/>
        <v>-1.3543704582782892E-2</v>
      </c>
    </row>
    <row r="27" spans="1:26" s="24" customFormat="1" hidden="1" outlineLevel="1" x14ac:dyDescent="0.25">
      <c r="A27" s="44"/>
      <c r="B27" s="11" t="str">
        <f>CONCATENATE("          ", "4031", " - ", "TAXABLE SALES-FOOD")</f>
        <v xml:space="preserve">          4031 - TAXABLE SALES-FOOD</v>
      </c>
      <c r="C27" s="11"/>
      <c r="D27" s="2">
        <f>--58.77</f>
        <v>58.77</v>
      </c>
      <c r="E27" s="2"/>
      <c r="F27" s="19"/>
      <c r="G27" s="2"/>
      <c r="H27" s="2">
        <f>--42.39</f>
        <v>42.39</v>
      </c>
      <c r="I27" s="2"/>
      <c r="J27" s="19"/>
      <c r="K27" s="2"/>
      <c r="L27" s="2">
        <f t="shared" si="0"/>
        <v>16.380000000000003</v>
      </c>
      <c r="M27" s="2"/>
      <c r="N27" s="19">
        <f t="shared" si="1"/>
        <v>0.38641188959660305</v>
      </c>
      <c r="O27" s="11"/>
      <c r="P27" s="2">
        <f>--280.05</f>
        <v>280.05</v>
      </c>
      <c r="Q27" s="2"/>
      <c r="R27" s="19"/>
      <c r="S27" s="2"/>
      <c r="T27" s="2">
        <f>--288.29</f>
        <v>288.29000000000002</v>
      </c>
      <c r="U27" s="2"/>
      <c r="V27" s="19"/>
      <c r="W27" s="2"/>
      <c r="X27" s="2">
        <f t="shared" si="2"/>
        <v>-8.2400000000000091</v>
      </c>
      <c r="Y27" s="2"/>
      <c r="Z27" s="19">
        <f t="shared" si="3"/>
        <v>-2.8582330292413919E-2</v>
      </c>
    </row>
    <row r="28" spans="1:26" s="24" customFormat="1" hidden="1" outlineLevel="1" x14ac:dyDescent="0.25">
      <c r="A28" s="44"/>
      <c r="B28" s="11" t="str">
        <f>CONCATENATE("          ", "4032", " - ", "TAXABLE SALES-JUICE")</f>
        <v xml:space="preserve">          4032 - TAXABLE SALES-JUICE</v>
      </c>
      <c r="C28" s="11"/>
      <c r="D28" s="2">
        <f>--30308.52</f>
        <v>30308.52</v>
      </c>
      <c r="E28" s="2"/>
      <c r="F28" s="19"/>
      <c r="G28" s="2"/>
      <c r="H28" s="2">
        <f>--27815.24</f>
        <v>27815.24</v>
      </c>
      <c r="I28" s="2"/>
      <c r="J28" s="19"/>
      <c r="K28" s="2"/>
      <c r="L28" s="2">
        <f t="shared" si="0"/>
        <v>2493.2799999999988</v>
      </c>
      <c r="M28" s="2"/>
      <c r="N28" s="19">
        <f t="shared" si="1"/>
        <v>8.9637191697788651E-2</v>
      </c>
      <c r="O28" s="11"/>
      <c r="P28" s="2">
        <f>--162176.81</f>
        <v>162176.81</v>
      </c>
      <c r="Q28" s="2"/>
      <c r="R28" s="19"/>
      <c r="S28" s="2"/>
      <c r="T28" s="2">
        <f>--164269.96</f>
        <v>164269.96</v>
      </c>
      <c r="U28" s="2"/>
      <c r="V28" s="19"/>
      <c r="W28" s="2"/>
      <c r="X28" s="2">
        <f t="shared" si="2"/>
        <v>-2093.1499999999942</v>
      </c>
      <c r="Y28" s="2"/>
      <c r="Z28" s="19">
        <f t="shared" si="3"/>
        <v>-1.274213495882019E-2</v>
      </c>
    </row>
    <row r="29" spans="1:26" s="24" customFormat="1" hidden="1" outlineLevel="1" x14ac:dyDescent="0.25">
      <c r="A29" s="44"/>
      <c r="B29" s="11" t="str">
        <f>CONCATENATE("          ", "4033", " - ", "TAXABLE SALES-CANDY")</f>
        <v xml:space="preserve">          4033 - TAXABLE SALES-CANDY</v>
      </c>
      <c r="C29" s="11"/>
      <c r="D29" s="2">
        <f>--23.21</f>
        <v>23.21</v>
      </c>
      <c r="E29" s="2"/>
      <c r="F29" s="19"/>
      <c r="G29" s="2"/>
      <c r="H29" s="2">
        <f>--18.59</f>
        <v>18.59</v>
      </c>
      <c r="I29" s="2"/>
      <c r="J29" s="19"/>
      <c r="K29" s="2"/>
      <c r="L29" s="2">
        <f t="shared" si="0"/>
        <v>4.620000000000001</v>
      </c>
      <c r="M29" s="2"/>
      <c r="N29" s="19">
        <f t="shared" si="1"/>
        <v>0.24852071005917165</v>
      </c>
      <c r="O29" s="11"/>
      <c r="P29" s="2">
        <f>--108.61</f>
        <v>108.61</v>
      </c>
      <c r="Q29" s="2"/>
      <c r="R29" s="19"/>
      <c r="S29" s="2"/>
      <c r="T29" s="2">
        <f>--112.25</f>
        <v>112.25</v>
      </c>
      <c r="U29" s="2"/>
      <c r="V29" s="19"/>
      <c r="W29" s="2"/>
      <c r="X29" s="2">
        <f t="shared" si="2"/>
        <v>-3.6400000000000006</v>
      </c>
      <c r="Y29" s="2"/>
      <c r="Z29" s="19">
        <f t="shared" si="3"/>
        <v>-3.2427616926503346E-2</v>
      </c>
    </row>
    <row r="30" spans="1:26" s="24" customFormat="1" hidden="1" outlineLevel="1" x14ac:dyDescent="0.25">
      <c r="A30" s="44"/>
      <c r="B30" s="11" t="str">
        <f>CONCATENATE("          ", "4034", " - ", "TAXABLE SALES-SODA")</f>
        <v xml:space="preserve">          4034 - TAXABLE SALES-SODA</v>
      </c>
      <c r="C30" s="11"/>
      <c r="D30" s="2">
        <f>--1247.1</f>
        <v>1247.0999999999999</v>
      </c>
      <c r="E30" s="2"/>
      <c r="F30" s="19"/>
      <c r="G30" s="2"/>
      <c r="H30" s="2">
        <f>--862.83</f>
        <v>862.83</v>
      </c>
      <c r="I30" s="2"/>
      <c r="J30" s="19"/>
      <c r="K30" s="2"/>
      <c r="L30" s="2">
        <f t="shared" si="0"/>
        <v>384.26999999999987</v>
      </c>
      <c r="M30" s="2"/>
      <c r="N30" s="19">
        <f t="shared" si="1"/>
        <v>0.44536003616007769</v>
      </c>
      <c r="O30" s="11"/>
      <c r="P30" s="2">
        <f>--6643.42</f>
        <v>6643.42</v>
      </c>
      <c r="Q30" s="2"/>
      <c r="R30" s="19"/>
      <c r="S30" s="2"/>
      <c r="T30" s="2">
        <f>--4882.6</f>
        <v>4882.6000000000004</v>
      </c>
      <c r="U30" s="2"/>
      <c r="V30" s="19"/>
      <c r="W30" s="2"/>
      <c r="X30" s="2">
        <f t="shared" si="2"/>
        <v>1760.8199999999997</v>
      </c>
      <c r="Y30" s="2"/>
      <c r="Z30" s="19">
        <f t="shared" si="3"/>
        <v>0.36063163068856746</v>
      </c>
    </row>
    <row r="31" spans="1:26" s="24" customFormat="1" hidden="1" outlineLevel="1" x14ac:dyDescent="0.25">
      <c r="A31" s="44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>--269.24</f>
        <v>269.24</v>
      </c>
      <c r="E31" s="2"/>
      <c r="F31" s="19"/>
      <c r="G31" s="2"/>
      <c r="H31" s="2">
        <f>--245.92</f>
        <v>245.92</v>
      </c>
      <c r="I31" s="2"/>
      <c r="J31" s="19"/>
      <c r="K31" s="2"/>
      <c r="L31" s="2">
        <f t="shared" si="0"/>
        <v>23.320000000000022</v>
      </c>
      <c r="M31" s="2"/>
      <c r="N31" s="19">
        <f t="shared" si="1"/>
        <v>9.4827586206896644E-2</v>
      </c>
      <c r="O31" s="11"/>
      <c r="P31" s="2">
        <f>--1133.6</f>
        <v>1133.5999999999999</v>
      </c>
      <c r="Q31" s="2"/>
      <c r="R31" s="19"/>
      <c r="S31" s="2"/>
      <c r="T31" s="2">
        <f>--1389.93</f>
        <v>1389.93</v>
      </c>
      <c r="U31" s="2"/>
      <c r="V31" s="19"/>
      <c r="W31" s="2"/>
      <c r="X31" s="2">
        <f t="shared" si="2"/>
        <v>-256.33000000000015</v>
      </c>
      <c r="Y31" s="2"/>
      <c r="Z31" s="19">
        <f t="shared" si="3"/>
        <v>-0.18441935924830757</v>
      </c>
    </row>
    <row r="32" spans="1:26" s="24" customFormat="1" hidden="1" outlineLevel="1" x14ac:dyDescent="0.25">
      <c r="A32" s="44"/>
      <c r="B32" s="11" t="str">
        <f>CONCATENATE("          ", "4037", " - ", "TAXABLE SALES-WATER")</f>
        <v xml:space="preserve">          4037 - TAXABLE SALES-WATER</v>
      </c>
      <c r="C32" s="11"/>
      <c r="D32" s="2">
        <f>--74.6</f>
        <v>74.599999999999994</v>
      </c>
      <c r="E32" s="2"/>
      <c r="F32" s="19"/>
      <c r="G32" s="2"/>
      <c r="H32" s="2">
        <f>--78.77</f>
        <v>78.77</v>
      </c>
      <c r="I32" s="2"/>
      <c r="J32" s="19"/>
      <c r="K32" s="2"/>
      <c r="L32" s="2">
        <f t="shared" si="0"/>
        <v>-4.1700000000000017</v>
      </c>
      <c r="M32" s="2"/>
      <c r="N32" s="19">
        <f t="shared" si="1"/>
        <v>-5.2938936143201748E-2</v>
      </c>
      <c r="O32" s="11"/>
      <c r="P32" s="2">
        <f>--377.17</f>
        <v>377.17</v>
      </c>
      <c r="Q32" s="2"/>
      <c r="R32" s="19"/>
      <c r="S32" s="2"/>
      <c r="T32" s="2">
        <f>--381.85</f>
        <v>381.85</v>
      </c>
      <c r="U32" s="2"/>
      <c r="V32" s="19"/>
      <c r="W32" s="2"/>
      <c r="X32" s="2">
        <f t="shared" si="2"/>
        <v>-4.6800000000000068</v>
      </c>
      <c r="Y32" s="2"/>
      <c r="Z32" s="19">
        <f t="shared" si="3"/>
        <v>-1.2256121513683401E-2</v>
      </c>
    </row>
    <row r="33" spans="1:26" s="24" customFormat="1" hidden="1" outlineLevel="1" x14ac:dyDescent="0.25">
      <c r="A33" s="44"/>
      <c r="B33" s="11" t="str">
        <f>CONCATENATE("          ", "4040", " - ", "TAXABLE SALES-LOGO CLOTHING")</f>
        <v xml:space="preserve">          4040 - TAXABLE SALES-LOGO CLOTHING</v>
      </c>
      <c r="C33" s="11"/>
      <c r="D33" s="2">
        <f>--249896.49</f>
        <v>249896.49</v>
      </c>
      <c r="E33" s="2"/>
      <c r="F33" s="19"/>
      <c r="G33" s="2"/>
      <c r="H33" s="2">
        <f>--194328.13</f>
        <v>194328.13</v>
      </c>
      <c r="I33" s="2"/>
      <c r="J33" s="19"/>
      <c r="K33" s="2"/>
      <c r="L33" s="2">
        <f t="shared" si="0"/>
        <v>55568.359999999986</v>
      </c>
      <c r="M33" s="2"/>
      <c r="N33" s="19">
        <f t="shared" si="1"/>
        <v>0.28595118987662765</v>
      </c>
      <c r="O33" s="11"/>
      <c r="P33" s="2">
        <f>--1098136.94</f>
        <v>1098136.94</v>
      </c>
      <c r="Q33" s="2"/>
      <c r="R33" s="19"/>
      <c r="S33" s="2"/>
      <c r="T33" s="2">
        <f>--912468.46</f>
        <v>912468.46</v>
      </c>
      <c r="U33" s="2"/>
      <c r="V33" s="19"/>
      <c r="W33" s="2"/>
      <c r="X33" s="2">
        <f t="shared" si="2"/>
        <v>185668.47999999998</v>
      </c>
      <c r="Y33" s="2"/>
      <c r="Z33" s="19">
        <f t="shared" si="3"/>
        <v>0.20347933998726925</v>
      </c>
    </row>
    <row r="34" spans="1:26" s="24" customFormat="1" hidden="1" outlineLevel="1" x14ac:dyDescent="0.25">
      <c r="A34" s="44"/>
      <c r="B34" s="11" t="str">
        <f>CONCATENATE("          ", "4041", " - ", "TAXABLE SALES-LOGO GIFTS")</f>
        <v xml:space="preserve">          4041 - TAXABLE SALES-LOGO GIFTS</v>
      </c>
      <c r="C34" s="11"/>
      <c r="D34" s="2">
        <f>--29333.75</f>
        <v>29333.75</v>
      </c>
      <c r="E34" s="2"/>
      <c r="F34" s="19"/>
      <c r="G34" s="2"/>
      <c r="H34" s="2">
        <f>--30125.18</f>
        <v>30125.18</v>
      </c>
      <c r="I34" s="2"/>
      <c r="J34" s="19"/>
      <c r="K34" s="2"/>
      <c r="L34" s="2">
        <f t="shared" si="0"/>
        <v>-791.43000000000029</v>
      </c>
      <c r="M34" s="2"/>
      <c r="N34" s="19">
        <f t="shared" si="1"/>
        <v>-2.6271378295498991E-2</v>
      </c>
      <c r="O34" s="11"/>
      <c r="P34" s="2">
        <f>--258147.65</f>
        <v>258147.65</v>
      </c>
      <c r="Q34" s="2"/>
      <c r="R34" s="19"/>
      <c r="S34" s="2"/>
      <c r="T34" s="2">
        <f>--267149.71</f>
        <v>267149.71000000002</v>
      </c>
      <c r="U34" s="2"/>
      <c r="V34" s="19"/>
      <c r="W34" s="2"/>
      <c r="X34" s="2">
        <f t="shared" si="2"/>
        <v>-9002.0600000000268</v>
      </c>
      <c r="Y34" s="2"/>
      <c r="Z34" s="19">
        <f t="shared" si="3"/>
        <v>-3.3696686401044666E-2</v>
      </c>
    </row>
    <row r="35" spans="1:26" s="24" customFormat="1" hidden="1" outlineLevel="1" x14ac:dyDescent="0.25">
      <c r="A35" s="44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--30667.82</f>
        <v>30667.82</v>
      </c>
      <c r="E35" s="2"/>
      <c r="F35" s="19"/>
      <c r="G35" s="2"/>
      <c r="H35" s="2">
        <f>--20043.59</f>
        <v>20043.59</v>
      </c>
      <c r="I35" s="2"/>
      <c r="J35" s="19"/>
      <c r="K35" s="2"/>
      <c r="L35" s="2">
        <f t="shared" si="0"/>
        <v>10624.23</v>
      </c>
      <c r="M35" s="2"/>
      <c r="N35" s="19">
        <f t="shared" si="1"/>
        <v>0.53005624241964633</v>
      </c>
      <c r="O35" s="11"/>
      <c r="P35" s="2">
        <f>--154978.19</f>
        <v>154978.19</v>
      </c>
      <c r="Q35" s="2"/>
      <c r="R35" s="19"/>
      <c r="S35" s="2"/>
      <c r="T35" s="2">
        <f>--120570.83</f>
        <v>120570.83</v>
      </c>
      <c r="U35" s="2"/>
      <c r="V35" s="19"/>
      <c r="W35" s="2"/>
      <c r="X35" s="2">
        <f t="shared" si="2"/>
        <v>34407.360000000001</v>
      </c>
      <c r="Y35" s="2"/>
      <c r="Z35" s="19">
        <f t="shared" si="3"/>
        <v>0.28537051623514575</v>
      </c>
    </row>
    <row r="36" spans="1:26" s="24" customFormat="1" hidden="1" outlineLevel="1" x14ac:dyDescent="0.25">
      <c r="A36" s="44"/>
      <c r="B36" s="11" t="str">
        <f>CONCATENATE("          ", "4043", " - ", "TAXABLE SALES-CARDS")</f>
        <v xml:space="preserve">          4043 - TAXABLE SALES-CARDS</v>
      </c>
      <c r="C36" s="11"/>
      <c r="D36" s="2">
        <f>--4302.17</f>
        <v>4302.17</v>
      </c>
      <c r="E36" s="2"/>
      <c r="F36" s="19"/>
      <c r="G36" s="2"/>
      <c r="H36" s="2">
        <f>--235.27</f>
        <v>235.27</v>
      </c>
      <c r="I36" s="2"/>
      <c r="J36" s="19"/>
      <c r="K36" s="2"/>
      <c r="L36" s="2">
        <f t="shared" si="0"/>
        <v>4066.9</v>
      </c>
      <c r="M36" s="2"/>
      <c r="N36" s="19">
        <f t="shared" si="1"/>
        <v>17.286096824924556</v>
      </c>
      <c r="O36" s="11"/>
      <c r="P36" s="2">
        <f>--4823.02</f>
        <v>4823.0200000000004</v>
      </c>
      <c r="Q36" s="2"/>
      <c r="R36" s="19"/>
      <c r="S36" s="2"/>
      <c r="T36" s="2">
        <f>--1633.08</f>
        <v>1633.08</v>
      </c>
      <c r="U36" s="2"/>
      <c r="V36" s="19"/>
      <c r="W36" s="2"/>
      <c r="X36" s="2">
        <f t="shared" si="2"/>
        <v>3189.9400000000005</v>
      </c>
      <c r="Y36" s="2"/>
      <c r="Z36" s="19">
        <f t="shared" si="3"/>
        <v>1.9533274548705517</v>
      </c>
    </row>
    <row r="37" spans="1:26" s="24" customFormat="1" hidden="1" outlineLevel="1" x14ac:dyDescent="0.25">
      <c r="A37" s="44"/>
      <c r="B37" s="11" t="str">
        <f>CONCATENATE("          ", "4044", " - ", "TAXABLE SALES-ACCESSORIES")</f>
        <v xml:space="preserve">          4044 - TAXABLE SALES-ACCESSORIES</v>
      </c>
      <c r="C37" s="11"/>
      <c r="D37" s="2">
        <f>--8230.63</f>
        <v>8230.6299999999992</v>
      </c>
      <c r="E37" s="2"/>
      <c r="F37" s="19"/>
      <c r="G37" s="2"/>
      <c r="H37" s="2">
        <f>--4224.97</f>
        <v>4224.97</v>
      </c>
      <c r="I37" s="2"/>
      <c r="J37" s="19"/>
      <c r="K37" s="2"/>
      <c r="L37" s="2">
        <f t="shared" si="0"/>
        <v>4005.6599999999989</v>
      </c>
      <c r="M37" s="2"/>
      <c r="N37" s="19">
        <f t="shared" si="1"/>
        <v>0.94809193911436029</v>
      </c>
      <c r="O37" s="11"/>
      <c r="P37" s="2">
        <f>--41297.78</f>
        <v>41297.78</v>
      </c>
      <c r="Q37" s="2"/>
      <c r="R37" s="19"/>
      <c r="S37" s="2"/>
      <c r="T37" s="2">
        <f>--39724.95</f>
        <v>39724.949999999997</v>
      </c>
      <c r="U37" s="2"/>
      <c r="V37" s="19"/>
      <c r="W37" s="2"/>
      <c r="X37" s="2">
        <f t="shared" si="2"/>
        <v>1572.8300000000017</v>
      </c>
      <c r="Y37" s="2"/>
      <c r="Z37" s="19">
        <f t="shared" si="3"/>
        <v>3.9593001375709772E-2</v>
      </c>
    </row>
    <row r="38" spans="1:26" s="24" customFormat="1" hidden="1" outlineLevel="1" x14ac:dyDescent="0.25">
      <c r="A38" s="44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--18665.34</f>
        <v>18665.34</v>
      </c>
      <c r="E38" s="2"/>
      <c r="F38" s="19"/>
      <c r="G38" s="2"/>
      <c r="H38" s="2">
        <f>--4968.26</f>
        <v>4968.26</v>
      </c>
      <c r="I38" s="2"/>
      <c r="J38" s="19"/>
      <c r="K38" s="2"/>
      <c r="L38" s="2">
        <f t="shared" si="0"/>
        <v>13697.08</v>
      </c>
      <c r="M38" s="2"/>
      <c r="N38" s="19">
        <f t="shared" si="1"/>
        <v>2.7569169085353824</v>
      </c>
      <c r="O38" s="11"/>
      <c r="P38" s="2">
        <f>--54518.44</f>
        <v>54518.44</v>
      </c>
      <c r="Q38" s="2"/>
      <c r="R38" s="19"/>
      <c r="S38" s="2"/>
      <c r="T38" s="2">
        <f>--63163.72</f>
        <v>63163.72</v>
      </c>
      <c r="U38" s="2"/>
      <c r="V38" s="19"/>
      <c r="W38" s="2"/>
      <c r="X38" s="2">
        <f t="shared" si="2"/>
        <v>-8645.2799999999988</v>
      </c>
      <c r="Y38" s="2"/>
      <c r="Z38" s="19">
        <f t="shared" si="3"/>
        <v>-0.13687097593365302</v>
      </c>
    </row>
    <row r="39" spans="1:26" s="24" customFormat="1" hidden="1" outlineLevel="1" x14ac:dyDescent="0.25">
      <c r="A39" s="44"/>
      <c r="B39" s="11" t="str">
        <f>CONCATENATE("          ", "4047", " - ", "TAXABLE SALES-MISC")</f>
        <v xml:space="preserve">          4047 - TAXABLE SALES-MISC</v>
      </c>
      <c r="C39" s="11"/>
      <c r="D39" s="2">
        <f>--304.55</f>
        <v>304.55</v>
      </c>
      <c r="E39" s="2"/>
      <c r="F39" s="19"/>
      <c r="G39" s="2"/>
      <c r="H39" s="2">
        <f>--427.56</f>
        <v>427.56</v>
      </c>
      <c r="I39" s="2"/>
      <c r="J39" s="19"/>
      <c r="K39" s="2"/>
      <c r="L39" s="2">
        <f t="shared" si="0"/>
        <v>-123.00999999999999</v>
      </c>
      <c r="M39" s="2"/>
      <c r="N39" s="19">
        <f t="shared" si="1"/>
        <v>-0.28770231078679015</v>
      </c>
      <c r="O39" s="11"/>
      <c r="P39" s="2">
        <f>--1678.55</f>
        <v>1678.55</v>
      </c>
      <c r="Q39" s="2"/>
      <c r="R39" s="19"/>
      <c r="S39" s="2"/>
      <c r="T39" s="2">
        <f>--1609.41</f>
        <v>1609.41</v>
      </c>
      <c r="U39" s="2"/>
      <c r="V39" s="19"/>
      <c r="W39" s="2"/>
      <c r="X39" s="2">
        <f t="shared" si="2"/>
        <v>69.139999999999873</v>
      </c>
      <c r="Y39" s="2"/>
      <c r="Z39" s="19">
        <f t="shared" si="3"/>
        <v>4.2959842426727728E-2</v>
      </c>
    </row>
    <row r="40" spans="1:26" s="24" customFormat="1" hidden="1" outlineLevel="1" x14ac:dyDescent="0.25">
      <c r="A40" s="44"/>
      <c r="B40" s="11" t="str">
        <f>CONCATENATE("          ", "4051", " - ", "TAXABLE SALES-FOOD")</f>
        <v xml:space="preserve">          4051 - TAXABLE SALES-FOOD</v>
      </c>
      <c r="C40" s="11"/>
      <c r="D40" s="2">
        <f>--74968.58</f>
        <v>74968.58</v>
      </c>
      <c r="E40" s="2"/>
      <c r="F40" s="19"/>
      <c r="G40" s="2"/>
      <c r="H40" s="2">
        <f>--76792.08</f>
        <v>76792.08</v>
      </c>
      <c r="I40" s="2"/>
      <c r="J40" s="19"/>
      <c r="K40" s="2"/>
      <c r="L40" s="2">
        <f t="shared" si="0"/>
        <v>-1823.5</v>
      </c>
      <c r="M40" s="2"/>
      <c r="N40" s="19">
        <f t="shared" si="1"/>
        <v>-2.3745938383229102E-2</v>
      </c>
      <c r="O40" s="11"/>
      <c r="P40" s="2">
        <f>--375004.52</f>
        <v>375004.52</v>
      </c>
      <c r="Q40" s="2"/>
      <c r="R40" s="19"/>
      <c r="S40" s="2"/>
      <c r="T40" s="2">
        <f>--398369.82</f>
        <v>398369.82</v>
      </c>
      <c r="U40" s="2"/>
      <c r="V40" s="19"/>
      <c r="W40" s="2"/>
      <c r="X40" s="2">
        <f t="shared" si="2"/>
        <v>-23365.299999999988</v>
      </c>
      <c r="Y40" s="2"/>
      <c r="Z40" s="19">
        <f t="shared" si="3"/>
        <v>-5.8652284452672614E-2</v>
      </c>
    </row>
    <row r="41" spans="1:26" s="24" customFormat="1" hidden="1" outlineLevel="1" x14ac:dyDescent="0.25">
      <c r="A41" s="44"/>
      <c r="B41" s="11" t="str">
        <f>CONCATENATE("          ", "4052", " - ", "TAXABLE SALES-FOOD")</f>
        <v xml:space="preserve">          4052 - TAXABLE SALES-FOOD</v>
      </c>
      <c r="C41" s="11"/>
      <c r="D41" s="2">
        <f>--85023.13</f>
        <v>85023.13</v>
      </c>
      <c r="E41" s="2"/>
      <c r="F41" s="19"/>
      <c r="G41" s="2"/>
      <c r="H41" s="2">
        <f>--110319.13</f>
        <v>110319.13</v>
      </c>
      <c r="I41" s="2"/>
      <c r="J41" s="19"/>
      <c r="K41" s="2"/>
      <c r="L41" s="2">
        <f t="shared" si="0"/>
        <v>-25296</v>
      </c>
      <c r="M41" s="2"/>
      <c r="N41" s="19">
        <f t="shared" si="1"/>
        <v>-0.22929840001457588</v>
      </c>
      <c r="O41" s="11"/>
      <c r="P41" s="2">
        <f>--453845.53</f>
        <v>453845.53</v>
      </c>
      <c r="Q41" s="2"/>
      <c r="R41" s="19"/>
      <c r="S41" s="2"/>
      <c r="T41" s="2">
        <f>--568867.41</f>
        <v>568867.41</v>
      </c>
      <c r="U41" s="2"/>
      <c r="V41" s="19"/>
      <c r="W41" s="2"/>
      <c r="X41" s="2">
        <f t="shared" si="2"/>
        <v>-115021.88</v>
      </c>
      <c r="Y41" s="2"/>
      <c r="Z41" s="19">
        <f t="shared" si="3"/>
        <v>-0.20219453246583416</v>
      </c>
    </row>
    <row r="42" spans="1:26" s="24" customFormat="1" hidden="1" outlineLevel="1" x14ac:dyDescent="0.25">
      <c r="A42" s="44"/>
      <c r="B42" s="11" t="str">
        <f>CONCATENATE("          ", "4053", " - ", "TAXABLE SALES-FOOD")</f>
        <v xml:space="preserve">          4053 - TAXABLE SALES-FOOD</v>
      </c>
      <c r="C42" s="11"/>
      <c r="D42" s="2">
        <f>--20292.53</f>
        <v>20292.53</v>
      </c>
      <c r="E42" s="2"/>
      <c r="F42" s="19"/>
      <c r="G42" s="2"/>
      <c r="H42" s="2">
        <f>--9040.97</f>
        <v>9040.9699999999993</v>
      </c>
      <c r="I42" s="2"/>
      <c r="J42" s="19"/>
      <c r="K42" s="2"/>
      <c r="L42" s="2">
        <f t="shared" si="0"/>
        <v>11251.56</v>
      </c>
      <c r="M42" s="2"/>
      <c r="N42" s="19">
        <f t="shared" si="1"/>
        <v>1.2445080561045994</v>
      </c>
      <c r="O42" s="11"/>
      <c r="P42" s="2">
        <f>--90170.93</f>
        <v>90170.93</v>
      </c>
      <c r="Q42" s="2"/>
      <c r="R42" s="19"/>
      <c r="S42" s="2"/>
      <c r="T42" s="2">
        <f>--65118.49</f>
        <v>65118.49</v>
      </c>
      <c r="U42" s="2"/>
      <c r="V42" s="19"/>
      <c r="W42" s="2"/>
      <c r="X42" s="2">
        <f t="shared" si="2"/>
        <v>25052.439999999995</v>
      </c>
      <c r="Y42" s="2"/>
      <c r="Z42" s="19">
        <f t="shared" si="3"/>
        <v>0.38472083735356877</v>
      </c>
    </row>
    <row r="43" spans="1:26" s="24" customFormat="1" hidden="1" outlineLevel="1" x14ac:dyDescent="0.25">
      <c r="A43" s="44"/>
      <c r="B43" s="11" t="str">
        <f>CONCATENATE("          ", "4055", " - ", "TAXABLE SALES-FOOD")</f>
        <v xml:space="preserve">          4055 - TAXABLE SALES-FOOD</v>
      </c>
      <c r="C43" s="11"/>
      <c r="D43" s="2">
        <f>--49269.15</f>
        <v>49269.15</v>
      </c>
      <c r="E43" s="2"/>
      <c r="F43" s="19"/>
      <c r="G43" s="2"/>
      <c r="H43" s="2">
        <f>--50088.16</f>
        <v>50088.160000000003</v>
      </c>
      <c r="I43" s="2"/>
      <c r="J43" s="19"/>
      <c r="K43" s="2"/>
      <c r="L43" s="2">
        <f t="shared" si="0"/>
        <v>-819.01000000000204</v>
      </c>
      <c r="M43" s="2"/>
      <c r="N43" s="19">
        <f t="shared" si="1"/>
        <v>-1.6351369265710739E-2</v>
      </c>
      <c r="O43" s="11"/>
      <c r="P43" s="2">
        <f>--235911.89</f>
        <v>235911.89</v>
      </c>
      <c r="Q43" s="2"/>
      <c r="R43" s="19"/>
      <c r="S43" s="2"/>
      <c r="T43" s="2">
        <f>--268201.32</f>
        <v>268201.32</v>
      </c>
      <c r="U43" s="2"/>
      <c r="V43" s="19"/>
      <c r="W43" s="2"/>
      <c r="X43" s="2">
        <f t="shared" si="2"/>
        <v>-32289.429999999993</v>
      </c>
      <c r="Y43" s="2"/>
      <c r="Z43" s="19">
        <f t="shared" si="3"/>
        <v>-0.12039250962672365</v>
      </c>
    </row>
    <row r="44" spans="1:26" s="24" customFormat="1" hidden="1" outlineLevel="1" x14ac:dyDescent="0.25">
      <c r="A44" s="44"/>
      <c r="B44" s="11" t="str">
        <f>CONCATENATE("          ", "4057", " - ", "TAXABLE SALES-FOOD")</f>
        <v xml:space="preserve">          4057 - TAXABLE SALES-FOOD</v>
      </c>
      <c r="C44" s="11"/>
      <c r="D44" s="2">
        <f>0</f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0</f>
        <v>0</v>
      </c>
      <c r="Q44" s="2"/>
      <c r="R44" s="19"/>
      <c r="S44" s="2"/>
      <c r="T44" s="2">
        <f>--11506.08</f>
        <v>11506.08</v>
      </c>
      <c r="U44" s="2"/>
      <c r="V44" s="19"/>
      <c r="W44" s="2"/>
      <c r="X44" s="2">
        <f t="shared" si="2"/>
        <v>-11506.08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>--14656.48</f>
        <v>14656.48</v>
      </c>
      <c r="E45" s="2"/>
      <c r="F45" s="19"/>
      <c r="G45" s="2"/>
      <c r="H45" s="2">
        <f>--15410.23</f>
        <v>15410.23</v>
      </c>
      <c r="I45" s="2"/>
      <c r="J45" s="19"/>
      <c r="K45" s="2"/>
      <c r="L45" s="2">
        <f t="shared" si="0"/>
        <v>-753.75</v>
      </c>
      <c r="M45" s="2"/>
      <c r="N45" s="19">
        <f t="shared" si="1"/>
        <v>-4.8912313443731863E-2</v>
      </c>
      <c r="O45" s="11"/>
      <c r="P45" s="2">
        <f>--78802.41</f>
        <v>78802.41</v>
      </c>
      <c r="Q45" s="2"/>
      <c r="R45" s="19"/>
      <c r="S45" s="2"/>
      <c r="T45" s="2">
        <f>--108999.15</f>
        <v>108999.15</v>
      </c>
      <c r="U45" s="2"/>
      <c r="V45" s="19"/>
      <c r="W45" s="2"/>
      <c r="X45" s="2">
        <f t="shared" si="2"/>
        <v>-30196.739999999991</v>
      </c>
      <c r="Y45" s="2"/>
      <c r="Z45" s="19">
        <f t="shared" si="3"/>
        <v>-0.27703647230276557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--16554.53</f>
        <v>16554.53</v>
      </c>
      <c r="E46" s="2"/>
      <c r="F46" s="19"/>
      <c r="G46" s="2"/>
      <c r="H46" s="2">
        <f>--10979.71</f>
        <v>10979.71</v>
      </c>
      <c r="I46" s="2"/>
      <c r="J46" s="19"/>
      <c r="K46" s="2"/>
      <c r="L46" s="2">
        <f t="shared" si="0"/>
        <v>5574.82</v>
      </c>
      <c r="M46" s="2"/>
      <c r="N46" s="19">
        <f t="shared" si="1"/>
        <v>0.50773836467447686</v>
      </c>
      <c r="O46" s="11"/>
      <c r="P46" s="2">
        <f>--231804.25</f>
        <v>231804.25</v>
      </c>
      <c r="Q46" s="2"/>
      <c r="R46" s="19"/>
      <c r="S46" s="2"/>
      <c r="T46" s="2">
        <f>--177439.09</f>
        <v>177439.09</v>
      </c>
      <c r="U46" s="2"/>
      <c r="V46" s="19"/>
      <c r="W46" s="2"/>
      <c r="X46" s="2">
        <f t="shared" si="2"/>
        <v>54365.16</v>
      </c>
      <c r="Y46" s="2"/>
      <c r="Z46" s="19">
        <f t="shared" si="3"/>
        <v>0.30638773000921049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--134369.21</f>
        <v>134369.21</v>
      </c>
      <c r="E47" s="2"/>
      <c r="F47" s="19"/>
      <c r="G47" s="2"/>
      <c r="H47" s="2">
        <f>--123555.45</f>
        <v>123555.45</v>
      </c>
      <c r="I47" s="2"/>
      <c r="J47" s="19"/>
      <c r="K47" s="2"/>
      <c r="L47" s="2">
        <f t="shared" si="0"/>
        <v>10813.759999999995</v>
      </c>
      <c r="M47" s="2"/>
      <c r="N47" s="19">
        <f t="shared" si="1"/>
        <v>8.7521513619998104E-2</v>
      </c>
      <c r="O47" s="11"/>
      <c r="P47" s="2">
        <f>--1282930.84</f>
        <v>1282930.8400000001</v>
      </c>
      <c r="Q47" s="2"/>
      <c r="R47" s="19"/>
      <c r="S47" s="2"/>
      <c r="T47" s="2">
        <f>--960445.91</f>
        <v>960445.91</v>
      </c>
      <c r="U47" s="2"/>
      <c r="V47" s="19"/>
      <c r="W47" s="2"/>
      <c r="X47" s="2">
        <f t="shared" si="2"/>
        <v>322484.93000000005</v>
      </c>
      <c r="Y47" s="2"/>
      <c r="Z47" s="19">
        <f t="shared" si="3"/>
        <v>0.33576584234712398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--10037.71</f>
        <v>10037.709999999999</v>
      </c>
      <c r="E48" s="2"/>
      <c r="F48" s="19"/>
      <c r="G48" s="2"/>
      <c r="H48" s="2">
        <f>--16032.37</f>
        <v>16032.37</v>
      </c>
      <c r="I48" s="2"/>
      <c r="J48" s="19"/>
      <c r="K48" s="2"/>
      <c r="L48" s="2">
        <f t="shared" si="0"/>
        <v>-5994.6600000000017</v>
      </c>
      <c r="M48" s="2"/>
      <c r="N48" s="19">
        <f t="shared" si="1"/>
        <v>-0.37390978376871303</v>
      </c>
      <c r="O48" s="11"/>
      <c r="P48" s="2">
        <f>--64073.62</f>
        <v>64073.62</v>
      </c>
      <c r="Q48" s="2"/>
      <c r="R48" s="19"/>
      <c r="S48" s="2"/>
      <c r="T48" s="2">
        <f>--69719.33</f>
        <v>69719.33</v>
      </c>
      <c r="U48" s="2"/>
      <c r="V48" s="19"/>
      <c r="W48" s="2"/>
      <c r="X48" s="2">
        <f t="shared" si="2"/>
        <v>-5645.7099999999991</v>
      </c>
      <c r="Y48" s="2"/>
      <c r="Z48" s="19">
        <f t="shared" si="3"/>
        <v>-8.097768581539723E-2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 t="shared" ref="D49:D50" si="4">0</f>
        <v>0</v>
      </c>
      <c r="E49" s="2"/>
      <c r="F49" s="19"/>
      <c r="G49" s="2"/>
      <c r="H49" s="2">
        <f>--129</f>
        <v>129</v>
      </c>
      <c r="I49" s="2"/>
      <c r="J49" s="19"/>
      <c r="K49" s="2"/>
      <c r="L49" s="2">
        <f t="shared" si="0"/>
        <v>-129</v>
      </c>
      <c r="M49" s="2"/>
      <c r="N49" s="19">
        <f t="shared" si="1"/>
        <v>-1</v>
      </c>
      <c r="O49" s="11"/>
      <c r="P49" s="2">
        <f>--129</f>
        <v>129</v>
      </c>
      <c r="Q49" s="2"/>
      <c r="R49" s="19"/>
      <c r="S49" s="2"/>
      <c r="T49" s="2">
        <f>--407.99</f>
        <v>407.99</v>
      </c>
      <c r="U49" s="2"/>
      <c r="V49" s="19"/>
      <c r="W49" s="2"/>
      <c r="X49" s="2">
        <f t="shared" si="2"/>
        <v>-278.99</v>
      </c>
      <c r="Y49" s="2"/>
      <c r="Z49" s="19">
        <f t="shared" si="3"/>
        <v>-0.68381577979852448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 t="shared" si="4"/>
        <v>0</v>
      </c>
      <c r="E50" s="2"/>
      <c r="F50" s="19"/>
      <c r="G50" s="2"/>
      <c r="H50" s="2">
        <f>--836</f>
        <v>836</v>
      </c>
      <c r="I50" s="2"/>
      <c r="J50" s="19"/>
      <c r="K50" s="2"/>
      <c r="L50" s="2">
        <f t="shared" si="0"/>
        <v>-836</v>
      </c>
      <c r="M50" s="2"/>
      <c r="N50" s="19">
        <f t="shared" si="1"/>
        <v>-1</v>
      </c>
      <c r="O50" s="11"/>
      <c r="P50" s="2">
        <f>--4407.94</f>
        <v>4407.9399999999996</v>
      </c>
      <c r="Q50" s="2"/>
      <c r="R50" s="19"/>
      <c r="S50" s="2"/>
      <c r="T50" s="2">
        <f>--9438.84</f>
        <v>9438.84</v>
      </c>
      <c r="U50" s="2"/>
      <c r="V50" s="19"/>
      <c r="W50" s="2"/>
      <c r="X50" s="2">
        <f t="shared" si="2"/>
        <v>-5030.9000000000005</v>
      </c>
      <c r="Y50" s="2"/>
      <c r="Z50" s="19">
        <f t="shared" si="3"/>
        <v>-0.53299981777421812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--3874.61</f>
        <v>3874.61</v>
      </c>
      <c r="E51" s="2"/>
      <c r="F51" s="19"/>
      <c r="G51" s="2"/>
      <c r="H51" s="2">
        <f>--4390.17</f>
        <v>4390.17</v>
      </c>
      <c r="I51" s="2"/>
      <c r="J51" s="19"/>
      <c r="K51" s="2"/>
      <c r="L51" s="2">
        <f t="shared" si="0"/>
        <v>-515.55999999999995</v>
      </c>
      <c r="M51" s="2"/>
      <c r="N51" s="19">
        <f t="shared" si="1"/>
        <v>-0.11743508793509133</v>
      </c>
      <c r="O51" s="11"/>
      <c r="P51" s="2">
        <f>--31007.7</f>
        <v>31007.7</v>
      </c>
      <c r="Q51" s="2"/>
      <c r="R51" s="19"/>
      <c r="S51" s="2"/>
      <c r="T51" s="2">
        <f>--36839.66</f>
        <v>36839.660000000003</v>
      </c>
      <c r="U51" s="2"/>
      <c r="V51" s="19"/>
      <c r="W51" s="2"/>
      <c r="X51" s="2">
        <f t="shared" si="2"/>
        <v>-5831.9600000000028</v>
      </c>
      <c r="Y51" s="2"/>
      <c r="Z51" s="19">
        <f t="shared" si="3"/>
        <v>-0.15830656417567376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>--118.97</f>
        <v>118.97</v>
      </c>
      <c r="E52" s="2"/>
      <c r="F52" s="19"/>
      <c r="G52" s="2"/>
      <c r="H52" s="2">
        <f>--365.97</f>
        <v>365.97</v>
      </c>
      <c r="I52" s="2"/>
      <c r="J52" s="19"/>
      <c r="K52" s="2"/>
      <c r="L52" s="2">
        <f t="shared" si="0"/>
        <v>-247.00000000000003</v>
      </c>
      <c r="M52" s="2"/>
      <c r="N52" s="19">
        <f t="shared" si="1"/>
        <v>-0.67491870918381291</v>
      </c>
      <c r="O52" s="11"/>
      <c r="P52" s="2">
        <f>--936.91</f>
        <v>936.91</v>
      </c>
      <c r="Q52" s="2"/>
      <c r="R52" s="19"/>
      <c r="S52" s="2"/>
      <c r="T52" s="2">
        <f>--1279.86</f>
        <v>1279.8599999999999</v>
      </c>
      <c r="U52" s="2"/>
      <c r="V52" s="19"/>
      <c r="W52" s="2"/>
      <c r="X52" s="2">
        <f t="shared" si="2"/>
        <v>-342.94999999999993</v>
      </c>
      <c r="Y52" s="2"/>
      <c r="Z52" s="19">
        <f t="shared" si="3"/>
        <v>-0.26795899551513441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>--2389.54</f>
        <v>2389.54</v>
      </c>
      <c r="E53" s="2"/>
      <c r="F53" s="19"/>
      <c r="G53" s="2"/>
      <c r="H53" s="2">
        <f>--2259.21</f>
        <v>2259.21</v>
      </c>
      <c r="I53" s="2"/>
      <c r="J53" s="19"/>
      <c r="K53" s="2"/>
      <c r="L53" s="2">
        <f t="shared" si="0"/>
        <v>130.32999999999993</v>
      </c>
      <c r="M53" s="2"/>
      <c r="N53" s="19">
        <f t="shared" si="1"/>
        <v>5.768830697456187E-2</v>
      </c>
      <c r="O53" s="11"/>
      <c r="P53" s="2">
        <f>--7440.62</f>
        <v>7440.62</v>
      </c>
      <c r="Q53" s="2"/>
      <c r="R53" s="19"/>
      <c r="S53" s="2"/>
      <c r="T53" s="2">
        <f>--6626.46</f>
        <v>6626.46</v>
      </c>
      <c r="U53" s="2"/>
      <c r="V53" s="19"/>
      <c r="W53" s="2"/>
      <c r="X53" s="2">
        <f t="shared" si="2"/>
        <v>814.15999999999985</v>
      </c>
      <c r="Y53" s="2"/>
      <c r="Z53" s="19">
        <f t="shared" si="3"/>
        <v>0.12286499880780988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>--31.83</f>
        <v>31.83</v>
      </c>
      <c r="E54" s="2"/>
      <c r="F54" s="19"/>
      <c r="G54" s="2"/>
      <c r="H54" s="2">
        <f>--138.7</f>
        <v>138.69999999999999</v>
      </c>
      <c r="I54" s="2"/>
      <c r="J54" s="19"/>
      <c r="K54" s="2"/>
      <c r="L54" s="2">
        <f t="shared" si="0"/>
        <v>-106.86999999999999</v>
      </c>
      <c r="M54" s="2"/>
      <c r="N54" s="19">
        <f t="shared" si="1"/>
        <v>-0.77051189617880311</v>
      </c>
      <c r="O54" s="11"/>
      <c r="P54" s="2">
        <f>--276.44</f>
        <v>276.44</v>
      </c>
      <c r="Q54" s="2"/>
      <c r="R54" s="19"/>
      <c r="S54" s="2"/>
      <c r="T54" s="2">
        <f>--1237.64</f>
        <v>1237.6400000000001</v>
      </c>
      <c r="U54" s="2"/>
      <c r="V54" s="19"/>
      <c r="W54" s="2"/>
      <c r="X54" s="2">
        <f t="shared" si="2"/>
        <v>-961.2</v>
      </c>
      <c r="Y54" s="2"/>
      <c r="Z54" s="19">
        <f t="shared" si="3"/>
        <v>-0.77663941049093432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--22773.89</f>
        <v>22773.89</v>
      </c>
      <c r="E55" s="2"/>
      <c r="F55" s="19"/>
      <c r="G55" s="2"/>
      <c r="H55" s="2">
        <f>--39003.98</f>
        <v>39003.980000000003</v>
      </c>
      <c r="I55" s="2"/>
      <c r="J55" s="19"/>
      <c r="K55" s="2"/>
      <c r="L55" s="2">
        <f t="shared" si="0"/>
        <v>-16230.090000000004</v>
      </c>
      <c r="M55" s="2"/>
      <c r="N55" s="19">
        <f t="shared" si="1"/>
        <v>-0.41611368891072148</v>
      </c>
      <c r="O55" s="11"/>
      <c r="P55" s="2">
        <f>--481291.56</f>
        <v>481291.56</v>
      </c>
      <c r="Q55" s="2"/>
      <c r="R55" s="19"/>
      <c r="S55" s="2"/>
      <c r="T55" s="2">
        <f>--551550.27</f>
        <v>551550.27</v>
      </c>
      <c r="U55" s="2"/>
      <c r="V55" s="19"/>
      <c r="W55" s="2"/>
      <c r="X55" s="2">
        <f t="shared" si="2"/>
        <v>-70258.710000000021</v>
      </c>
      <c r="Y55" s="2"/>
      <c r="Z55" s="19">
        <f t="shared" si="3"/>
        <v>-0.12738405512882808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--349.66</f>
        <v>349.66</v>
      </c>
      <c r="E56" s="2"/>
      <c r="F56" s="19"/>
      <c r="G56" s="2"/>
      <c r="H56" s="2">
        <f>--643.05</f>
        <v>643.04999999999995</v>
      </c>
      <c r="I56" s="2"/>
      <c r="J56" s="19"/>
      <c r="K56" s="2"/>
      <c r="L56" s="2">
        <f t="shared" si="0"/>
        <v>-293.38999999999993</v>
      </c>
      <c r="M56" s="2"/>
      <c r="N56" s="19">
        <f t="shared" si="1"/>
        <v>-0.45624757017339235</v>
      </c>
      <c r="O56" s="11"/>
      <c r="P56" s="2">
        <f>--92680.75</f>
        <v>92680.75</v>
      </c>
      <c r="Q56" s="2"/>
      <c r="R56" s="19"/>
      <c r="S56" s="2"/>
      <c r="T56" s="2">
        <f>--148652.33</f>
        <v>148652.32999999999</v>
      </c>
      <c r="U56" s="2"/>
      <c r="V56" s="19"/>
      <c r="W56" s="2"/>
      <c r="X56" s="2">
        <f t="shared" si="2"/>
        <v>-55971.579999999987</v>
      </c>
      <c r="Y56" s="2"/>
      <c r="Z56" s="19">
        <f t="shared" si="3"/>
        <v>-0.37652675878003389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--584.52</f>
        <v>584.52</v>
      </c>
      <c r="E57" s="2"/>
      <c r="F57" s="19"/>
      <c r="G57" s="2"/>
      <c r="H57" s="2">
        <f>--365.45</f>
        <v>365.45</v>
      </c>
      <c r="I57" s="2"/>
      <c r="J57" s="19"/>
      <c r="K57" s="2"/>
      <c r="L57" s="2">
        <f t="shared" si="0"/>
        <v>219.07</v>
      </c>
      <c r="M57" s="2"/>
      <c r="N57" s="19">
        <f t="shared" si="1"/>
        <v>0.59945272951156114</v>
      </c>
      <c r="O57" s="11"/>
      <c r="P57" s="2">
        <f>--37606.84</f>
        <v>37606.839999999997</v>
      </c>
      <c r="Q57" s="2"/>
      <c r="R57" s="19"/>
      <c r="S57" s="2"/>
      <c r="T57" s="2">
        <f>--50860.62</f>
        <v>50860.62</v>
      </c>
      <c r="U57" s="2"/>
      <c r="V57" s="19"/>
      <c r="W57" s="2"/>
      <c r="X57" s="2">
        <f t="shared" si="2"/>
        <v>-13253.780000000006</v>
      </c>
      <c r="Y57" s="2"/>
      <c r="Z57" s="19">
        <f t="shared" si="3"/>
        <v>-0.2605902169497738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0</f>
        <v>0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--329.98</f>
        <v>329.98</v>
      </c>
      <c r="Q58" s="2"/>
      <c r="R58" s="19"/>
      <c r="S58" s="2"/>
      <c r="T58" s="2">
        <f>--509.85</f>
        <v>509.85</v>
      </c>
      <c r="U58" s="2"/>
      <c r="V58" s="19"/>
      <c r="W58" s="2"/>
      <c r="X58" s="2">
        <f t="shared" si="2"/>
        <v>-179.87</v>
      </c>
      <c r="Y58" s="2"/>
      <c r="Z58" s="19">
        <f t="shared" si="3"/>
        <v>-0.35279003628518191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--206.24</f>
        <v>206.24</v>
      </c>
      <c r="E59" s="2"/>
      <c r="F59" s="19"/>
      <c r="G59" s="2"/>
      <c r="H59" s="2">
        <f>--397.48</f>
        <v>397.48</v>
      </c>
      <c r="I59" s="2"/>
      <c r="J59" s="19"/>
      <c r="K59" s="2"/>
      <c r="L59" s="2">
        <f t="shared" si="0"/>
        <v>-191.24</v>
      </c>
      <c r="M59" s="2"/>
      <c r="N59" s="19">
        <f t="shared" si="1"/>
        <v>-0.48113112609439468</v>
      </c>
      <c r="O59" s="11"/>
      <c r="P59" s="2">
        <f>--320699.09</f>
        <v>320699.09000000003</v>
      </c>
      <c r="Q59" s="2"/>
      <c r="R59" s="19"/>
      <c r="S59" s="2"/>
      <c r="T59" s="2">
        <f>--337723.61</f>
        <v>337723.61</v>
      </c>
      <c r="U59" s="2"/>
      <c r="V59" s="19"/>
      <c r="W59" s="2"/>
      <c r="X59" s="2">
        <f t="shared" si="2"/>
        <v>-17024.51999999996</v>
      </c>
      <c r="Y59" s="2"/>
      <c r="Z59" s="19">
        <f t="shared" si="3"/>
        <v>-5.0409623419576624E-2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--492.72</f>
        <v>492.72</v>
      </c>
      <c r="E60" s="2"/>
      <c r="F60" s="19"/>
      <c r="G60" s="2"/>
      <c r="H60" s="2">
        <f>--204.07</f>
        <v>204.07</v>
      </c>
      <c r="I60" s="2"/>
      <c r="J60" s="19"/>
      <c r="K60" s="2"/>
      <c r="L60" s="2">
        <f t="shared" si="0"/>
        <v>288.65000000000003</v>
      </c>
      <c r="M60" s="2"/>
      <c r="N60" s="19">
        <f t="shared" si="1"/>
        <v>1.4144656245405991</v>
      </c>
      <c r="O60" s="11"/>
      <c r="P60" s="2">
        <f>--7592.19</f>
        <v>7592.19</v>
      </c>
      <c r="Q60" s="2"/>
      <c r="R60" s="19"/>
      <c r="S60" s="2"/>
      <c r="T60" s="2">
        <f>--9917.98</f>
        <v>9917.98</v>
      </c>
      <c r="U60" s="2"/>
      <c r="V60" s="19"/>
      <c r="W60" s="2"/>
      <c r="X60" s="2">
        <f t="shared" si="2"/>
        <v>-2325.79</v>
      </c>
      <c r="Y60" s="2"/>
      <c r="Z60" s="19">
        <f t="shared" si="3"/>
        <v>-0.23450238859122524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>0</f>
        <v>0</v>
      </c>
      <c r="E61" s="2"/>
      <c r="F61" s="19"/>
      <c r="G61" s="2"/>
      <c r="H61" s="2">
        <f>0</f>
        <v>0</v>
      </c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--1146.72</f>
        <v>1146.72</v>
      </c>
      <c r="Q61" s="2"/>
      <c r="R61" s="19"/>
      <c r="S61" s="2"/>
      <c r="T61" s="2">
        <f>--38.23</f>
        <v>38.229999999999997</v>
      </c>
      <c r="U61" s="2"/>
      <c r="V61" s="19"/>
      <c r="W61" s="2"/>
      <c r="X61" s="2">
        <f t="shared" si="2"/>
        <v>1108.49</v>
      </c>
      <c r="Y61" s="2"/>
      <c r="Z61" s="19">
        <f t="shared" si="3"/>
        <v>28.995291655767723</v>
      </c>
    </row>
    <row r="62" spans="1:26" s="24" customFormat="1" hidden="1" outlineLevel="1" x14ac:dyDescent="0.25">
      <c r="A62" s="44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>--14.04</f>
        <v>14.04</v>
      </c>
      <c r="E62" s="2"/>
      <c r="F62" s="19"/>
      <c r="G62" s="2"/>
      <c r="H62" s="2">
        <f>--10.34</f>
        <v>10.34</v>
      </c>
      <c r="I62" s="2"/>
      <c r="J62" s="19"/>
      <c r="K62" s="2"/>
      <c r="L62" s="2">
        <f t="shared" si="0"/>
        <v>3.6999999999999993</v>
      </c>
      <c r="M62" s="2"/>
      <c r="N62" s="19">
        <f t="shared" si="1"/>
        <v>0.35783365570599607</v>
      </c>
      <c r="O62" s="11"/>
      <c r="P62" s="2">
        <f>--34.96</f>
        <v>34.96</v>
      </c>
      <c r="Q62" s="2"/>
      <c r="R62" s="19"/>
      <c r="S62" s="2"/>
      <c r="T62" s="2">
        <f>--121.75</f>
        <v>121.75</v>
      </c>
      <c r="U62" s="2"/>
      <c r="V62" s="19"/>
      <c r="W62" s="2"/>
      <c r="X62" s="2">
        <f t="shared" si="2"/>
        <v>-86.789999999999992</v>
      </c>
      <c r="Y62" s="2"/>
      <c r="Z62" s="19">
        <f t="shared" si="3"/>
        <v>-0.7128542094455852</v>
      </c>
    </row>
    <row r="63" spans="1:26" s="24" customFormat="1" hidden="1" outlineLevel="1" x14ac:dyDescent="0.25">
      <c r="A63" s="44"/>
      <c r="B63" s="11" t="str">
        <f>CONCATENATE("          ", "4125", " - ", "NON-TAXABLE SALES-TEST FORMS")</f>
        <v xml:space="preserve">          4125 - NON-TAXABLE SALES-TEST FORMS</v>
      </c>
      <c r="C63" s="11"/>
      <c r="D63" s="2">
        <f>0</f>
        <v>0</v>
      </c>
      <c r="E63" s="2"/>
      <c r="F63" s="19"/>
      <c r="G63" s="2"/>
      <c r="H63" s="2">
        <f>0</f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--124.18</f>
        <v>124.18</v>
      </c>
      <c r="Q63" s="2"/>
      <c r="R63" s="19"/>
      <c r="S63" s="2"/>
      <c r="T63" s="2">
        <f>--160.73</f>
        <v>160.72999999999999</v>
      </c>
      <c r="U63" s="2"/>
      <c r="V63" s="19"/>
      <c r="W63" s="2"/>
      <c r="X63" s="2">
        <f t="shared" si="2"/>
        <v>-36.549999999999983</v>
      </c>
      <c r="Y63" s="2"/>
      <c r="Z63" s="19">
        <f t="shared" si="3"/>
        <v>-0.22739998755677213</v>
      </c>
    </row>
    <row r="64" spans="1:26" s="24" customFormat="1" hidden="1" outlineLevel="1" x14ac:dyDescent="0.25">
      <c r="A64" s="44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>--11.85</f>
        <v>11.85</v>
      </c>
      <c r="E64" s="2"/>
      <c r="F64" s="19"/>
      <c r="G64" s="2"/>
      <c r="H64" s="2">
        <f>--20.81</f>
        <v>20.81</v>
      </c>
      <c r="I64" s="2"/>
      <c r="J64" s="19"/>
      <c r="K64" s="2"/>
      <c r="L64" s="2">
        <f t="shared" si="0"/>
        <v>-8.9599999999999991</v>
      </c>
      <c r="M64" s="2"/>
      <c r="N64" s="19">
        <f t="shared" si="1"/>
        <v>-0.43056222969726093</v>
      </c>
      <c r="O64" s="11"/>
      <c r="P64" s="2">
        <f>--1470.38</f>
        <v>1470.38</v>
      </c>
      <c r="Q64" s="2"/>
      <c r="R64" s="19"/>
      <c r="S64" s="2"/>
      <c r="T64" s="2">
        <f>--1812.69</f>
        <v>1812.69</v>
      </c>
      <c r="U64" s="2"/>
      <c r="V64" s="19"/>
      <c r="W64" s="2"/>
      <c r="X64" s="2">
        <f t="shared" si="2"/>
        <v>-342.30999999999995</v>
      </c>
      <c r="Y64" s="2"/>
      <c r="Z64" s="19">
        <f t="shared" si="3"/>
        <v>-0.18884089392008557</v>
      </c>
    </row>
    <row r="65" spans="1:26" s="24" customFormat="1" hidden="1" outlineLevel="1" x14ac:dyDescent="0.25">
      <c r="A65" s="44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>--6.28</f>
        <v>6.28</v>
      </c>
      <c r="E65" s="2"/>
      <c r="F65" s="19"/>
      <c r="G65" s="2"/>
      <c r="H65" s="2">
        <f>--2449.78</f>
        <v>2449.7800000000002</v>
      </c>
      <c r="I65" s="2"/>
      <c r="J65" s="19"/>
      <c r="K65" s="2"/>
      <c r="L65" s="2">
        <f t="shared" si="0"/>
        <v>-2443.5</v>
      </c>
      <c r="M65" s="2"/>
      <c r="N65" s="19">
        <f t="shared" si="1"/>
        <v>-0.99743650450244503</v>
      </c>
      <c r="O65" s="11"/>
      <c r="P65" s="2">
        <f>--2603.4</f>
        <v>2603.4</v>
      </c>
      <c r="Q65" s="2"/>
      <c r="R65" s="19"/>
      <c r="S65" s="2"/>
      <c r="T65" s="2">
        <f>--8725.3</f>
        <v>8725.2999999999993</v>
      </c>
      <c r="U65" s="2"/>
      <c r="V65" s="19"/>
      <c r="W65" s="2"/>
      <c r="X65" s="2">
        <f t="shared" si="2"/>
        <v>-6121.9</v>
      </c>
      <c r="Y65" s="2"/>
      <c r="Z65" s="19">
        <f t="shared" si="3"/>
        <v>-0.70162630511271817</v>
      </c>
    </row>
    <row r="66" spans="1:26" s="24" customFormat="1" hidden="1" outlineLevel="1" x14ac:dyDescent="0.25">
      <c r="A66" s="44"/>
      <c r="B66" s="11" t="str">
        <f>CONCATENATE("          ", "4128", " - ", "NON-TAXABLE SALES-ART/TECH")</f>
        <v xml:space="preserve">          4128 - NON-TAXABLE SALES-ART/TECH</v>
      </c>
      <c r="C66" s="11"/>
      <c r="D66" s="2">
        <f>0</f>
        <v>0</v>
      </c>
      <c r="E66" s="2"/>
      <c r="F66" s="19"/>
      <c r="G66" s="2"/>
      <c r="H66" s="2">
        <f>--1.49</f>
        <v>1.49</v>
      </c>
      <c r="I66" s="2"/>
      <c r="J66" s="19"/>
      <c r="K66" s="2"/>
      <c r="L66" s="2">
        <f t="shared" si="0"/>
        <v>-1.49</v>
      </c>
      <c r="M66" s="2"/>
      <c r="N66" s="19">
        <f t="shared" si="1"/>
        <v>-1</v>
      </c>
      <c r="O66" s="11"/>
      <c r="P66" s="2">
        <f>--348.72</f>
        <v>348.72</v>
      </c>
      <c r="Q66" s="2"/>
      <c r="R66" s="19"/>
      <c r="S66" s="2"/>
      <c r="T66" s="2">
        <f>--625.7</f>
        <v>625.70000000000005</v>
      </c>
      <c r="U66" s="2"/>
      <c r="V66" s="19"/>
      <c r="W66" s="2"/>
      <c r="X66" s="2">
        <f t="shared" si="2"/>
        <v>-276.98</v>
      </c>
      <c r="Y66" s="2"/>
      <c r="Z66" s="19">
        <f t="shared" si="3"/>
        <v>-0.44267220712801664</v>
      </c>
    </row>
    <row r="67" spans="1:26" s="24" customFormat="1" hidden="1" outlineLevel="1" x14ac:dyDescent="0.25">
      <c r="A67" s="44"/>
      <c r="B67" s="11" t="str">
        <f>CONCATENATE("          ", "4131", " - ", "NON-TAXABLE SALES-FOOD")</f>
        <v xml:space="preserve">          4131 - NON-TAXABLE SALES-FOOD</v>
      </c>
      <c r="C67" s="11"/>
      <c r="D67" s="2">
        <f>--8305.09</f>
        <v>8305.09</v>
      </c>
      <c r="E67" s="2"/>
      <c r="F67" s="19"/>
      <c r="G67" s="2"/>
      <c r="H67" s="2">
        <f>--6730.02</f>
        <v>6730.02</v>
      </c>
      <c r="I67" s="2"/>
      <c r="J67" s="19"/>
      <c r="K67" s="2"/>
      <c r="L67" s="2">
        <f t="shared" si="0"/>
        <v>1575.0699999999997</v>
      </c>
      <c r="M67" s="2"/>
      <c r="N67" s="19">
        <f t="shared" si="1"/>
        <v>0.23403645160044095</v>
      </c>
      <c r="O67" s="11"/>
      <c r="P67" s="2">
        <f>--35027.51</f>
        <v>35027.51</v>
      </c>
      <c r="Q67" s="2"/>
      <c r="R67" s="19"/>
      <c r="S67" s="2"/>
      <c r="T67" s="2">
        <f>--33524.19</f>
        <v>33524.19</v>
      </c>
      <c r="U67" s="2"/>
      <c r="V67" s="19"/>
      <c r="W67" s="2"/>
      <c r="X67" s="2">
        <f t="shared" si="2"/>
        <v>1503.3199999999997</v>
      </c>
      <c r="Y67" s="2"/>
      <c r="Z67" s="19">
        <f t="shared" si="3"/>
        <v>4.4842843331934334E-2</v>
      </c>
    </row>
    <row r="68" spans="1:26" s="24" customFormat="1" hidden="1" outlineLevel="1" x14ac:dyDescent="0.25">
      <c r="A68" s="44"/>
      <c r="B68" s="11" t="str">
        <f>CONCATENATE("          ", "4132", " - ", "NON-TAXABLE SALES-JUICE")</f>
        <v xml:space="preserve">          4132 - NON-TAXABLE SALES-JUICE</v>
      </c>
      <c r="C68" s="11"/>
      <c r="D68" s="2">
        <f>--142472.34</f>
        <v>142472.34</v>
      </c>
      <c r="E68" s="2"/>
      <c r="F68" s="19"/>
      <c r="G68" s="2"/>
      <c r="H68" s="2">
        <f>--108554.48</f>
        <v>108554.48</v>
      </c>
      <c r="I68" s="2"/>
      <c r="J68" s="19"/>
      <c r="K68" s="2"/>
      <c r="L68" s="2">
        <f t="shared" si="0"/>
        <v>33917.86</v>
      </c>
      <c r="M68" s="2"/>
      <c r="N68" s="19">
        <f t="shared" si="1"/>
        <v>0.31245011721303445</v>
      </c>
      <c r="O68" s="11"/>
      <c r="P68" s="2">
        <f>--665344.79</f>
        <v>665344.79</v>
      </c>
      <c r="Q68" s="2"/>
      <c r="R68" s="19"/>
      <c r="S68" s="2"/>
      <c r="T68" s="2">
        <f>--594487.8</f>
        <v>594487.80000000005</v>
      </c>
      <c r="U68" s="2"/>
      <c r="V68" s="19"/>
      <c r="W68" s="2"/>
      <c r="X68" s="2">
        <f t="shared" si="2"/>
        <v>70856.989999999991</v>
      </c>
      <c r="Y68" s="2"/>
      <c r="Z68" s="19">
        <f t="shared" si="3"/>
        <v>0.1191899816951668</v>
      </c>
    </row>
    <row r="69" spans="1:26" s="24" customFormat="1" hidden="1" outlineLevel="1" x14ac:dyDescent="0.25">
      <c r="A69" s="44"/>
      <c r="B69" s="11" t="str">
        <f>CONCATENATE("          ", "4133", " - ", "NON-TAXABLE SALES-CANDY")</f>
        <v xml:space="preserve">          4133 - NON-TAXABLE SALES-CANDY</v>
      </c>
      <c r="C69" s="11"/>
      <c r="D69" s="2">
        <f>--2349.7</f>
        <v>2349.6999999999998</v>
      </c>
      <c r="E69" s="2"/>
      <c r="F69" s="19"/>
      <c r="G69" s="2"/>
      <c r="H69" s="2">
        <f>--1690.3</f>
        <v>1690.3</v>
      </c>
      <c r="I69" s="2"/>
      <c r="J69" s="19"/>
      <c r="K69" s="2"/>
      <c r="L69" s="2">
        <f t="shared" si="0"/>
        <v>659.39999999999986</v>
      </c>
      <c r="M69" s="2"/>
      <c r="N69" s="19">
        <f t="shared" si="1"/>
        <v>0.39010826480506411</v>
      </c>
      <c r="O69" s="11"/>
      <c r="P69" s="2">
        <f>--10816.56</f>
        <v>10816.56</v>
      </c>
      <c r="Q69" s="2"/>
      <c r="R69" s="19"/>
      <c r="S69" s="2"/>
      <c r="T69" s="2">
        <f>--8906.29</f>
        <v>8906.2900000000009</v>
      </c>
      <c r="U69" s="2"/>
      <c r="V69" s="19"/>
      <c r="W69" s="2"/>
      <c r="X69" s="2">
        <f t="shared" si="2"/>
        <v>1910.2699999999986</v>
      </c>
      <c r="Y69" s="2"/>
      <c r="Z69" s="19">
        <f t="shared" si="3"/>
        <v>0.21448549283708462</v>
      </c>
    </row>
    <row r="70" spans="1:26" s="24" customFormat="1" hidden="1" outlineLevel="1" x14ac:dyDescent="0.25">
      <c r="A70" s="44"/>
      <c r="B70" s="11" t="str">
        <f>CONCATENATE("          ", "4134", " - ", "NON-TAXABLE SALES-SODA")</f>
        <v xml:space="preserve">          4134 - NON-TAXABLE SALES-SODA</v>
      </c>
      <c r="C70" s="11"/>
      <c r="D70" s="2">
        <f>0</f>
        <v>0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--0.39</f>
        <v>0.39</v>
      </c>
      <c r="Q70" s="2"/>
      <c r="R70" s="19"/>
      <c r="S70" s="2"/>
      <c r="T70" s="2">
        <f>--163.41</f>
        <v>163.41</v>
      </c>
      <c r="U70" s="2"/>
      <c r="V70" s="19"/>
      <c r="W70" s="2"/>
      <c r="X70" s="2">
        <f t="shared" si="2"/>
        <v>-163.02000000000001</v>
      </c>
      <c r="Y70" s="2"/>
      <c r="Z70" s="19">
        <f t="shared" si="3"/>
        <v>-0.99761336515513133</v>
      </c>
    </row>
    <row r="71" spans="1:26" s="24" customFormat="1" hidden="1" outlineLevel="1" x14ac:dyDescent="0.25">
      <c r="A71" s="44"/>
      <c r="B71" s="11" t="str">
        <f>CONCATENATE("          ", "4135", " - ", "NON-TAXABLE SALES")</f>
        <v xml:space="preserve">          4135 - NON-TAXABLE SALES</v>
      </c>
      <c r="C71" s="11"/>
      <c r="D71" s="2">
        <f>--10.77</f>
        <v>10.77</v>
      </c>
      <c r="E71" s="2"/>
      <c r="F71" s="19"/>
      <c r="G71" s="2"/>
      <c r="H71" s="2">
        <f>--14.36</f>
        <v>14.36</v>
      </c>
      <c r="I71" s="2"/>
      <c r="J71" s="19"/>
      <c r="K71" s="2"/>
      <c r="L71" s="2">
        <f t="shared" si="0"/>
        <v>-3.59</v>
      </c>
      <c r="M71" s="2"/>
      <c r="N71" s="19">
        <f t="shared" si="1"/>
        <v>-0.25</v>
      </c>
      <c r="O71" s="11"/>
      <c r="P71" s="2">
        <f>--114.73</f>
        <v>114.73</v>
      </c>
      <c r="Q71" s="2"/>
      <c r="R71" s="19"/>
      <c r="S71" s="2"/>
      <c r="T71" s="2">
        <f>--123.42</f>
        <v>123.42</v>
      </c>
      <c r="U71" s="2"/>
      <c r="V71" s="19"/>
      <c r="W71" s="2"/>
      <c r="X71" s="2">
        <f t="shared" si="2"/>
        <v>-8.6899999999999977</v>
      </c>
      <c r="Y71" s="2"/>
      <c r="Z71" s="19">
        <f t="shared" si="3"/>
        <v>-7.0409982174688038E-2</v>
      </c>
    </row>
    <row r="72" spans="1:26" s="24" customFormat="1" hidden="1" outlineLevel="1" x14ac:dyDescent="0.25">
      <c r="A72" s="44"/>
      <c r="B72" s="11" t="str">
        <f>CONCATENATE("          ", "4137", " - ", "NON-TAXABLE SALES-WATER")</f>
        <v xml:space="preserve">          4137 - NON-TAXABLE SALES-WATER</v>
      </c>
      <c r="C72" s="11"/>
      <c r="D72" s="2">
        <f>--1199.73</f>
        <v>1199.73</v>
      </c>
      <c r="E72" s="2"/>
      <c r="F72" s="19"/>
      <c r="G72" s="2"/>
      <c r="H72" s="2">
        <f>--1110.04</f>
        <v>1110.04</v>
      </c>
      <c r="I72" s="2"/>
      <c r="J72" s="19"/>
      <c r="K72" s="2"/>
      <c r="L72" s="2">
        <f t="shared" si="0"/>
        <v>89.690000000000055</v>
      </c>
      <c r="M72" s="2"/>
      <c r="N72" s="19">
        <f t="shared" si="1"/>
        <v>8.0798890130085455E-2</v>
      </c>
      <c r="O72" s="11"/>
      <c r="P72" s="2">
        <f>--6313.88</f>
        <v>6313.88</v>
      </c>
      <c r="Q72" s="2"/>
      <c r="R72" s="19"/>
      <c r="S72" s="2"/>
      <c r="T72" s="2">
        <f>--6045.67</f>
        <v>6045.67</v>
      </c>
      <c r="U72" s="2"/>
      <c r="V72" s="19"/>
      <c r="W72" s="2"/>
      <c r="X72" s="2">
        <f t="shared" si="2"/>
        <v>268.21000000000004</v>
      </c>
      <c r="Y72" s="2"/>
      <c r="Z72" s="19">
        <f t="shared" si="3"/>
        <v>4.4363982817454482E-2</v>
      </c>
    </row>
    <row r="73" spans="1:26" s="24" customFormat="1" hidden="1" outlineLevel="1" x14ac:dyDescent="0.25">
      <c r="A73" s="44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--7373.27</f>
        <v>7373.27</v>
      </c>
      <c r="E73" s="2"/>
      <c r="F73" s="19"/>
      <c r="G73" s="2"/>
      <c r="H73" s="2">
        <f>--3104.15</f>
        <v>3104.15</v>
      </c>
      <c r="I73" s="2"/>
      <c r="J73" s="19"/>
      <c r="K73" s="2"/>
      <c r="L73" s="2">
        <f t="shared" si="0"/>
        <v>4269.1200000000008</v>
      </c>
      <c r="M73" s="2"/>
      <c r="N73" s="19">
        <f t="shared" si="1"/>
        <v>1.3752943639965853</v>
      </c>
      <c r="O73" s="11"/>
      <c r="P73" s="2">
        <f>--20008.79</f>
        <v>20008.79</v>
      </c>
      <c r="Q73" s="2"/>
      <c r="R73" s="19"/>
      <c r="S73" s="2"/>
      <c r="T73" s="2">
        <f>--14661.16</f>
        <v>14661.16</v>
      </c>
      <c r="U73" s="2"/>
      <c r="V73" s="19"/>
      <c r="W73" s="2"/>
      <c r="X73" s="2">
        <f t="shared" si="2"/>
        <v>5347.630000000001</v>
      </c>
      <c r="Y73" s="2"/>
      <c r="Z73" s="19">
        <f t="shared" si="3"/>
        <v>0.36474808268922793</v>
      </c>
    </row>
    <row r="74" spans="1:26" s="24" customFormat="1" hidden="1" outlineLevel="1" x14ac:dyDescent="0.25">
      <c r="A74" s="44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--434.35</f>
        <v>434.35</v>
      </c>
      <c r="E74" s="2"/>
      <c r="F74" s="19"/>
      <c r="G74" s="2"/>
      <c r="H74" s="2">
        <f>--203.25</f>
        <v>203.25</v>
      </c>
      <c r="I74" s="2"/>
      <c r="J74" s="19"/>
      <c r="K74" s="2"/>
      <c r="L74" s="2">
        <f t="shared" si="0"/>
        <v>231.10000000000002</v>
      </c>
      <c r="M74" s="2"/>
      <c r="N74" s="19">
        <f t="shared" si="1"/>
        <v>1.1370233702337025</v>
      </c>
      <c r="O74" s="11"/>
      <c r="P74" s="2">
        <f>--1830.28</f>
        <v>1830.28</v>
      </c>
      <c r="Q74" s="2"/>
      <c r="R74" s="19"/>
      <c r="S74" s="2"/>
      <c r="T74" s="2">
        <f>--2672.78</f>
        <v>2672.78</v>
      </c>
      <c r="U74" s="2"/>
      <c r="V74" s="19"/>
      <c r="W74" s="2"/>
      <c r="X74" s="2">
        <f t="shared" si="2"/>
        <v>-842.50000000000023</v>
      </c>
      <c r="Y74" s="2"/>
      <c r="Z74" s="19">
        <f t="shared" si="3"/>
        <v>-0.31521486991072972</v>
      </c>
    </row>
    <row r="75" spans="1:26" s="24" customFormat="1" hidden="1" outlineLevel="1" x14ac:dyDescent="0.25">
      <c r="A75" s="44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--2013.22</f>
        <v>2013.22</v>
      </c>
      <c r="E75" s="2"/>
      <c r="F75" s="19"/>
      <c r="G75" s="2"/>
      <c r="H75" s="2">
        <f>--2443.1</f>
        <v>2443.1</v>
      </c>
      <c r="I75" s="2"/>
      <c r="J75" s="19"/>
      <c r="K75" s="2"/>
      <c r="L75" s="2">
        <f t="shared" si="0"/>
        <v>-429.87999999999988</v>
      </c>
      <c r="M75" s="2"/>
      <c r="N75" s="19">
        <f t="shared" si="1"/>
        <v>-0.17595677622692477</v>
      </c>
      <c r="O75" s="11"/>
      <c r="P75" s="2">
        <f>--7932.83</f>
        <v>7932.83</v>
      </c>
      <c r="Q75" s="2"/>
      <c r="R75" s="19"/>
      <c r="S75" s="2"/>
      <c r="T75" s="2">
        <f>--7561.2</f>
        <v>7561.2</v>
      </c>
      <c r="U75" s="2"/>
      <c r="V75" s="19"/>
      <c r="W75" s="2"/>
      <c r="X75" s="2">
        <f t="shared" si="2"/>
        <v>371.63000000000011</v>
      </c>
      <c r="Y75" s="2"/>
      <c r="Z75" s="19">
        <f t="shared" si="3"/>
        <v>4.9149605882664142E-2</v>
      </c>
    </row>
    <row r="76" spans="1:26" s="24" customFormat="1" hidden="1" outlineLevel="1" x14ac:dyDescent="0.25">
      <c r="A76" s="44"/>
      <c r="B76" s="11" t="str">
        <f>CONCATENATE("          ", "4144", " - ", "NON-TAXABLE SALES-ACCESSORIES")</f>
        <v xml:space="preserve">          4144 - NON-TAXABLE SALES-ACCESSORIES</v>
      </c>
      <c r="C76" s="11"/>
      <c r="D76" s="2">
        <f>--29.95</f>
        <v>29.95</v>
      </c>
      <c r="E76" s="2"/>
      <c r="F76" s="19"/>
      <c r="G76" s="2"/>
      <c r="H76" s="2">
        <f>0</f>
        <v>0</v>
      </c>
      <c r="I76" s="2"/>
      <c r="J76" s="19"/>
      <c r="K76" s="2"/>
      <c r="L76" s="2">
        <f t="shared" si="0"/>
        <v>29.95</v>
      </c>
      <c r="M76" s="2"/>
      <c r="N76" s="19">
        <f t="shared" si="1"/>
        <v>0</v>
      </c>
      <c r="O76" s="11"/>
      <c r="P76" s="2">
        <f>--241.56</f>
        <v>241.56</v>
      </c>
      <c r="Q76" s="2"/>
      <c r="R76" s="19"/>
      <c r="S76" s="2"/>
      <c r="T76" s="2">
        <f>--340.6</f>
        <v>340.6</v>
      </c>
      <c r="U76" s="2"/>
      <c r="V76" s="19"/>
      <c r="W76" s="2"/>
      <c r="X76" s="2">
        <f t="shared" si="2"/>
        <v>-99.04000000000002</v>
      </c>
      <c r="Y76" s="2"/>
      <c r="Z76" s="19">
        <f t="shared" si="3"/>
        <v>-0.29078097475044046</v>
      </c>
    </row>
    <row r="77" spans="1:26" s="24" customFormat="1" hidden="1" outlineLevel="1" x14ac:dyDescent="0.25">
      <c r="A77" s="44"/>
      <c r="B77" s="11" t="str">
        <f>CONCATENATE("          ", "4145", " - ", "NON-TAXABLE SALES-SPECIAL ORDE")</f>
        <v xml:space="preserve">          4145 - NON-TAXABLE SALES-SPECIAL ORDE</v>
      </c>
      <c r="C77" s="11"/>
      <c r="D77" s="2">
        <f>--50</f>
        <v>50</v>
      </c>
      <c r="E77" s="2"/>
      <c r="F77" s="19"/>
      <c r="G77" s="2"/>
      <c r="H77" s="2">
        <f>--1396</f>
        <v>1396</v>
      </c>
      <c r="I77" s="2"/>
      <c r="J77" s="19"/>
      <c r="K77" s="2"/>
      <c r="L77" s="2">
        <f t="shared" si="0"/>
        <v>-1346</v>
      </c>
      <c r="M77" s="2"/>
      <c r="N77" s="19">
        <f t="shared" si="1"/>
        <v>-0.96418338108882518</v>
      </c>
      <c r="O77" s="11"/>
      <c r="P77" s="2">
        <f>--140</f>
        <v>140</v>
      </c>
      <c r="Q77" s="2"/>
      <c r="R77" s="19"/>
      <c r="S77" s="2"/>
      <c r="T77" s="2">
        <f>--1657.6</f>
        <v>1657.6</v>
      </c>
      <c r="U77" s="2"/>
      <c r="V77" s="19"/>
      <c r="W77" s="2"/>
      <c r="X77" s="2">
        <f t="shared" si="2"/>
        <v>-1517.6</v>
      </c>
      <c r="Y77" s="2"/>
      <c r="Z77" s="19">
        <f t="shared" si="3"/>
        <v>-0.91554054054054057</v>
      </c>
    </row>
    <row r="78" spans="1:26" s="24" customFormat="1" hidden="1" outlineLevel="1" x14ac:dyDescent="0.25">
      <c r="A78" s="44"/>
      <c r="B78" s="11" t="str">
        <f>CONCATENATE("          ", "4146", " - ", "NON-TAXABLE SALES-COIN OP MACH")</f>
        <v xml:space="preserve">          4146 - NON-TAXABLE SALES-COIN OP MACH</v>
      </c>
      <c r="C78" s="11"/>
      <c r="D78" s="2">
        <f>--28930.75</f>
        <v>28930.75</v>
      </c>
      <c r="E78" s="2"/>
      <c r="F78" s="19"/>
      <c r="G78" s="2"/>
      <c r="H78" s="2">
        <f>--27810.05</f>
        <v>27810.05</v>
      </c>
      <c r="I78" s="2"/>
      <c r="J78" s="19"/>
      <c r="K78" s="2"/>
      <c r="L78" s="2">
        <f t="shared" si="0"/>
        <v>1120.7000000000007</v>
      </c>
      <c r="M78" s="2"/>
      <c r="N78" s="19">
        <f t="shared" si="1"/>
        <v>4.0298381340558569E-2</v>
      </c>
      <c r="O78" s="11"/>
      <c r="P78" s="2">
        <f>--119341.05</f>
        <v>119341.05</v>
      </c>
      <c r="Q78" s="2"/>
      <c r="R78" s="19"/>
      <c r="S78" s="2"/>
      <c r="T78" s="2">
        <f>--118051.15</f>
        <v>118051.15</v>
      </c>
      <c r="U78" s="2"/>
      <c r="V78" s="19"/>
      <c r="W78" s="2"/>
      <c r="X78" s="2">
        <f t="shared" si="2"/>
        <v>1289.9000000000087</v>
      </c>
      <c r="Y78" s="2"/>
      <c r="Z78" s="19">
        <f t="shared" si="3"/>
        <v>1.0926619520436767E-2</v>
      </c>
    </row>
    <row r="79" spans="1:26" s="24" customFormat="1" hidden="1" outlineLevel="1" x14ac:dyDescent="0.25">
      <c r="A79" s="44"/>
      <c r="B79" s="11" t="str">
        <f>CONCATENATE("          ", "4147", " - ", "NON-TAXABLE SALES-MISC")</f>
        <v xml:space="preserve">          4147 - NON-TAXABLE SALES-MISC</v>
      </c>
      <c r="C79" s="11"/>
      <c r="D79" s="2">
        <f>--75</f>
        <v>75</v>
      </c>
      <c r="E79" s="2"/>
      <c r="F79" s="19"/>
      <c r="G79" s="2"/>
      <c r="H79" s="2">
        <f>--84</f>
        <v>84</v>
      </c>
      <c r="I79" s="2"/>
      <c r="J79" s="19"/>
      <c r="K79" s="2"/>
      <c r="L79" s="2">
        <f t="shared" si="0"/>
        <v>-9</v>
      </c>
      <c r="M79" s="2"/>
      <c r="N79" s="19">
        <f t="shared" si="1"/>
        <v>-0.10714285714285714</v>
      </c>
      <c r="O79" s="11"/>
      <c r="P79" s="2">
        <f>--249.9</f>
        <v>249.9</v>
      </c>
      <c r="Q79" s="2"/>
      <c r="R79" s="19"/>
      <c r="S79" s="2"/>
      <c r="T79" s="2">
        <f>--370</f>
        <v>370</v>
      </c>
      <c r="U79" s="2"/>
      <c r="V79" s="19"/>
      <c r="W79" s="2"/>
      <c r="X79" s="2">
        <f t="shared" si="2"/>
        <v>-120.1</v>
      </c>
      <c r="Y79" s="2"/>
      <c r="Z79" s="19">
        <f t="shared" si="3"/>
        <v>-0.32459459459459455</v>
      </c>
    </row>
    <row r="80" spans="1:26" s="24" customFormat="1" hidden="1" outlineLevel="1" x14ac:dyDescent="0.25">
      <c r="A80" s="44"/>
      <c r="B80" s="11" t="str">
        <f>CONCATENATE("          ", "4151", " - ", "NON-TAXABLE SALES-FOOD")</f>
        <v xml:space="preserve">          4151 - NON-TAXABLE SALES-FOOD</v>
      </c>
      <c r="C80" s="11"/>
      <c r="D80" s="2">
        <f>--1405129.68</f>
        <v>1405129.68</v>
      </c>
      <c r="E80" s="2"/>
      <c r="F80" s="19"/>
      <c r="G80" s="2"/>
      <c r="H80" s="2">
        <f>--1087390.43</f>
        <v>1087390.43</v>
      </c>
      <c r="I80" s="2"/>
      <c r="J80" s="19"/>
      <c r="K80" s="2"/>
      <c r="L80" s="2">
        <f t="shared" si="0"/>
        <v>317739.25</v>
      </c>
      <c r="M80" s="2"/>
      <c r="N80" s="19">
        <f t="shared" si="1"/>
        <v>0.29220346366300098</v>
      </c>
      <c r="O80" s="11"/>
      <c r="P80" s="2">
        <f>--6379082.52</f>
        <v>6379082.5199999996</v>
      </c>
      <c r="Q80" s="2"/>
      <c r="R80" s="19"/>
      <c r="S80" s="2"/>
      <c r="T80" s="2">
        <f>--6001229.09</f>
        <v>6001229.0899999999</v>
      </c>
      <c r="U80" s="2"/>
      <c r="V80" s="19"/>
      <c r="W80" s="2"/>
      <c r="X80" s="2">
        <f t="shared" si="2"/>
        <v>377853.4299999997</v>
      </c>
      <c r="Y80" s="2"/>
      <c r="Z80" s="19">
        <f t="shared" si="3"/>
        <v>6.296267386786257E-2</v>
      </c>
    </row>
    <row r="81" spans="1:26" s="24" customFormat="1" hidden="1" outlineLevel="1" x14ac:dyDescent="0.25">
      <c r="A81" s="44"/>
      <c r="B81" s="11" t="str">
        <f>CONCATENATE("          ", "4152", " - ", "NON-TAXABLE SALES-FOOD")</f>
        <v xml:space="preserve">          4152 - NON-TAXABLE SALES-FOOD</v>
      </c>
      <c r="C81" s="11"/>
      <c r="D81" s="2">
        <f>--5402.66</f>
        <v>5402.66</v>
      </c>
      <c r="E81" s="2"/>
      <c r="F81" s="19"/>
      <c r="G81" s="2"/>
      <c r="H81" s="2">
        <f>--7298.95</f>
        <v>7298.95</v>
      </c>
      <c r="I81" s="2"/>
      <c r="J81" s="19"/>
      <c r="K81" s="2"/>
      <c r="L81" s="2">
        <f t="shared" si="0"/>
        <v>-1896.29</v>
      </c>
      <c r="M81" s="2"/>
      <c r="N81" s="19">
        <f t="shared" si="1"/>
        <v>-0.25980312236691577</v>
      </c>
      <c r="O81" s="11"/>
      <c r="P81" s="2">
        <f>--30341.45</f>
        <v>30341.45</v>
      </c>
      <c r="Q81" s="2"/>
      <c r="R81" s="19"/>
      <c r="S81" s="2"/>
      <c r="T81" s="2">
        <f>--34277.1</f>
        <v>34277.1</v>
      </c>
      <c r="U81" s="2"/>
      <c r="V81" s="19"/>
      <c r="W81" s="2"/>
      <c r="X81" s="2">
        <f t="shared" si="2"/>
        <v>-3935.6499999999978</v>
      </c>
      <c r="Y81" s="2"/>
      <c r="Z81" s="19">
        <f t="shared" si="3"/>
        <v>-0.11481863984992891</v>
      </c>
    </row>
    <row r="82" spans="1:26" s="24" customFormat="1" hidden="1" outlineLevel="1" x14ac:dyDescent="0.25">
      <c r="A82" s="44"/>
      <c r="B82" s="11" t="str">
        <f>CONCATENATE("          ", "4153", " - ", "NON-TAXABLE SALES-FOOD")</f>
        <v xml:space="preserve">          4153 - NON-TAXABLE SALES-FOOD</v>
      </c>
      <c r="C82" s="11"/>
      <c r="D82" s="2">
        <f>--23754.6</f>
        <v>23754.6</v>
      </c>
      <c r="E82" s="2"/>
      <c r="F82" s="19"/>
      <c r="G82" s="2"/>
      <c r="H82" s="2">
        <f>--16863.18</f>
        <v>16863.18</v>
      </c>
      <c r="I82" s="2"/>
      <c r="J82" s="19"/>
      <c r="K82" s="2"/>
      <c r="L82" s="2">
        <f t="shared" si="0"/>
        <v>6891.4199999999983</v>
      </c>
      <c r="M82" s="2"/>
      <c r="N82" s="19">
        <f t="shared" si="1"/>
        <v>0.40866669275901685</v>
      </c>
      <c r="O82" s="11"/>
      <c r="P82" s="2">
        <f>--218823.16</f>
        <v>218823.16</v>
      </c>
      <c r="Q82" s="2"/>
      <c r="R82" s="19"/>
      <c r="S82" s="2"/>
      <c r="T82" s="2">
        <f>--185253.53</f>
        <v>185253.53</v>
      </c>
      <c r="U82" s="2"/>
      <c r="V82" s="19"/>
      <c r="W82" s="2"/>
      <c r="X82" s="2">
        <f t="shared" si="2"/>
        <v>33569.630000000005</v>
      </c>
      <c r="Y82" s="2"/>
      <c r="Z82" s="19">
        <f t="shared" si="3"/>
        <v>0.18120912459805763</v>
      </c>
    </row>
    <row r="83" spans="1:26" s="24" customFormat="1" hidden="1" outlineLevel="1" x14ac:dyDescent="0.25">
      <c r="A83" s="44"/>
      <c r="B83" s="11" t="str">
        <f>CONCATENATE("          ", "4155", " - ", "NON-TAXABLE SALES-FOOD")</f>
        <v xml:space="preserve">          4155 - NON-TAXABLE SALES-FOOD</v>
      </c>
      <c r="C83" s="11"/>
      <c r="D83" s="2">
        <f>--90106.86</f>
        <v>90106.86</v>
      </c>
      <c r="E83" s="2"/>
      <c r="F83" s="19"/>
      <c r="G83" s="2"/>
      <c r="H83" s="2">
        <f>--72252.47</f>
        <v>72252.47</v>
      </c>
      <c r="I83" s="2"/>
      <c r="J83" s="19"/>
      <c r="K83" s="2"/>
      <c r="L83" s="2">
        <f t="shared" si="0"/>
        <v>17854.39</v>
      </c>
      <c r="M83" s="2"/>
      <c r="N83" s="19">
        <f t="shared" si="1"/>
        <v>0.24711113682341931</v>
      </c>
      <c r="O83" s="11"/>
      <c r="P83" s="2">
        <f>--424497</f>
        <v>424497</v>
      </c>
      <c r="Q83" s="2"/>
      <c r="R83" s="19"/>
      <c r="S83" s="2"/>
      <c r="T83" s="2">
        <f>--381347.99</f>
        <v>381347.99</v>
      </c>
      <c r="U83" s="2"/>
      <c r="V83" s="19"/>
      <c r="W83" s="2"/>
      <c r="X83" s="2">
        <f t="shared" si="2"/>
        <v>43149.010000000009</v>
      </c>
      <c r="Y83" s="2"/>
      <c r="Z83" s="19">
        <f t="shared" si="3"/>
        <v>0.11314864934780437</v>
      </c>
    </row>
    <row r="84" spans="1:26" s="24" customFormat="1" hidden="1" outlineLevel="1" x14ac:dyDescent="0.25">
      <c r="A84" s="44"/>
      <c r="B84" s="11" t="str">
        <f>CONCATENATE("          ", "4158", " - ", "NON-TAXABLE SALES-FOOD")</f>
        <v xml:space="preserve">          4158 - NON-TAXABLE SALES-FOOD</v>
      </c>
      <c r="C84" s="11"/>
      <c r="D84" s="2">
        <f>--65166.99</f>
        <v>65166.99</v>
      </c>
      <c r="E84" s="2"/>
      <c r="F84" s="19"/>
      <c r="G84" s="2"/>
      <c r="H84" s="2">
        <f>--50987.23</f>
        <v>50987.23</v>
      </c>
      <c r="I84" s="2"/>
      <c r="J84" s="19"/>
      <c r="K84" s="2"/>
      <c r="L84" s="2">
        <f t="shared" si="0"/>
        <v>14179.759999999995</v>
      </c>
      <c r="M84" s="2"/>
      <c r="N84" s="19">
        <f t="shared" si="1"/>
        <v>0.2781041449005956</v>
      </c>
      <c r="O84" s="11"/>
      <c r="P84" s="2">
        <f>--272887.26</f>
        <v>272887.26</v>
      </c>
      <c r="Q84" s="2"/>
      <c r="R84" s="19"/>
      <c r="S84" s="2"/>
      <c r="T84" s="2">
        <f>--264481.8</f>
        <v>264481.8</v>
      </c>
      <c r="U84" s="2"/>
      <c r="V84" s="19"/>
      <c r="W84" s="2"/>
      <c r="X84" s="2">
        <f t="shared" si="2"/>
        <v>8405.460000000021</v>
      </c>
      <c r="Y84" s="2"/>
      <c r="Z84" s="19">
        <f t="shared" si="3"/>
        <v>3.1780863560366052E-2</v>
      </c>
    </row>
    <row r="85" spans="1:26" s="24" customFormat="1" hidden="1" outlineLevel="1" x14ac:dyDescent="0.25">
      <c r="A85" s="44"/>
      <c r="B85" s="11" t="str">
        <f>CONCATENATE("          ", "4159", " - ", "NON-TAXABLE SALES-FOOD")</f>
        <v xml:space="preserve">          4159 - NON-TAXABLE SALES-FOOD</v>
      </c>
      <c r="C85" s="11"/>
      <c r="D85" s="2">
        <f t="shared" ref="D85:D86" si="5">0</f>
        <v>0</v>
      </c>
      <c r="E85" s="2"/>
      <c r="F85" s="19"/>
      <c r="G85" s="2"/>
      <c r="H85" s="2">
        <f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0</f>
        <v>0</v>
      </c>
      <c r="Q85" s="2"/>
      <c r="R85" s="19"/>
      <c r="S85" s="2"/>
      <c r="T85" s="2">
        <f>--1054.9</f>
        <v>1054.9000000000001</v>
      </c>
      <c r="U85" s="2"/>
      <c r="V85" s="19"/>
      <c r="W85" s="2"/>
      <c r="X85" s="2">
        <f t="shared" si="2"/>
        <v>-1054.9000000000001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"4181", " - ", "NON-TAXABLE SALES-ELECTRONICS")</f>
        <v xml:space="preserve">          4181 - NON-TAXABLE SALES-ELECTRONICS</v>
      </c>
      <c r="C86" s="11"/>
      <c r="D86" s="2">
        <f t="shared" si="5"/>
        <v>0</v>
      </c>
      <c r="E86" s="2"/>
      <c r="F86" s="19"/>
      <c r="G86" s="2"/>
      <c r="H86" s="2">
        <f>--841.97</f>
        <v>841.97</v>
      </c>
      <c r="I86" s="2"/>
      <c r="J86" s="19"/>
      <c r="K86" s="2"/>
      <c r="L86" s="2">
        <f t="shared" si="0"/>
        <v>-841.97</v>
      </c>
      <c r="M86" s="2"/>
      <c r="N86" s="19">
        <f t="shared" si="1"/>
        <v>-1</v>
      </c>
      <c r="O86" s="11"/>
      <c r="P86" s="2">
        <f>--1462.51</f>
        <v>1462.51</v>
      </c>
      <c r="Q86" s="2"/>
      <c r="R86" s="19"/>
      <c r="S86" s="2"/>
      <c r="T86" s="2">
        <f>--1778.86</f>
        <v>1778.86</v>
      </c>
      <c r="U86" s="2"/>
      <c r="V86" s="19"/>
      <c r="W86" s="2"/>
      <c r="X86" s="2">
        <f t="shared" si="2"/>
        <v>-316.34999999999991</v>
      </c>
      <c r="Y86" s="2"/>
      <c r="Z86" s="19">
        <f t="shared" si="3"/>
        <v>-0.1778386157426666</v>
      </c>
    </row>
    <row r="87" spans="1:26" s="24" customFormat="1" hidden="1" outlineLevel="1" x14ac:dyDescent="0.25">
      <c r="A87" s="44"/>
      <c r="B87" s="11" t="str">
        <f>CONCATENATE("          ", "4182", " - ", "NON-TAXABLE SALES-COMPUTER HAR")</f>
        <v xml:space="preserve">          4182 - NON-TAXABLE SALES-COMPUTER HAR</v>
      </c>
      <c r="C87" s="11"/>
      <c r="D87" s="2">
        <f>--5749</f>
        <v>5749</v>
      </c>
      <c r="E87" s="2"/>
      <c r="F87" s="19"/>
      <c r="G87" s="2"/>
      <c r="H87" s="2">
        <f>--29248.97</f>
        <v>29248.97</v>
      </c>
      <c r="I87" s="2"/>
      <c r="J87" s="19"/>
      <c r="K87" s="2"/>
      <c r="L87" s="2">
        <f t="shared" si="0"/>
        <v>-23499.97</v>
      </c>
      <c r="M87" s="2"/>
      <c r="N87" s="19">
        <f t="shared" si="1"/>
        <v>-0.80344607006674085</v>
      </c>
      <c r="O87" s="11"/>
      <c r="P87" s="2">
        <f>--62309</f>
        <v>62309</v>
      </c>
      <c r="Q87" s="2"/>
      <c r="R87" s="19"/>
      <c r="S87" s="2"/>
      <c r="T87" s="2">
        <f>--148812.85</f>
        <v>148812.85</v>
      </c>
      <c r="U87" s="2"/>
      <c r="V87" s="19"/>
      <c r="W87" s="2"/>
      <c r="X87" s="2">
        <f t="shared" si="2"/>
        <v>-86503.85</v>
      </c>
      <c r="Y87" s="2"/>
      <c r="Z87" s="19">
        <f t="shared" si="3"/>
        <v>-0.58129287894156989</v>
      </c>
    </row>
    <row r="88" spans="1:26" s="24" customFormat="1" hidden="1" outlineLevel="1" x14ac:dyDescent="0.25">
      <c r="A88" s="44"/>
      <c r="B88" s="11" t="str">
        <f>CONCATENATE("          ", "4183", " - ", "NON-TAXABLE SALES-COMPUTER EQU")</f>
        <v xml:space="preserve">          4183 - NON-TAXABLE SALES-COMPUTER EQU</v>
      </c>
      <c r="C88" s="11"/>
      <c r="D88" s="2">
        <f>--249.96</f>
        <v>249.96</v>
      </c>
      <c r="E88" s="2"/>
      <c r="F88" s="19"/>
      <c r="G88" s="2"/>
      <c r="H88" s="2">
        <f>--457.93</f>
        <v>457.93</v>
      </c>
      <c r="I88" s="2"/>
      <c r="J88" s="19"/>
      <c r="K88" s="2"/>
      <c r="L88" s="2">
        <f t="shared" si="0"/>
        <v>-207.97</v>
      </c>
      <c r="M88" s="2"/>
      <c r="N88" s="19">
        <f t="shared" si="1"/>
        <v>-0.45415238136833141</v>
      </c>
      <c r="O88" s="11"/>
      <c r="P88" s="2">
        <f>--3304.88</f>
        <v>3304.88</v>
      </c>
      <c r="Q88" s="2"/>
      <c r="R88" s="19"/>
      <c r="S88" s="2"/>
      <c r="T88" s="2">
        <f>--4600.75</f>
        <v>4600.75</v>
      </c>
      <c r="U88" s="2"/>
      <c r="V88" s="19"/>
      <c r="W88" s="2"/>
      <c r="X88" s="2">
        <f t="shared" si="2"/>
        <v>-1295.8699999999999</v>
      </c>
      <c r="Y88" s="2"/>
      <c r="Z88" s="19">
        <f t="shared" si="3"/>
        <v>-0.28166494593272834</v>
      </c>
    </row>
    <row r="89" spans="1:26" s="24" customFormat="1" hidden="1" outlineLevel="1" x14ac:dyDescent="0.25">
      <c r="A89" s="44"/>
      <c r="B89" s="11" t="str">
        <f>CONCATENATE("          ", "4184", " - ", "NON-TAXABLE SALES-SOFTWARE LIC")</f>
        <v xml:space="preserve">          4184 - NON-TAXABLE SALES-SOFTWARE LIC</v>
      </c>
      <c r="C89" s="11"/>
      <c r="D89" s="2">
        <f>--1206</f>
        <v>1206</v>
      </c>
      <c r="E89" s="2"/>
      <c r="F89" s="19"/>
      <c r="G89" s="2"/>
      <c r="H89" s="2">
        <f>--258</f>
        <v>258</v>
      </c>
      <c r="I89" s="2"/>
      <c r="J89" s="19"/>
      <c r="K89" s="2"/>
      <c r="L89" s="2">
        <f t="shared" si="0"/>
        <v>948</v>
      </c>
      <c r="M89" s="2"/>
      <c r="N89" s="19">
        <f t="shared" si="1"/>
        <v>3.6744186046511627</v>
      </c>
      <c r="O89" s="11"/>
      <c r="P89" s="2">
        <f>--2728</f>
        <v>2728</v>
      </c>
      <c r="Q89" s="2"/>
      <c r="R89" s="19"/>
      <c r="S89" s="2"/>
      <c r="T89" s="2">
        <f>--357</f>
        <v>357</v>
      </c>
      <c r="U89" s="2"/>
      <c r="V89" s="19"/>
      <c r="W89" s="2"/>
      <c r="X89" s="2">
        <f t="shared" si="2"/>
        <v>2371</v>
      </c>
      <c r="Y89" s="2"/>
      <c r="Z89" s="19">
        <f t="shared" si="3"/>
        <v>6.6414565826330536</v>
      </c>
    </row>
    <row r="90" spans="1:26" s="24" customFormat="1" hidden="1" outlineLevel="1" x14ac:dyDescent="0.25">
      <c r="A90" s="44"/>
      <c r="B90" s="11" t="str">
        <f>CONCATENATE("          ", "4185", " - ", "NON-TAXABLE SALES-SOFTWARE")</f>
        <v xml:space="preserve">          4185 - NON-TAXABLE SALES-SOFTWARE</v>
      </c>
      <c r="C90" s="11"/>
      <c r="D90" s="2">
        <f>--495.98</f>
        <v>495.98</v>
      </c>
      <c r="E90" s="2"/>
      <c r="F90" s="19"/>
      <c r="G90" s="2"/>
      <c r="H90" s="2">
        <f>--256</f>
        <v>256</v>
      </c>
      <c r="I90" s="2"/>
      <c r="J90" s="19"/>
      <c r="K90" s="2"/>
      <c r="L90" s="2">
        <f t="shared" si="0"/>
        <v>239.98000000000002</v>
      </c>
      <c r="M90" s="2"/>
      <c r="N90" s="19">
        <f t="shared" si="1"/>
        <v>0.93742187500000007</v>
      </c>
      <c r="O90" s="11"/>
      <c r="P90" s="2">
        <f>--8963.87</f>
        <v>8963.8700000000008</v>
      </c>
      <c r="Q90" s="2"/>
      <c r="R90" s="19"/>
      <c r="S90" s="2"/>
      <c r="T90" s="2">
        <f>--2649.91</f>
        <v>2649.91</v>
      </c>
      <c r="U90" s="2"/>
      <c r="V90" s="19"/>
      <c r="W90" s="2"/>
      <c r="X90" s="2">
        <f t="shared" si="2"/>
        <v>6313.9600000000009</v>
      </c>
      <c r="Y90" s="2"/>
      <c r="Z90" s="19">
        <f t="shared" si="3"/>
        <v>2.3827073372303214</v>
      </c>
    </row>
    <row r="91" spans="1:26" s="24" customFormat="1" hidden="1" outlineLevel="1" x14ac:dyDescent="0.25">
      <c r="A91" s="44"/>
      <c r="B91" s="11" t="str">
        <f>CONCATENATE("          ", "4186", " - ", "NON-TAXABLE SALES-COMPUTER SUP")</f>
        <v xml:space="preserve">          4186 - NON-TAXABLE SALES-COMPUTER SUP</v>
      </c>
      <c r="C91" s="11"/>
      <c r="D91" s="2">
        <f>--49.99</f>
        <v>49.99</v>
      </c>
      <c r="E91" s="2"/>
      <c r="F91" s="19"/>
      <c r="G91" s="2"/>
      <c r="H91" s="2">
        <f>--474.86</f>
        <v>474.86</v>
      </c>
      <c r="I91" s="2"/>
      <c r="J91" s="19"/>
      <c r="K91" s="2"/>
      <c r="L91" s="2">
        <f t="shared" si="0"/>
        <v>-424.87</v>
      </c>
      <c r="M91" s="2"/>
      <c r="N91" s="19">
        <f t="shared" si="1"/>
        <v>-0.89472686686602365</v>
      </c>
      <c r="O91" s="11"/>
      <c r="P91" s="2">
        <f>--1572.4</f>
        <v>1572.4</v>
      </c>
      <c r="Q91" s="2"/>
      <c r="R91" s="19"/>
      <c r="S91" s="2"/>
      <c r="T91" s="2">
        <f>--2831.04</f>
        <v>2831.04</v>
      </c>
      <c r="U91" s="2"/>
      <c r="V91" s="19"/>
      <c r="W91" s="2"/>
      <c r="X91" s="2">
        <f t="shared" si="2"/>
        <v>-1258.6399999999999</v>
      </c>
      <c r="Y91" s="2"/>
      <c r="Z91" s="19">
        <f t="shared" si="3"/>
        <v>-0.44458573527749518</v>
      </c>
    </row>
    <row r="92" spans="1:26" s="24" customFormat="1" hidden="1" outlineLevel="1" x14ac:dyDescent="0.25">
      <c r="A92" s="44"/>
      <c r="B92" s="11" t="str">
        <f>CONCATENATE("          ", "4188", " - ", "NON-TAXABLE SALES-MUSIC")</f>
        <v xml:space="preserve">          4188 - NON-TAXABLE SALES-MUSIC</v>
      </c>
      <c r="C92" s="11"/>
      <c r="D92" s="2">
        <f>0</f>
        <v>0</v>
      </c>
      <c r="E92" s="2"/>
      <c r="F92" s="19"/>
      <c r="G92" s="2"/>
      <c r="H92" s="2">
        <f>0</f>
        <v>0</v>
      </c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--219.96</f>
        <v>219.96</v>
      </c>
      <c r="Q92" s="2"/>
      <c r="R92" s="19"/>
      <c r="S92" s="2"/>
      <c r="T92" s="2">
        <f>--199.98</f>
        <v>199.98</v>
      </c>
      <c r="U92" s="2"/>
      <c r="V92" s="19"/>
      <c r="W92" s="2"/>
      <c r="X92" s="2">
        <f t="shared" si="2"/>
        <v>19.980000000000018</v>
      </c>
      <c r="Y92" s="2"/>
      <c r="Z92" s="19">
        <f t="shared" si="3"/>
        <v>9.9909990999100001E-2</v>
      </c>
    </row>
    <row r="93" spans="1:26" s="24" customFormat="1" hidden="1" outlineLevel="1" x14ac:dyDescent="0.25">
      <c r="A93" s="44"/>
      <c r="B93" s="11" t="str">
        <f>CONCATENATE("          ", "4201", " - ", "SALES RETURN TAXABLE-NEW TEXT")</f>
        <v xml:space="preserve">          4201 - SALES RETURN TAXABLE-NEW TEXT</v>
      </c>
      <c r="C93" s="11"/>
      <c r="D93" s="2">
        <f>-314.9</f>
        <v>-314.89999999999998</v>
      </c>
      <c r="E93" s="2"/>
      <c r="F93" s="19"/>
      <c r="G93" s="2"/>
      <c r="H93" s="2">
        <f>-829.9</f>
        <v>-829.9</v>
      </c>
      <c r="I93" s="2"/>
      <c r="J93" s="19"/>
      <c r="K93" s="2"/>
      <c r="L93" s="2">
        <f t="shared" si="0"/>
        <v>515</v>
      </c>
      <c r="M93" s="2"/>
      <c r="N93" s="19">
        <f t="shared" si="1"/>
        <v>-0.62055669357753951</v>
      </c>
      <c r="O93" s="11"/>
      <c r="P93" s="2">
        <f>-78098.57</f>
        <v>-78098.570000000007</v>
      </c>
      <c r="Q93" s="2"/>
      <c r="R93" s="19"/>
      <c r="S93" s="2"/>
      <c r="T93" s="2">
        <f>-112562.57</f>
        <v>-112562.57</v>
      </c>
      <c r="U93" s="2"/>
      <c r="V93" s="19"/>
      <c r="W93" s="2"/>
      <c r="X93" s="2">
        <f t="shared" si="2"/>
        <v>34464</v>
      </c>
      <c r="Y93" s="2"/>
      <c r="Z93" s="19">
        <f t="shared" si="3"/>
        <v>-0.30617637816904852</v>
      </c>
    </row>
    <row r="94" spans="1:26" s="24" customFormat="1" hidden="1" outlineLevel="1" x14ac:dyDescent="0.25">
      <c r="A94" s="44"/>
      <c r="B94" s="11" t="str">
        <f>CONCATENATE("          ", "4202", " - ", "SALES RETURN TAXABLE-USED TEXT")</f>
        <v xml:space="preserve">          4202 - SALES RETURN TAXABLE-USED TEXT</v>
      </c>
      <c r="C94" s="11"/>
      <c r="D94" s="2">
        <f>-113.2</f>
        <v>-113.2</v>
      </c>
      <c r="E94" s="2"/>
      <c r="F94" s="19"/>
      <c r="G94" s="2"/>
      <c r="H94" s="2">
        <f>-368.75</f>
        <v>-368.75</v>
      </c>
      <c r="I94" s="2"/>
      <c r="J94" s="19"/>
      <c r="K94" s="2"/>
      <c r="L94" s="2">
        <f t="shared" si="0"/>
        <v>255.55</v>
      </c>
      <c r="M94" s="2"/>
      <c r="N94" s="19">
        <f t="shared" si="1"/>
        <v>-0.69301694915254242</v>
      </c>
      <c r="O94" s="11"/>
      <c r="P94" s="2">
        <f>-27042.2</f>
        <v>-27042.2</v>
      </c>
      <c r="Q94" s="2"/>
      <c r="R94" s="19"/>
      <c r="S94" s="2"/>
      <c r="T94" s="2">
        <f>-29468.4</f>
        <v>-29468.400000000001</v>
      </c>
      <c r="U94" s="2"/>
      <c r="V94" s="19"/>
      <c r="W94" s="2"/>
      <c r="X94" s="2">
        <f t="shared" si="2"/>
        <v>2426.2000000000007</v>
      </c>
      <c r="Y94" s="2"/>
      <c r="Z94" s="19">
        <f t="shared" si="3"/>
        <v>-8.2332260998221843E-2</v>
      </c>
    </row>
    <row r="95" spans="1:26" s="24" customFormat="1" hidden="1" outlineLevel="1" x14ac:dyDescent="0.25">
      <c r="A95" s="44"/>
      <c r="B95" s="11" t="str">
        <f>CONCATENATE("          ", "4203", " - ", "SALES RETURN TAXABLE-RENTAL TE")</f>
        <v xml:space="preserve">          4203 - SALES RETURN TAXABLE-RENTAL TE</v>
      </c>
      <c r="C95" s="11"/>
      <c r="D95" s="2">
        <f>0</f>
        <v>0</v>
      </c>
      <c r="E95" s="2"/>
      <c r="F95" s="19"/>
      <c r="G95" s="2"/>
      <c r="H95" s="2">
        <f>-169.95</f>
        <v>-169.95</v>
      </c>
      <c r="I95" s="2"/>
      <c r="J95" s="19"/>
      <c r="K95" s="2"/>
      <c r="L95" s="2">
        <f t="shared" si="0"/>
        <v>169.95</v>
      </c>
      <c r="M95" s="2"/>
      <c r="N95" s="19">
        <f t="shared" si="1"/>
        <v>-1</v>
      </c>
      <c r="O95" s="11"/>
      <c r="P95" s="2">
        <f>-144.99</f>
        <v>-144.99</v>
      </c>
      <c r="Q95" s="2"/>
      <c r="R95" s="19"/>
      <c r="S95" s="2"/>
      <c r="T95" s="2">
        <f>-1699.5</f>
        <v>-1699.5</v>
      </c>
      <c r="U95" s="2"/>
      <c r="V95" s="19"/>
      <c r="W95" s="2"/>
      <c r="X95" s="2">
        <f t="shared" si="2"/>
        <v>1554.51</v>
      </c>
      <c r="Y95" s="2"/>
      <c r="Z95" s="19">
        <f t="shared" si="3"/>
        <v>-0.9146866725507502</v>
      </c>
    </row>
    <row r="96" spans="1:26" s="24" customFormat="1" hidden="1" outlineLevel="1" x14ac:dyDescent="0.25">
      <c r="A96" s="44"/>
      <c r="B96" s="11" t="str">
        <f>CONCATENATE("          ", "4204", " - ", "SALES RETURN TAXABLE-DIGITAL T")</f>
        <v xml:space="preserve">          4204 - SALES RETURN TAXABLE-DIGITAL T</v>
      </c>
      <c r="C96" s="11"/>
      <c r="D96" s="2">
        <f>-119.4</f>
        <v>-119.4</v>
      </c>
      <c r="E96" s="2"/>
      <c r="F96" s="19"/>
      <c r="G96" s="2"/>
      <c r="H96" s="2">
        <f>-487.29</f>
        <v>-487.29</v>
      </c>
      <c r="I96" s="2"/>
      <c r="J96" s="19"/>
      <c r="K96" s="2"/>
      <c r="L96" s="2">
        <f t="shared" si="0"/>
        <v>367.89</v>
      </c>
      <c r="M96" s="2"/>
      <c r="N96" s="19">
        <f t="shared" si="1"/>
        <v>-0.75497137228344513</v>
      </c>
      <c r="O96" s="11"/>
      <c r="P96" s="2">
        <f>-11369.46</f>
        <v>-11369.46</v>
      </c>
      <c r="Q96" s="2"/>
      <c r="R96" s="19"/>
      <c r="S96" s="2"/>
      <c r="T96" s="2">
        <f>-15987.07</f>
        <v>-15987.07</v>
      </c>
      <c r="U96" s="2"/>
      <c r="V96" s="19"/>
      <c r="W96" s="2"/>
      <c r="X96" s="2">
        <f t="shared" si="2"/>
        <v>4617.6100000000006</v>
      </c>
      <c r="Y96" s="2"/>
      <c r="Z96" s="19">
        <f t="shared" si="3"/>
        <v>-0.28883403900777321</v>
      </c>
    </row>
    <row r="97" spans="1:26" s="24" customFormat="1" hidden="1" outlineLevel="1" x14ac:dyDescent="0.25">
      <c r="A97" s="44"/>
      <c r="B97" s="11" t="str">
        <f>CONCATENATE("          ", "4213", " - ", "NON-TAXABLE SALES-TRADE BOOKS")</f>
        <v xml:space="preserve">          4213 - NON-TAXABLE SALES-TRADE BOOKS</v>
      </c>
      <c r="C97" s="11"/>
      <c r="D97" s="2">
        <f>-67.34</f>
        <v>-67.34</v>
      </c>
      <c r="E97" s="2"/>
      <c r="F97" s="19"/>
      <c r="G97" s="2"/>
      <c r="H97" s="2">
        <f>-81.96</f>
        <v>-81.96</v>
      </c>
      <c r="I97" s="2"/>
      <c r="J97" s="19"/>
      <c r="K97" s="2"/>
      <c r="L97" s="2">
        <f t="shared" si="0"/>
        <v>14.61999999999999</v>
      </c>
      <c r="M97" s="2"/>
      <c r="N97" s="19">
        <f t="shared" si="1"/>
        <v>-0.17837969741337228</v>
      </c>
      <c r="O97" s="11"/>
      <c r="P97" s="2">
        <f>-102.71</f>
        <v>-102.71</v>
      </c>
      <c r="Q97" s="2"/>
      <c r="R97" s="19"/>
      <c r="S97" s="2"/>
      <c r="T97" s="2">
        <f>-96.96</f>
        <v>-96.96</v>
      </c>
      <c r="U97" s="2"/>
      <c r="V97" s="19"/>
      <c r="W97" s="2"/>
      <c r="X97" s="2">
        <f t="shared" si="2"/>
        <v>-5.75</v>
      </c>
      <c r="Y97" s="2"/>
      <c r="Z97" s="19">
        <f t="shared" si="3"/>
        <v>5.9302805280528059E-2</v>
      </c>
    </row>
    <row r="98" spans="1:26" s="24" customFormat="1" hidden="1" outlineLevel="1" x14ac:dyDescent="0.25">
      <c r="A98" s="44"/>
      <c r="B98" s="11" t="str">
        <f>CONCATENATE("          ", "4214", " - ", "SALES RETURN TAXABLE-REMAINDER")</f>
        <v xml:space="preserve">          4214 - SALES RETURN TAXABLE-REMAINDER</v>
      </c>
      <c r="C98" s="11"/>
      <c r="D98" s="2">
        <f t="shared" ref="D98:D100" si="6">0</f>
        <v>0</v>
      </c>
      <c r="E98" s="2"/>
      <c r="F98" s="19"/>
      <c r="G98" s="2"/>
      <c r="H98" s="2">
        <f>-3.95</f>
        <v>-3.95</v>
      </c>
      <c r="I98" s="2"/>
      <c r="J98" s="19"/>
      <c r="K98" s="2"/>
      <c r="L98" s="2">
        <f t="shared" si="0"/>
        <v>3.95</v>
      </c>
      <c r="M98" s="2"/>
      <c r="N98" s="19">
        <f t="shared" si="1"/>
        <v>-1</v>
      </c>
      <c r="O98" s="11"/>
      <c r="P98" s="2">
        <f>0</f>
        <v>0</v>
      </c>
      <c r="Q98" s="2"/>
      <c r="R98" s="19"/>
      <c r="S98" s="2"/>
      <c r="T98" s="2">
        <f>-3.95</f>
        <v>-3.95</v>
      </c>
      <c r="U98" s="2"/>
      <c r="V98" s="19"/>
      <c r="W98" s="2"/>
      <c r="X98" s="2">
        <f t="shared" si="2"/>
        <v>3.95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"4217", " - ", "NON-TAXABLE SALES-DORM/HOUSEWA")</f>
        <v xml:space="preserve">          4217 - NON-TAXABLE SALES-DORM/HOUSEWA</v>
      </c>
      <c r="C99" s="11"/>
      <c r="D99" s="2">
        <f t="shared" si="6"/>
        <v>0</v>
      </c>
      <c r="E99" s="2"/>
      <c r="F99" s="19"/>
      <c r="G99" s="2"/>
      <c r="H99" s="2">
        <f t="shared" ref="H99:H100" si="7">0</f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-2.98</f>
        <v>-2.98</v>
      </c>
      <c r="Q99" s="2"/>
      <c r="R99" s="19"/>
      <c r="S99" s="2"/>
      <c r="T99" s="2">
        <f>-1.5</f>
        <v>-1.5</v>
      </c>
      <c r="U99" s="2"/>
      <c r="V99" s="19"/>
      <c r="W99" s="2"/>
      <c r="X99" s="2">
        <f t="shared" si="2"/>
        <v>-1.48</v>
      </c>
      <c r="Y99" s="2"/>
      <c r="Z99" s="19">
        <f t="shared" si="3"/>
        <v>0.98666666666666669</v>
      </c>
    </row>
    <row r="100" spans="1:26" s="24" customFormat="1" hidden="1" outlineLevel="1" x14ac:dyDescent="0.25">
      <c r="A100" s="44"/>
      <c r="B100" s="11" t="str">
        <f>CONCATENATE("          ", "4218", " - ", "SALES RETURN TAXABLE-STUDY GUI")</f>
        <v xml:space="preserve">          4218 - SALES RETURN TAXABLE-STUDY GUI</v>
      </c>
      <c r="C100" s="11"/>
      <c r="D100" s="2">
        <f t="shared" si="6"/>
        <v>0</v>
      </c>
      <c r="E100" s="2"/>
      <c r="F100" s="19"/>
      <c r="G100" s="2"/>
      <c r="H100" s="2">
        <f t="shared" si="7"/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-32.75</f>
        <v>-32.75</v>
      </c>
      <c r="Q100" s="2"/>
      <c r="R100" s="19"/>
      <c r="S100" s="2"/>
      <c r="T100" s="2">
        <f>-22.9</f>
        <v>-22.9</v>
      </c>
      <c r="U100" s="2"/>
      <c r="V100" s="19"/>
      <c r="W100" s="2"/>
      <c r="X100" s="2">
        <f t="shared" si="2"/>
        <v>-9.8500000000000014</v>
      </c>
      <c r="Y100" s="2"/>
      <c r="Z100" s="19">
        <f t="shared" si="3"/>
        <v>0.43013100436681234</v>
      </c>
    </row>
    <row r="101" spans="1:26" s="24" customFormat="1" hidden="1" outlineLevel="1" x14ac:dyDescent="0.25">
      <c r="A101" s="44"/>
      <c r="B101" s="11" t="str">
        <f>CONCATENATE("          ", "4225", " - ", "SALES RETURN TAXABLE-TEST FORM")</f>
        <v xml:space="preserve">          4225 - SALES RETURN TAXABLE-TEST FORM</v>
      </c>
      <c r="C101" s="11"/>
      <c r="D101" s="2">
        <f>-23.91</f>
        <v>-23.91</v>
      </c>
      <c r="E101" s="2"/>
      <c r="F101" s="19"/>
      <c r="G101" s="2"/>
      <c r="H101" s="2">
        <f>-1.13</f>
        <v>-1.1299999999999999</v>
      </c>
      <c r="I101" s="2"/>
      <c r="J101" s="19"/>
      <c r="K101" s="2"/>
      <c r="L101" s="2">
        <f t="shared" si="0"/>
        <v>-22.78</v>
      </c>
      <c r="M101" s="2"/>
      <c r="N101" s="19">
        <f t="shared" si="1"/>
        <v>20.159292035398234</v>
      </c>
      <c r="O101" s="11"/>
      <c r="P101" s="2">
        <f>-65.46</f>
        <v>-65.459999999999994</v>
      </c>
      <c r="Q101" s="2"/>
      <c r="R101" s="19"/>
      <c r="S101" s="2"/>
      <c r="T101" s="2">
        <f>-62.42</f>
        <v>-62.42</v>
      </c>
      <c r="U101" s="2"/>
      <c r="V101" s="19"/>
      <c r="W101" s="2"/>
      <c r="X101" s="2">
        <f t="shared" si="2"/>
        <v>-3.039999999999992</v>
      </c>
      <c r="Y101" s="2"/>
      <c r="Z101" s="19">
        <f t="shared" si="3"/>
        <v>4.8702338993912075E-2</v>
      </c>
    </row>
    <row r="102" spans="1:26" s="24" customFormat="1" hidden="1" outlineLevel="1" x14ac:dyDescent="0.25">
      <c r="A102" s="44"/>
      <c r="B102" s="11" t="str">
        <f>CONCATENATE("          ", "4226", " - ", "SALES RETURN TAXABLE-WRITING I")</f>
        <v xml:space="preserve">          4226 - SALES RETURN TAXABLE-WRITING I</v>
      </c>
      <c r="C102" s="11"/>
      <c r="D102" s="2">
        <f>-13.74</f>
        <v>-13.74</v>
      </c>
      <c r="E102" s="2"/>
      <c r="F102" s="19"/>
      <c r="G102" s="2"/>
      <c r="H102" s="2">
        <f>-20.28</f>
        <v>-20.28</v>
      </c>
      <c r="I102" s="2"/>
      <c r="J102" s="19"/>
      <c r="K102" s="2"/>
      <c r="L102" s="2">
        <f t="shared" si="0"/>
        <v>6.5400000000000009</v>
      </c>
      <c r="M102" s="2"/>
      <c r="N102" s="19">
        <f t="shared" si="1"/>
        <v>-0.32248520710059175</v>
      </c>
      <c r="O102" s="11"/>
      <c r="P102" s="2">
        <f>-489.71</f>
        <v>-489.71</v>
      </c>
      <c r="Q102" s="2"/>
      <c r="R102" s="19"/>
      <c r="S102" s="2"/>
      <c r="T102" s="2">
        <f>-261.43</f>
        <v>-261.43</v>
      </c>
      <c r="U102" s="2"/>
      <c r="V102" s="19"/>
      <c r="W102" s="2"/>
      <c r="X102" s="2">
        <f t="shared" si="2"/>
        <v>-228.27999999999997</v>
      </c>
      <c r="Y102" s="2"/>
      <c r="Z102" s="19">
        <f t="shared" si="3"/>
        <v>0.8731974142217801</v>
      </c>
    </row>
    <row r="103" spans="1:26" s="24" customFormat="1" hidden="1" outlineLevel="1" x14ac:dyDescent="0.25">
      <c r="A103" s="44"/>
      <c r="B103" s="11" t="str">
        <f>CONCATENATE("          ", "4227", " - ", "SALES RETURN TAXABLE-SCHOOL SU")</f>
        <v xml:space="preserve">          4227 - SALES RETURN TAXABLE-SCHOOL SU</v>
      </c>
      <c r="C103" s="11"/>
      <c r="D103" s="2">
        <f>-917.34</f>
        <v>-917.34</v>
      </c>
      <c r="E103" s="2"/>
      <c r="F103" s="19"/>
      <c r="G103" s="2"/>
      <c r="H103" s="2">
        <f>-398.16</f>
        <v>-398.16</v>
      </c>
      <c r="I103" s="2"/>
      <c r="J103" s="19"/>
      <c r="K103" s="2"/>
      <c r="L103" s="2">
        <f t="shared" si="0"/>
        <v>-519.18000000000006</v>
      </c>
      <c r="M103" s="2"/>
      <c r="N103" s="19">
        <f t="shared" si="1"/>
        <v>1.3039481615430983</v>
      </c>
      <c r="O103" s="11"/>
      <c r="P103" s="2">
        <f>-5743.82</f>
        <v>-5743.82</v>
      </c>
      <c r="Q103" s="2"/>
      <c r="R103" s="19"/>
      <c r="S103" s="2"/>
      <c r="T103" s="2">
        <f>-2499</f>
        <v>-2499</v>
      </c>
      <c r="U103" s="2"/>
      <c r="V103" s="19"/>
      <c r="W103" s="2"/>
      <c r="X103" s="2">
        <f t="shared" si="2"/>
        <v>-3244.8199999999997</v>
      </c>
      <c r="Y103" s="2"/>
      <c r="Z103" s="19">
        <f t="shared" si="3"/>
        <v>1.2984473789515805</v>
      </c>
    </row>
    <row r="104" spans="1:26" s="24" customFormat="1" hidden="1" outlineLevel="1" x14ac:dyDescent="0.25">
      <c r="A104" s="44"/>
      <c r="B104" s="11" t="str">
        <f>CONCATENATE("          ", "4228", " - ", "SALES RETURN TAXABLE-ART/TECH")</f>
        <v xml:space="preserve">          4228 - SALES RETURN TAXABLE-ART/TECH</v>
      </c>
      <c r="C104" s="11"/>
      <c r="D104" s="2">
        <f>-441.03</f>
        <v>-441.03</v>
      </c>
      <c r="E104" s="2"/>
      <c r="F104" s="19"/>
      <c r="G104" s="2"/>
      <c r="H104" s="2">
        <f>-371.18</f>
        <v>-371.18</v>
      </c>
      <c r="I104" s="2"/>
      <c r="J104" s="19"/>
      <c r="K104" s="2"/>
      <c r="L104" s="2">
        <f t="shared" si="0"/>
        <v>-69.849999999999966</v>
      </c>
      <c r="M104" s="2"/>
      <c r="N104" s="19">
        <f t="shared" si="1"/>
        <v>0.18818363058354429</v>
      </c>
      <c r="O104" s="11"/>
      <c r="P104" s="2">
        <f>-2871.29</f>
        <v>-2871.29</v>
      </c>
      <c r="Q104" s="2"/>
      <c r="R104" s="19"/>
      <c r="S104" s="2"/>
      <c r="T104" s="2">
        <f>-4147.97</f>
        <v>-4147.97</v>
      </c>
      <c r="U104" s="2"/>
      <c r="V104" s="19"/>
      <c r="W104" s="2"/>
      <c r="X104" s="2">
        <f t="shared" si="2"/>
        <v>1276.6800000000003</v>
      </c>
      <c r="Y104" s="2"/>
      <c r="Z104" s="19">
        <f t="shared" si="3"/>
        <v>-0.30778428966458299</v>
      </c>
    </row>
    <row r="105" spans="1:26" s="24" customFormat="1" hidden="1" outlineLevel="1" x14ac:dyDescent="0.25">
      <c r="A105" s="44"/>
      <c r="B105" s="11" t="str">
        <f>CONCATENATE("          ", "4233", " - ", "SALES RETURN TAXABLE-CANDY")</f>
        <v xml:space="preserve">          4233 - SALES RETURN TAXABLE-CANDY</v>
      </c>
      <c r="C105" s="11"/>
      <c r="D105" s="2">
        <f>-1.29</f>
        <v>-1.29</v>
      </c>
      <c r="E105" s="2"/>
      <c r="F105" s="19"/>
      <c r="G105" s="2"/>
      <c r="H105" s="2">
        <f>0</f>
        <v>0</v>
      </c>
      <c r="I105" s="2"/>
      <c r="J105" s="19"/>
      <c r="K105" s="2"/>
      <c r="L105" s="2">
        <f t="shared" si="0"/>
        <v>-1.29</v>
      </c>
      <c r="M105" s="2"/>
      <c r="N105" s="19">
        <f t="shared" si="1"/>
        <v>0</v>
      </c>
      <c r="O105" s="11"/>
      <c r="P105" s="2">
        <f>-1.29</f>
        <v>-1.29</v>
      </c>
      <c r="Q105" s="2"/>
      <c r="R105" s="19"/>
      <c r="S105" s="2"/>
      <c r="T105" s="2">
        <f>-3.58</f>
        <v>-3.58</v>
      </c>
      <c r="U105" s="2"/>
      <c r="V105" s="19"/>
      <c r="W105" s="2"/>
      <c r="X105" s="2">
        <f t="shared" si="2"/>
        <v>2.29</v>
      </c>
      <c r="Y105" s="2"/>
      <c r="Z105" s="19">
        <f t="shared" si="3"/>
        <v>-0.63966480446927376</v>
      </c>
    </row>
    <row r="106" spans="1:26" s="24" customFormat="1" hidden="1" outlineLevel="1" x14ac:dyDescent="0.25">
      <c r="A106" s="44"/>
      <c r="B106" s="11" t="str">
        <f>CONCATENATE("          ", "4240", " - ", "SALES RETURN TAXABLE-LOGO CLOT")</f>
        <v xml:space="preserve">          4240 - SALES RETURN TAXABLE-LOGO CLOT</v>
      </c>
      <c r="C106" s="11"/>
      <c r="D106" s="2">
        <f>-10814.23</f>
        <v>-10814.23</v>
      </c>
      <c r="E106" s="2"/>
      <c r="F106" s="19"/>
      <c r="G106" s="2"/>
      <c r="H106" s="2">
        <f>-7975.12</f>
        <v>-7975.12</v>
      </c>
      <c r="I106" s="2"/>
      <c r="J106" s="19"/>
      <c r="K106" s="2"/>
      <c r="L106" s="2">
        <f t="shared" si="0"/>
        <v>-2839.1099999999997</v>
      </c>
      <c r="M106" s="2"/>
      <c r="N106" s="19">
        <f t="shared" si="1"/>
        <v>0.35599589724041764</v>
      </c>
      <c r="O106" s="11"/>
      <c r="P106" s="2">
        <f>-41109.03</f>
        <v>-41109.03</v>
      </c>
      <c r="Q106" s="2"/>
      <c r="R106" s="19"/>
      <c r="S106" s="2"/>
      <c r="T106" s="2">
        <f>-36596.53</f>
        <v>-36596.53</v>
      </c>
      <c r="U106" s="2"/>
      <c r="V106" s="19"/>
      <c r="W106" s="2"/>
      <c r="X106" s="2">
        <f t="shared" si="2"/>
        <v>-4512.5</v>
      </c>
      <c r="Y106" s="2"/>
      <c r="Z106" s="19">
        <f t="shared" si="3"/>
        <v>0.12330404002783871</v>
      </c>
    </row>
    <row r="107" spans="1:26" s="24" customFormat="1" hidden="1" outlineLevel="1" x14ac:dyDescent="0.25">
      <c r="A107" s="44"/>
      <c r="B107" s="11" t="str">
        <f>CONCATENATE("          ", "4241", " - ", "SALES RETURN TAXABLE-LOGO GIFT")</f>
        <v xml:space="preserve">          4241 - SALES RETURN TAXABLE-LOGO GIFT</v>
      </c>
      <c r="C107" s="11"/>
      <c r="D107" s="2">
        <f>-491.64</f>
        <v>-491.64</v>
      </c>
      <c r="E107" s="2"/>
      <c r="F107" s="19"/>
      <c r="G107" s="2"/>
      <c r="H107" s="2">
        <f>-373.89</f>
        <v>-373.89</v>
      </c>
      <c r="I107" s="2"/>
      <c r="J107" s="19"/>
      <c r="K107" s="2"/>
      <c r="L107" s="2">
        <f t="shared" si="0"/>
        <v>-117.75</v>
      </c>
      <c r="M107" s="2"/>
      <c r="N107" s="19">
        <f t="shared" si="1"/>
        <v>0.31493219930995747</v>
      </c>
      <c r="O107" s="11"/>
      <c r="P107" s="2">
        <f>-3209.59</f>
        <v>-3209.59</v>
      </c>
      <c r="Q107" s="2"/>
      <c r="R107" s="19"/>
      <c r="S107" s="2"/>
      <c r="T107" s="2">
        <f>-3791.56</f>
        <v>-3791.56</v>
      </c>
      <c r="U107" s="2"/>
      <c r="V107" s="19"/>
      <c r="W107" s="2"/>
      <c r="X107" s="2">
        <f t="shared" si="2"/>
        <v>581.9699999999998</v>
      </c>
      <c r="Y107" s="2"/>
      <c r="Z107" s="19">
        <f t="shared" si="3"/>
        <v>-0.1534909113926721</v>
      </c>
    </row>
    <row r="108" spans="1:26" s="24" customFormat="1" hidden="1" outlineLevel="1" x14ac:dyDescent="0.25">
      <c r="A108" s="44"/>
      <c r="B108" s="11" t="str">
        <f>CONCATENATE("          ", "4242", " - ", "SALES RETURN TAXABLE-EVERYDAY")</f>
        <v xml:space="preserve">          4242 - SALES RETURN TAXABLE-EVERYDAY</v>
      </c>
      <c r="C108" s="11"/>
      <c r="D108" s="2">
        <f>-532.3</f>
        <v>-532.29999999999995</v>
      </c>
      <c r="E108" s="2"/>
      <c r="F108" s="19"/>
      <c r="G108" s="2"/>
      <c r="H108" s="2">
        <f>-243.08</f>
        <v>-243.08</v>
      </c>
      <c r="I108" s="2"/>
      <c r="J108" s="19"/>
      <c r="K108" s="2"/>
      <c r="L108" s="2">
        <f t="shared" si="0"/>
        <v>-289.21999999999991</v>
      </c>
      <c r="M108" s="2"/>
      <c r="N108" s="19">
        <f t="shared" si="1"/>
        <v>1.1898140529866705</v>
      </c>
      <c r="O108" s="11"/>
      <c r="P108" s="2">
        <f>-1691.87</f>
        <v>-1691.87</v>
      </c>
      <c r="Q108" s="2"/>
      <c r="R108" s="19"/>
      <c r="S108" s="2"/>
      <c r="T108" s="2">
        <f>-1309.3</f>
        <v>-1309.3</v>
      </c>
      <c r="U108" s="2"/>
      <c r="V108" s="19"/>
      <c r="W108" s="2"/>
      <c r="X108" s="2">
        <f t="shared" si="2"/>
        <v>-382.56999999999994</v>
      </c>
      <c r="Y108" s="2"/>
      <c r="Z108" s="19">
        <f t="shared" si="3"/>
        <v>0.29219430229893834</v>
      </c>
    </row>
    <row r="109" spans="1:26" s="24" customFormat="1" hidden="1" outlineLevel="1" x14ac:dyDescent="0.25">
      <c r="A109" s="44"/>
      <c r="B109" s="11" t="str">
        <f>CONCATENATE("          ", "4243", " - ", "SALES RETURN TAXABLE-CARDS")</f>
        <v xml:space="preserve">          4243 - SALES RETURN TAXABLE-CARDS</v>
      </c>
      <c r="C109" s="11"/>
      <c r="D109" s="2">
        <f>-316.34</f>
        <v>-316.33999999999997</v>
      </c>
      <c r="E109" s="2"/>
      <c r="F109" s="19"/>
      <c r="G109" s="2"/>
      <c r="H109" s="2">
        <f>-7</f>
        <v>-7</v>
      </c>
      <c r="I109" s="2"/>
      <c r="J109" s="19"/>
      <c r="K109" s="2"/>
      <c r="L109" s="2">
        <f t="shared" si="0"/>
        <v>-309.33999999999997</v>
      </c>
      <c r="M109" s="2"/>
      <c r="N109" s="19">
        <f t="shared" si="1"/>
        <v>44.191428571428567</v>
      </c>
      <c r="O109" s="11"/>
      <c r="P109" s="2">
        <f>-320.84</f>
        <v>-320.83999999999997</v>
      </c>
      <c r="Q109" s="2"/>
      <c r="R109" s="19"/>
      <c r="S109" s="2"/>
      <c r="T109" s="2">
        <f>-19.95</f>
        <v>-19.95</v>
      </c>
      <c r="U109" s="2"/>
      <c r="V109" s="19"/>
      <c r="W109" s="2"/>
      <c r="X109" s="2">
        <f t="shared" si="2"/>
        <v>-300.89</v>
      </c>
      <c r="Y109" s="2"/>
      <c r="Z109" s="19">
        <f t="shared" si="3"/>
        <v>15.08220551378446</v>
      </c>
    </row>
    <row r="110" spans="1:26" s="24" customFormat="1" hidden="1" outlineLevel="1" x14ac:dyDescent="0.25">
      <c r="A110" s="44"/>
      <c r="B110" s="11" t="str">
        <f>CONCATENATE("          ", "4244", " - ", "SALES RETURN TAXABLE-ACCESSORI")</f>
        <v xml:space="preserve">          4244 - SALES RETURN TAXABLE-ACCESSORI</v>
      </c>
      <c r="C110" s="11"/>
      <c r="D110" s="2">
        <f>-96.7</f>
        <v>-96.7</v>
      </c>
      <c r="E110" s="2"/>
      <c r="F110" s="19"/>
      <c r="G110" s="2"/>
      <c r="H110" s="2">
        <f>-141.81</f>
        <v>-141.81</v>
      </c>
      <c r="I110" s="2"/>
      <c r="J110" s="19"/>
      <c r="K110" s="2"/>
      <c r="L110" s="2">
        <f t="shared" si="0"/>
        <v>45.11</v>
      </c>
      <c r="M110" s="2"/>
      <c r="N110" s="19">
        <f t="shared" si="1"/>
        <v>-0.31810168535364219</v>
      </c>
      <c r="O110" s="11"/>
      <c r="P110" s="2">
        <f>-1529.06</f>
        <v>-1529.06</v>
      </c>
      <c r="Q110" s="2"/>
      <c r="R110" s="19"/>
      <c r="S110" s="2"/>
      <c r="T110" s="2">
        <f>-2589.87</f>
        <v>-2589.87</v>
      </c>
      <c r="U110" s="2"/>
      <c r="V110" s="19"/>
      <c r="W110" s="2"/>
      <c r="X110" s="2">
        <f t="shared" si="2"/>
        <v>1060.81</v>
      </c>
      <c r="Y110" s="2"/>
      <c r="Z110" s="19">
        <f t="shared" si="3"/>
        <v>-0.40959970963793552</v>
      </c>
    </row>
    <row r="111" spans="1:26" s="24" customFormat="1" hidden="1" outlineLevel="1" x14ac:dyDescent="0.25">
      <c r="A111" s="44"/>
      <c r="B111" s="11" t="str">
        <f>CONCATENATE("          ", "4245", " - ", "SALES RETURN TAXABLE-SPECIAL O")</f>
        <v xml:space="preserve">          4245 - SALES RETURN TAXABLE-SPECIAL O</v>
      </c>
      <c r="C111" s="11"/>
      <c r="D111" s="2">
        <f>0</f>
        <v>0</v>
      </c>
      <c r="E111" s="2"/>
      <c r="F111" s="19"/>
      <c r="G111" s="2"/>
      <c r="H111" s="2">
        <f>-44.94</f>
        <v>-44.94</v>
      </c>
      <c r="I111" s="2"/>
      <c r="J111" s="19"/>
      <c r="K111" s="2"/>
      <c r="L111" s="2">
        <f t="shared" si="0"/>
        <v>44.94</v>
      </c>
      <c r="M111" s="2"/>
      <c r="N111" s="19">
        <f t="shared" si="1"/>
        <v>-1</v>
      </c>
      <c r="O111" s="11"/>
      <c r="P111" s="2">
        <f>-91.96</f>
        <v>-91.96</v>
      </c>
      <c r="Q111" s="2"/>
      <c r="R111" s="19"/>
      <c r="S111" s="2"/>
      <c r="T111" s="2">
        <f>-219.79</f>
        <v>-219.79</v>
      </c>
      <c r="U111" s="2"/>
      <c r="V111" s="19"/>
      <c r="W111" s="2"/>
      <c r="X111" s="2">
        <f t="shared" si="2"/>
        <v>127.83</v>
      </c>
      <c r="Y111" s="2"/>
      <c r="Z111" s="19">
        <f t="shared" si="3"/>
        <v>-0.58160061877246461</v>
      </c>
    </row>
    <row r="112" spans="1:26" s="24" customFormat="1" hidden="1" outlineLevel="1" x14ac:dyDescent="0.25">
      <c r="A112" s="44"/>
      <c r="B112" s="11" t="str">
        <f>CONCATENATE("          ", "4281", " - ", "SALES RETURN TAXABLE-ELECTRONI")</f>
        <v xml:space="preserve">          4281 - SALES RETURN TAXABLE-ELECTRONI</v>
      </c>
      <c r="C112" s="11"/>
      <c r="D112" s="2">
        <f>-445.93</f>
        <v>-445.93</v>
      </c>
      <c r="E112" s="2"/>
      <c r="F112" s="19"/>
      <c r="G112" s="2"/>
      <c r="H112" s="2">
        <f>-646.85</f>
        <v>-646.85</v>
      </c>
      <c r="I112" s="2"/>
      <c r="J112" s="19"/>
      <c r="K112" s="2"/>
      <c r="L112" s="2">
        <f t="shared" si="0"/>
        <v>200.92000000000002</v>
      </c>
      <c r="M112" s="2"/>
      <c r="N112" s="19">
        <f t="shared" si="1"/>
        <v>-0.31061297054958648</v>
      </c>
      <c r="O112" s="11"/>
      <c r="P112" s="2">
        <f>-5047.06</f>
        <v>-5047.0600000000004</v>
      </c>
      <c r="Q112" s="2"/>
      <c r="R112" s="19"/>
      <c r="S112" s="2"/>
      <c r="T112" s="2">
        <f>-4513.02</f>
        <v>-4513.0200000000004</v>
      </c>
      <c r="U112" s="2"/>
      <c r="V112" s="19"/>
      <c r="W112" s="2"/>
      <c r="X112" s="2">
        <f t="shared" si="2"/>
        <v>-534.04</v>
      </c>
      <c r="Y112" s="2"/>
      <c r="Z112" s="19">
        <f t="shared" si="3"/>
        <v>0.11833317822655337</v>
      </c>
    </row>
    <row r="113" spans="1:26" s="24" customFormat="1" hidden="1" outlineLevel="1" x14ac:dyDescent="0.25">
      <c r="A113" s="44"/>
      <c r="B113" s="11" t="str">
        <f>CONCATENATE("          ", "4282", " - ", "SALES RETURN TAXABLE-COMPUTER")</f>
        <v xml:space="preserve">          4282 - SALES RETURN TAXABLE-COMPUTER</v>
      </c>
      <c r="C113" s="11"/>
      <c r="D113" s="2">
        <f>-10339.73</f>
        <v>-10339.73</v>
      </c>
      <c r="E113" s="2"/>
      <c r="F113" s="19"/>
      <c r="G113" s="2"/>
      <c r="H113" s="2">
        <f>-4801.4</f>
        <v>-4801.3999999999996</v>
      </c>
      <c r="I113" s="2"/>
      <c r="J113" s="19"/>
      <c r="K113" s="2"/>
      <c r="L113" s="2">
        <f t="shared" si="0"/>
        <v>-5538.33</v>
      </c>
      <c r="M113" s="2"/>
      <c r="N113" s="19">
        <f t="shared" si="1"/>
        <v>1.1534823176573501</v>
      </c>
      <c r="O113" s="11"/>
      <c r="P113" s="2">
        <f>-180477.59</f>
        <v>-180477.59</v>
      </c>
      <c r="Q113" s="2"/>
      <c r="R113" s="19"/>
      <c r="S113" s="2"/>
      <c r="T113" s="2">
        <f>-37576.67</f>
        <v>-37576.67</v>
      </c>
      <c r="U113" s="2"/>
      <c r="V113" s="19"/>
      <c r="W113" s="2"/>
      <c r="X113" s="2">
        <f t="shared" si="2"/>
        <v>-142900.91999999998</v>
      </c>
      <c r="Y113" s="2"/>
      <c r="Z113" s="19">
        <f t="shared" si="3"/>
        <v>3.8029160114507219</v>
      </c>
    </row>
    <row r="114" spans="1:26" s="24" customFormat="1" hidden="1" outlineLevel="1" x14ac:dyDescent="0.25">
      <c r="A114" s="44"/>
      <c r="B114" s="11" t="str">
        <f>CONCATENATE("          ", "4283", " - ", "SALES RETURN TAXABLE-COMPUTER")</f>
        <v xml:space="preserve">          4283 - SALES RETURN TAXABLE-COMPUTER</v>
      </c>
      <c r="C114" s="11"/>
      <c r="D114" s="2">
        <f>-423.91</f>
        <v>-423.91</v>
      </c>
      <c r="E114" s="2"/>
      <c r="F114" s="19"/>
      <c r="G114" s="2"/>
      <c r="H114" s="2">
        <f>-403.71</f>
        <v>-403.71</v>
      </c>
      <c r="I114" s="2"/>
      <c r="J114" s="19"/>
      <c r="K114" s="2"/>
      <c r="L114" s="2">
        <f t="shared" si="0"/>
        <v>-20.200000000000045</v>
      </c>
      <c r="M114" s="2"/>
      <c r="N114" s="19">
        <f t="shared" si="1"/>
        <v>5.0035916871021394E-2</v>
      </c>
      <c r="O114" s="11"/>
      <c r="P114" s="2">
        <f>-2956.24</f>
        <v>-2956.24</v>
      </c>
      <c r="Q114" s="2"/>
      <c r="R114" s="19"/>
      <c r="S114" s="2"/>
      <c r="T114" s="2">
        <f>-3608.53</f>
        <v>-3608.53</v>
      </c>
      <c r="U114" s="2"/>
      <c r="V114" s="19"/>
      <c r="W114" s="2"/>
      <c r="X114" s="2">
        <f t="shared" si="2"/>
        <v>652.29000000000042</v>
      </c>
      <c r="Y114" s="2"/>
      <c r="Z114" s="19">
        <f t="shared" si="3"/>
        <v>-0.1807633579324546</v>
      </c>
    </row>
    <row r="115" spans="1:26" s="24" customFormat="1" hidden="1" outlineLevel="1" x14ac:dyDescent="0.25">
      <c r="A115" s="44"/>
      <c r="B115" s="11" t="str">
        <f>CONCATENATE("          ", "4284", " - ", "SALES RETURN TAXABLE-SOFTWARE")</f>
        <v xml:space="preserve">          4284 - SALES RETURN TAXABLE-SOFTWARE</v>
      </c>
      <c r="C115" s="11"/>
      <c r="D115" s="2">
        <f t="shared" ref="D115:D116" si="8">0</f>
        <v>0</v>
      </c>
      <c r="E115" s="2"/>
      <c r="F115" s="19"/>
      <c r="G115" s="2"/>
      <c r="H115" s="2">
        <f t="shared" ref="H115:H116" si="9">0</f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-129</f>
        <v>-129</v>
      </c>
      <c r="Q115" s="2"/>
      <c r="R115" s="19"/>
      <c r="S115" s="2"/>
      <c r="T115" s="2">
        <f t="shared" ref="T115:T116" si="10">0</f>
        <v>0</v>
      </c>
      <c r="U115" s="2"/>
      <c r="V115" s="19"/>
      <c r="W115" s="2"/>
      <c r="X115" s="2">
        <f t="shared" si="2"/>
        <v>-129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"4285", " - ", "SALES RETURN TAXABLE-SOFTWARE")</f>
        <v xml:space="preserve">          4285 - SALES RETURN TAXABLE-SOFTWARE</v>
      </c>
      <c r="C116" s="11"/>
      <c r="D116" s="2">
        <f t="shared" si="8"/>
        <v>0</v>
      </c>
      <c r="E116" s="2"/>
      <c r="F116" s="19"/>
      <c r="G116" s="2"/>
      <c r="H116" s="2">
        <f t="shared" si="9"/>
        <v>0</v>
      </c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-655.98</f>
        <v>-655.98</v>
      </c>
      <c r="Q116" s="2"/>
      <c r="R116" s="19"/>
      <c r="S116" s="2"/>
      <c r="T116" s="2">
        <f t="shared" si="10"/>
        <v>0</v>
      </c>
      <c r="U116" s="2"/>
      <c r="V116" s="19"/>
      <c r="W116" s="2"/>
      <c r="X116" s="2">
        <f t="shared" si="2"/>
        <v>-655.98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"4286", " - ", "SALES RETURN TAXABLE-COMPUTER")</f>
        <v xml:space="preserve">          4286 - SALES RETURN TAXABLE-COMPUTER</v>
      </c>
      <c r="C117" s="11"/>
      <c r="D117" s="2">
        <f>-340.39</f>
        <v>-340.39</v>
      </c>
      <c r="E117" s="2"/>
      <c r="F117" s="19"/>
      <c r="G117" s="2"/>
      <c r="H117" s="2">
        <f>-331.06</f>
        <v>-331.06</v>
      </c>
      <c r="I117" s="2"/>
      <c r="J117" s="19"/>
      <c r="K117" s="2"/>
      <c r="L117" s="2">
        <f t="shared" si="0"/>
        <v>-9.3299999999999841</v>
      </c>
      <c r="M117" s="2"/>
      <c r="N117" s="19">
        <f t="shared" si="1"/>
        <v>2.8182202621881182E-2</v>
      </c>
      <c r="O117" s="11"/>
      <c r="P117" s="2">
        <f>-2791.99</f>
        <v>-2791.99</v>
      </c>
      <c r="Q117" s="2"/>
      <c r="R117" s="19"/>
      <c r="S117" s="2"/>
      <c r="T117" s="2">
        <f>-2513.62</f>
        <v>-2513.62</v>
      </c>
      <c r="U117" s="2"/>
      <c r="V117" s="19"/>
      <c r="W117" s="2"/>
      <c r="X117" s="2">
        <f t="shared" si="2"/>
        <v>-278.36999999999989</v>
      </c>
      <c r="Y117" s="2"/>
      <c r="Z117" s="19">
        <f t="shared" si="3"/>
        <v>0.11074466307556428</v>
      </c>
    </row>
    <row r="118" spans="1:26" s="24" customFormat="1" hidden="1" outlineLevel="1" x14ac:dyDescent="0.25">
      <c r="A118" s="44"/>
      <c r="B118" s="11" t="str">
        <f>CONCATENATE("          ", "4288", " - ", "TAXABLE SALES RETURN-MUSIC")</f>
        <v xml:space="preserve">          4288 - TAXABLE SALES RETURN-MUSIC</v>
      </c>
      <c r="C118" s="11"/>
      <c r="D118" s="2">
        <f>0</f>
        <v>0</v>
      </c>
      <c r="E118" s="2"/>
      <c r="F118" s="19"/>
      <c r="G118" s="2"/>
      <c r="H118" s="2">
        <f>0</f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-3.99</f>
        <v>-3.99</v>
      </c>
      <c r="Q118" s="2"/>
      <c r="R118" s="19"/>
      <c r="S118" s="2"/>
      <c r="T118" s="2">
        <f>0</f>
        <v>0</v>
      </c>
      <c r="U118" s="2"/>
      <c r="V118" s="19"/>
      <c r="W118" s="2"/>
      <c r="X118" s="2">
        <f t="shared" si="2"/>
        <v>-3.99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"4292", " - ", "SALES RETURN TAXABLE-GRAD MERC")</f>
        <v xml:space="preserve">          4292 - SALES RETURN TAXABLE-GRAD MERC</v>
      </c>
      <c r="C119" s="11"/>
      <c r="D119" s="2">
        <f>-9.95</f>
        <v>-9.9499999999999993</v>
      </c>
      <c r="E119" s="2"/>
      <c r="F119" s="19"/>
      <c r="G119" s="2"/>
      <c r="H119" s="2">
        <f>-9.99</f>
        <v>-9.99</v>
      </c>
      <c r="I119" s="2"/>
      <c r="J119" s="19"/>
      <c r="K119" s="2"/>
      <c r="L119" s="2">
        <f t="shared" si="0"/>
        <v>4.0000000000000924E-2</v>
      </c>
      <c r="M119" s="2"/>
      <c r="N119" s="19">
        <f t="shared" si="1"/>
        <v>-4.0040040040040968E-3</v>
      </c>
      <c r="O119" s="11"/>
      <c r="P119" s="2">
        <f>-419.05</f>
        <v>-419.05</v>
      </c>
      <c r="Q119" s="2"/>
      <c r="R119" s="19"/>
      <c r="S119" s="2"/>
      <c r="T119" s="2">
        <f>-488.24</f>
        <v>-488.24</v>
      </c>
      <c r="U119" s="2"/>
      <c r="V119" s="19"/>
      <c r="W119" s="2"/>
      <c r="X119" s="2">
        <f t="shared" si="2"/>
        <v>69.19</v>
      </c>
      <c r="Y119" s="2"/>
      <c r="Z119" s="19">
        <f t="shared" si="3"/>
        <v>-0.14171309192200557</v>
      </c>
    </row>
    <row r="120" spans="1:26" s="24" customFormat="1" hidden="1" outlineLevel="1" x14ac:dyDescent="0.25">
      <c r="A120" s="44"/>
      <c r="B120" s="11" t="str">
        <f>CONCATENATE("          ", "4295", " - ", "SALES RETURN TAXABLE-CUSTOMER")</f>
        <v xml:space="preserve">          4295 - SALES RETURN TAXABLE-CUSTOMER</v>
      </c>
      <c r="C120" s="11"/>
      <c r="D120" s="2">
        <f t="shared" ref="D120:D123" si="11">0</f>
        <v>0</v>
      </c>
      <c r="E120" s="2"/>
      <c r="F120" s="19"/>
      <c r="G120" s="2"/>
      <c r="H120" s="2">
        <f>-27.72</f>
        <v>-27.72</v>
      </c>
      <c r="I120" s="2"/>
      <c r="J120" s="19"/>
      <c r="K120" s="2"/>
      <c r="L120" s="2">
        <f t="shared" si="0"/>
        <v>27.72</v>
      </c>
      <c r="M120" s="2"/>
      <c r="N120" s="19">
        <f t="shared" si="1"/>
        <v>-1</v>
      </c>
      <c r="O120" s="11"/>
      <c r="P120" s="2">
        <f>--0.99</f>
        <v>0.99</v>
      </c>
      <c r="Q120" s="2"/>
      <c r="R120" s="19"/>
      <c r="S120" s="2"/>
      <c r="T120" s="2">
        <f>-126.72</f>
        <v>-126.72</v>
      </c>
      <c r="U120" s="2"/>
      <c r="V120" s="19"/>
      <c r="W120" s="2"/>
      <c r="X120" s="2">
        <f t="shared" si="2"/>
        <v>127.71</v>
      </c>
      <c r="Y120" s="2"/>
      <c r="Z120" s="19">
        <f t="shared" si="3"/>
        <v>-1.0078125</v>
      </c>
    </row>
    <row r="121" spans="1:26" s="24" customFormat="1" hidden="1" outlineLevel="1" x14ac:dyDescent="0.25">
      <c r="A121" s="44"/>
      <c r="B121" s="11" t="str">
        <f>CONCATENATE("          ", "4301", " - ", "SALES RETURN NON TAXABLE-NEW T")</f>
        <v xml:space="preserve">          4301 - SALES RETURN NON TAXABLE-NEW T</v>
      </c>
      <c r="C121" s="11"/>
      <c r="D121" s="2">
        <f t="shared" si="11"/>
        <v>0</v>
      </c>
      <c r="E121" s="2"/>
      <c r="F121" s="19"/>
      <c r="G121" s="2"/>
      <c r="H121" s="2">
        <f>-111.62</f>
        <v>-111.62</v>
      </c>
      <c r="I121" s="2"/>
      <c r="J121" s="19"/>
      <c r="K121" s="2"/>
      <c r="L121" s="2">
        <f t="shared" si="0"/>
        <v>111.62</v>
      </c>
      <c r="M121" s="2"/>
      <c r="N121" s="19">
        <f t="shared" si="1"/>
        <v>-1</v>
      </c>
      <c r="O121" s="11"/>
      <c r="P121" s="2">
        <f>-12310.98</f>
        <v>-12310.98</v>
      </c>
      <c r="Q121" s="2"/>
      <c r="R121" s="19"/>
      <c r="S121" s="2"/>
      <c r="T121" s="2">
        <f>-25032.99</f>
        <v>-25032.99</v>
      </c>
      <c r="U121" s="2"/>
      <c r="V121" s="19"/>
      <c r="W121" s="2"/>
      <c r="X121" s="2">
        <f t="shared" si="2"/>
        <v>12722.010000000002</v>
      </c>
      <c r="Y121" s="2"/>
      <c r="Z121" s="19">
        <f t="shared" si="3"/>
        <v>-0.50820976639226878</v>
      </c>
    </row>
    <row r="122" spans="1:26" s="24" customFormat="1" hidden="1" outlineLevel="1" x14ac:dyDescent="0.25">
      <c r="A122" s="44"/>
      <c r="B122" s="11" t="str">
        <f>CONCATENATE("          ", "4302", " - ", "SALES RETURN NON TAXABLE-TEXT")</f>
        <v xml:space="preserve">          4302 - SALES RETURN NON TAXABLE-TEXT</v>
      </c>
      <c r="C122" s="11"/>
      <c r="D122" s="2">
        <f t="shared" si="11"/>
        <v>0</v>
      </c>
      <c r="E122" s="2"/>
      <c r="F122" s="19"/>
      <c r="G122" s="2"/>
      <c r="H122" s="2">
        <f>-54</f>
        <v>-54</v>
      </c>
      <c r="I122" s="2"/>
      <c r="J122" s="19"/>
      <c r="K122" s="2"/>
      <c r="L122" s="2">
        <f t="shared" si="0"/>
        <v>54</v>
      </c>
      <c r="M122" s="2"/>
      <c r="N122" s="19">
        <f t="shared" si="1"/>
        <v>-1</v>
      </c>
      <c r="O122" s="11"/>
      <c r="P122" s="2">
        <f>-683.8</f>
        <v>-683.8</v>
      </c>
      <c r="Q122" s="2"/>
      <c r="R122" s="19"/>
      <c r="S122" s="2"/>
      <c r="T122" s="2">
        <f>-2206.04</f>
        <v>-2206.04</v>
      </c>
      <c r="U122" s="2"/>
      <c r="V122" s="19"/>
      <c r="W122" s="2"/>
      <c r="X122" s="2">
        <f t="shared" si="2"/>
        <v>1522.24</v>
      </c>
      <c r="Y122" s="2"/>
      <c r="Z122" s="19">
        <f t="shared" si="3"/>
        <v>-0.69003281898786972</v>
      </c>
    </row>
    <row r="123" spans="1:26" s="24" customFormat="1" hidden="1" outlineLevel="1" x14ac:dyDescent="0.25">
      <c r="A123" s="44"/>
      <c r="B123" s="11" t="str">
        <f>CONCATENATE("          ", "4303", " - ", "SALES RETURN NON-TAXABLE-RENTA")</f>
        <v xml:space="preserve">          4303 - SALES RETURN NON-TAXABLE-RENTA</v>
      </c>
      <c r="C123" s="11"/>
      <c r="D123" s="2">
        <f t="shared" si="11"/>
        <v>0</v>
      </c>
      <c r="E123" s="2"/>
      <c r="F123" s="19"/>
      <c r="G123" s="2"/>
      <c r="H123" s="2">
        <f t="shared" ref="H123:H127" si="12">0</f>
        <v>0</v>
      </c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-184.99</f>
        <v>-184.99</v>
      </c>
      <c r="Q123" s="2"/>
      <c r="R123" s="19"/>
      <c r="S123" s="2"/>
      <c r="T123" s="2">
        <f>-509.85</f>
        <v>-509.85</v>
      </c>
      <c r="U123" s="2"/>
      <c r="V123" s="19"/>
      <c r="W123" s="2"/>
      <c r="X123" s="2">
        <f t="shared" si="2"/>
        <v>324.86</v>
      </c>
      <c r="Y123" s="2"/>
      <c r="Z123" s="19">
        <f t="shared" si="3"/>
        <v>-0.63716779444934779</v>
      </c>
    </row>
    <row r="124" spans="1:26" s="24" customFormat="1" hidden="1" outlineLevel="1" x14ac:dyDescent="0.25">
      <c r="A124" s="44"/>
      <c r="B124" s="11" t="str">
        <f>CONCATENATE("          ", "4304", " - ", "SALES RETURN NON TAXABLE-DIGIT")</f>
        <v xml:space="preserve">          4304 - SALES RETURN NON TAXABLE-DIGIT</v>
      </c>
      <c r="C124" s="11"/>
      <c r="D124" s="2">
        <f>-70.58</f>
        <v>-70.58</v>
      </c>
      <c r="E124" s="2"/>
      <c r="F124" s="19"/>
      <c r="G124" s="2"/>
      <c r="H124" s="2">
        <f t="shared" si="12"/>
        <v>0</v>
      </c>
      <c r="I124" s="2"/>
      <c r="J124" s="19"/>
      <c r="K124" s="2"/>
      <c r="L124" s="2">
        <f t="shared" si="0"/>
        <v>-70.58</v>
      </c>
      <c r="M124" s="2"/>
      <c r="N124" s="19">
        <f t="shared" si="1"/>
        <v>0</v>
      </c>
      <c r="O124" s="11"/>
      <c r="P124" s="2">
        <f>-13203.87</f>
        <v>-13203.87</v>
      </c>
      <c r="Q124" s="2"/>
      <c r="R124" s="19"/>
      <c r="S124" s="2"/>
      <c r="T124" s="2">
        <f>-3743.75</f>
        <v>-3743.75</v>
      </c>
      <c r="U124" s="2"/>
      <c r="V124" s="19"/>
      <c r="W124" s="2"/>
      <c r="X124" s="2">
        <f t="shared" si="2"/>
        <v>-9460.1200000000008</v>
      </c>
      <c r="Y124" s="2"/>
      <c r="Z124" s="19">
        <f t="shared" si="3"/>
        <v>2.5269101836393992</v>
      </c>
    </row>
    <row r="125" spans="1:26" s="24" customFormat="1" hidden="1" outlineLevel="1" x14ac:dyDescent="0.25">
      <c r="A125" s="44"/>
      <c r="B125" s="11" t="str">
        <f>CONCATENATE("          ", "4311", " - ", "SALES RETURN NON TAXABLE-NO VA")</f>
        <v xml:space="preserve">          4311 - SALES RETURN NON TAXABLE-NO VA</v>
      </c>
      <c r="C125" s="11"/>
      <c r="D125" s="2">
        <f t="shared" ref="D125:D127" si="13">0</f>
        <v>0</v>
      </c>
      <c r="E125" s="2"/>
      <c r="F125" s="19"/>
      <c r="G125" s="2"/>
      <c r="H125" s="2">
        <f t="shared" si="12"/>
        <v>0</v>
      </c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1"/>
      <c r="P125" s="2">
        <f>-387.96</f>
        <v>-387.96</v>
      </c>
      <c r="Q125" s="2"/>
      <c r="R125" s="19"/>
      <c r="S125" s="2"/>
      <c r="T125" s="2">
        <f>-586.28</f>
        <v>-586.28</v>
      </c>
      <c r="U125" s="2"/>
      <c r="V125" s="19"/>
      <c r="W125" s="2"/>
      <c r="X125" s="2">
        <f t="shared" si="2"/>
        <v>198.32</v>
      </c>
      <c r="Y125" s="2"/>
      <c r="Z125" s="19">
        <f t="shared" si="3"/>
        <v>-0.33826840417547932</v>
      </c>
    </row>
    <row r="126" spans="1:26" s="24" customFormat="1" hidden="1" outlineLevel="1" x14ac:dyDescent="0.25">
      <c r="A126" s="44"/>
      <c r="B126" s="11" t="str">
        <f>CONCATENATE("          ", "4326", " - ", "SALES RETURN NON TAXABLE-WRITI")</f>
        <v xml:space="preserve">          4326 - SALES RETURN NON TAXABLE-WRITI</v>
      </c>
      <c r="C126" s="11"/>
      <c r="D126" s="2">
        <f t="shared" si="13"/>
        <v>0</v>
      </c>
      <c r="E126" s="2"/>
      <c r="F126" s="19"/>
      <c r="G126" s="2"/>
      <c r="H126" s="2">
        <f t="shared" si="12"/>
        <v>0</v>
      </c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0</f>
        <v>0</v>
      </c>
      <c r="Q126" s="2"/>
      <c r="R126" s="19"/>
      <c r="S126" s="2"/>
      <c r="T126" s="2">
        <f>-8.08</f>
        <v>-8.08</v>
      </c>
      <c r="U126" s="2"/>
      <c r="V126" s="19"/>
      <c r="W126" s="2"/>
      <c r="X126" s="2">
        <f t="shared" si="2"/>
        <v>8.08</v>
      </c>
      <c r="Y126" s="2"/>
      <c r="Z126" s="19">
        <f t="shared" si="3"/>
        <v>-1</v>
      </c>
    </row>
    <row r="127" spans="1:26" s="24" customFormat="1" hidden="1" outlineLevel="1" x14ac:dyDescent="0.25">
      <c r="A127" s="44"/>
      <c r="B127" s="11" t="str">
        <f>CONCATENATE("          ", "4327", " - ", "SALES RETURN NON TAXABLE-SCHOO")</f>
        <v xml:space="preserve">          4327 - SALES RETURN NON TAXABLE-SCHOO</v>
      </c>
      <c r="C127" s="11"/>
      <c r="D127" s="2">
        <f t="shared" si="13"/>
        <v>0</v>
      </c>
      <c r="E127" s="2"/>
      <c r="F127" s="19"/>
      <c r="G127" s="2"/>
      <c r="H127" s="2">
        <f t="shared" si="12"/>
        <v>0</v>
      </c>
      <c r="I127" s="2"/>
      <c r="J127" s="19"/>
      <c r="K127" s="2"/>
      <c r="L127" s="2">
        <f t="shared" si="0"/>
        <v>0</v>
      </c>
      <c r="M127" s="2"/>
      <c r="N127" s="19">
        <f t="shared" si="1"/>
        <v>0</v>
      </c>
      <c r="O127" s="11"/>
      <c r="P127" s="2">
        <f>-21.87</f>
        <v>-21.87</v>
      </c>
      <c r="Q127" s="2"/>
      <c r="R127" s="19"/>
      <c r="S127" s="2"/>
      <c r="T127" s="2">
        <f>0</f>
        <v>0</v>
      </c>
      <c r="U127" s="2"/>
      <c r="V127" s="19"/>
      <c r="W127" s="2"/>
      <c r="X127" s="2">
        <f t="shared" si="2"/>
        <v>-21.87</v>
      </c>
      <c r="Y127" s="2"/>
      <c r="Z127" s="19">
        <f t="shared" si="3"/>
        <v>0</v>
      </c>
    </row>
    <row r="128" spans="1:26" s="24" customFormat="1" hidden="1" outlineLevel="1" x14ac:dyDescent="0.25">
      <c r="A128" s="44"/>
      <c r="B128" s="11" t="str">
        <f>CONCATENATE("          ", "4340", " - ", "SALES RETURN NON TAXABLE-LOGO")</f>
        <v xml:space="preserve">          4340 - SALES RETURN NON TAXABLE-LOGO</v>
      </c>
      <c r="C128" s="11"/>
      <c r="D128" s="2">
        <f>-29.95</f>
        <v>-29.95</v>
      </c>
      <c r="E128" s="2"/>
      <c r="F128" s="19"/>
      <c r="G128" s="2"/>
      <c r="H128" s="2">
        <f>-34.95</f>
        <v>-34.950000000000003</v>
      </c>
      <c r="I128" s="2"/>
      <c r="J128" s="19"/>
      <c r="K128" s="2"/>
      <c r="L128" s="2">
        <f t="shared" si="0"/>
        <v>5.0000000000000036</v>
      </c>
      <c r="M128" s="2"/>
      <c r="N128" s="19">
        <f t="shared" si="1"/>
        <v>-0.14306151645207449</v>
      </c>
      <c r="O128" s="11"/>
      <c r="P128" s="2">
        <f>-323.4</f>
        <v>-323.39999999999998</v>
      </c>
      <c r="Q128" s="2"/>
      <c r="R128" s="19"/>
      <c r="S128" s="2"/>
      <c r="T128" s="2">
        <f>-301.59</f>
        <v>-301.58999999999997</v>
      </c>
      <c r="U128" s="2"/>
      <c r="V128" s="19"/>
      <c r="W128" s="2"/>
      <c r="X128" s="2">
        <f t="shared" si="2"/>
        <v>-21.810000000000002</v>
      </c>
      <c r="Y128" s="2"/>
      <c r="Z128" s="19">
        <f t="shared" si="3"/>
        <v>7.2316721376703488E-2</v>
      </c>
    </row>
    <row r="129" spans="1:26" s="24" customFormat="1" hidden="1" outlineLevel="1" x14ac:dyDescent="0.25">
      <c r="A129" s="44"/>
      <c r="B129" s="11" t="str">
        <f>CONCATENATE("          ", "4341", " - ", "SALES RETURN NON TAXABLE-LOGO")</f>
        <v xml:space="preserve">          4341 - SALES RETURN NON TAXABLE-LOGO</v>
      </c>
      <c r="C129" s="11"/>
      <c r="D129" s="2">
        <f>0</f>
        <v>0</v>
      </c>
      <c r="E129" s="2"/>
      <c r="F129" s="19"/>
      <c r="G129" s="2"/>
      <c r="H129" s="2">
        <f t="shared" ref="H129:H134" si="14">0</f>
        <v>0</v>
      </c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-10.9</f>
        <v>-10.9</v>
      </c>
      <c r="Q129" s="2"/>
      <c r="R129" s="19"/>
      <c r="S129" s="2"/>
      <c r="T129" s="2">
        <f>-60</f>
        <v>-60</v>
      </c>
      <c r="U129" s="2"/>
      <c r="V129" s="19"/>
      <c r="W129" s="2"/>
      <c r="X129" s="2">
        <f t="shared" si="2"/>
        <v>49.1</v>
      </c>
      <c r="Y129" s="2"/>
      <c r="Z129" s="19">
        <f t="shared" si="3"/>
        <v>-0.81833333333333336</v>
      </c>
    </row>
    <row r="130" spans="1:26" s="24" customFormat="1" hidden="1" outlineLevel="1" x14ac:dyDescent="0.25">
      <c r="A130" s="44"/>
      <c r="B130" s="11" t="str">
        <f>CONCATENATE("          ", "4342", " - ", "SALES RETURN NON TAXABLE-EVERY")</f>
        <v xml:space="preserve">          4342 - SALES RETURN NON TAXABLE-EVERY</v>
      </c>
      <c r="C130" s="11"/>
      <c r="D130" s="2">
        <f>-6.95</f>
        <v>-6.95</v>
      </c>
      <c r="E130" s="2"/>
      <c r="F130" s="19"/>
      <c r="G130" s="2"/>
      <c r="H130" s="2">
        <f t="shared" si="14"/>
        <v>0</v>
      </c>
      <c r="I130" s="2"/>
      <c r="J130" s="19"/>
      <c r="K130" s="2"/>
      <c r="L130" s="2">
        <f t="shared" si="0"/>
        <v>-6.95</v>
      </c>
      <c r="M130" s="2"/>
      <c r="N130" s="19">
        <f t="shared" si="1"/>
        <v>0</v>
      </c>
      <c r="O130" s="11"/>
      <c r="P130" s="2">
        <f>-109.8</f>
        <v>-109.8</v>
      </c>
      <c r="Q130" s="2"/>
      <c r="R130" s="19"/>
      <c r="S130" s="2"/>
      <c r="T130" s="2">
        <f t="shared" ref="T130:T132" si="15">0</f>
        <v>0</v>
      </c>
      <c r="U130" s="2"/>
      <c r="V130" s="19"/>
      <c r="W130" s="2"/>
      <c r="X130" s="2">
        <f t="shared" si="2"/>
        <v>-109.8</v>
      </c>
      <c r="Y130" s="2"/>
      <c r="Z130" s="19">
        <f t="shared" si="3"/>
        <v>0</v>
      </c>
    </row>
    <row r="131" spans="1:26" s="24" customFormat="1" hidden="1" outlineLevel="1" x14ac:dyDescent="0.25">
      <c r="A131" s="44"/>
      <c r="B131" s="11" t="str">
        <f>CONCATENATE("          ", "4346", " - ", "SALES RETURN NON TAXABLE-COIN-")</f>
        <v xml:space="preserve">          4346 - SALES RETURN NON TAXABLE-COIN-</v>
      </c>
      <c r="C131" s="11"/>
      <c r="D131" s="2">
        <f t="shared" ref="D131:D134" si="16">0</f>
        <v>0</v>
      </c>
      <c r="E131" s="2"/>
      <c r="F131" s="19"/>
      <c r="G131" s="2"/>
      <c r="H131" s="2">
        <f t="shared" si="14"/>
        <v>0</v>
      </c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1"/>
      <c r="P131" s="2">
        <f>-8.15</f>
        <v>-8.15</v>
      </c>
      <c r="Q131" s="2"/>
      <c r="R131" s="19"/>
      <c r="S131" s="2"/>
      <c r="T131" s="2">
        <f t="shared" si="15"/>
        <v>0</v>
      </c>
      <c r="U131" s="2"/>
      <c r="V131" s="19"/>
      <c r="W131" s="2"/>
      <c r="X131" s="2">
        <f t="shared" si="2"/>
        <v>-8.15</v>
      </c>
      <c r="Y131" s="2"/>
      <c r="Z131" s="19">
        <f t="shared" si="3"/>
        <v>0</v>
      </c>
    </row>
    <row r="132" spans="1:26" s="24" customFormat="1" hidden="1" outlineLevel="1" x14ac:dyDescent="0.25">
      <c r="A132" s="44"/>
      <c r="B132" s="11" t="str">
        <f>CONCATENATE("          ", "4381", " - ", "SALES RETURN NON TAXABLE-ELECT")</f>
        <v xml:space="preserve">          4381 - SALES RETURN NON TAXABLE-ELECT</v>
      </c>
      <c r="C132" s="11"/>
      <c r="D132" s="2">
        <f t="shared" si="16"/>
        <v>0</v>
      </c>
      <c r="E132" s="2"/>
      <c r="F132" s="19"/>
      <c r="G132" s="2"/>
      <c r="H132" s="2">
        <f t="shared" si="14"/>
        <v>0</v>
      </c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>-1279.84</f>
        <v>-1279.8399999999999</v>
      </c>
      <c r="Q132" s="2"/>
      <c r="R132" s="19"/>
      <c r="S132" s="2"/>
      <c r="T132" s="2">
        <f t="shared" si="15"/>
        <v>0</v>
      </c>
      <c r="U132" s="2"/>
      <c r="V132" s="19"/>
      <c r="W132" s="2"/>
      <c r="X132" s="2">
        <f t="shared" si="2"/>
        <v>-1279.8399999999999</v>
      </c>
      <c r="Y132" s="2"/>
      <c r="Z132" s="19">
        <f t="shared" si="3"/>
        <v>0</v>
      </c>
    </row>
    <row r="133" spans="1:26" s="24" customFormat="1" hidden="1" outlineLevel="1" x14ac:dyDescent="0.25">
      <c r="A133" s="44"/>
      <c r="B133" s="11" t="str">
        <f>CONCATENATE("          ", "4383", " - ", "SALES RETURN NON TAXABLE-COMPU")</f>
        <v xml:space="preserve">          4383 - SALES RETURN NON TAXABLE-COMPU</v>
      </c>
      <c r="C133" s="11"/>
      <c r="D133" s="2">
        <f t="shared" si="16"/>
        <v>0</v>
      </c>
      <c r="E133" s="2"/>
      <c r="F133" s="19"/>
      <c r="G133" s="2"/>
      <c r="H133" s="2">
        <f t="shared" si="14"/>
        <v>0</v>
      </c>
      <c r="I133" s="2"/>
      <c r="J133" s="19"/>
      <c r="K133" s="2"/>
      <c r="L133" s="2">
        <f t="shared" si="0"/>
        <v>0</v>
      </c>
      <c r="M133" s="2"/>
      <c r="N133" s="19">
        <f t="shared" si="1"/>
        <v>0</v>
      </c>
      <c r="O133" s="11"/>
      <c r="P133" s="2">
        <f>-49.98</f>
        <v>-49.98</v>
      </c>
      <c r="Q133" s="2"/>
      <c r="R133" s="19"/>
      <c r="S133" s="2"/>
      <c r="T133" s="2">
        <f>-13.99</f>
        <v>-13.99</v>
      </c>
      <c r="U133" s="2"/>
      <c r="V133" s="19"/>
      <c r="W133" s="2"/>
      <c r="X133" s="2">
        <f t="shared" si="2"/>
        <v>-35.989999999999995</v>
      </c>
      <c r="Y133" s="2"/>
      <c r="Z133" s="19">
        <f t="shared" si="3"/>
        <v>2.5725518227305213</v>
      </c>
    </row>
    <row r="134" spans="1:26" s="24" customFormat="1" hidden="1" outlineLevel="1" x14ac:dyDescent="0.25">
      <c r="A134" s="44"/>
      <c r="B134" s="11" t="str">
        <f>CONCATENATE("          ", "4386", " - ", "SALES RETURN NON TAXABLE-COMPU")</f>
        <v xml:space="preserve">          4386 - SALES RETURN NON TAXABLE-COMPU</v>
      </c>
      <c r="C134" s="11"/>
      <c r="D134" s="2">
        <f t="shared" si="16"/>
        <v>0</v>
      </c>
      <c r="E134" s="2"/>
      <c r="F134" s="19"/>
      <c r="G134" s="2"/>
      <c r="H134" s="2">
        <f t="shared" si="14"/>
        <v>0</v>
      </c>
      <c r="I134" s="2"/>
      <c r="J134" s="19"/>
      <c r="K134" s="2"/>
      <c r="L134" s="2">
        <f t="shared" si="0"/>
        <v>0</v>
      </c>
      <c r="M134" s="2"/>
      <c r="N134" s="19">
        <f t="shared" si="1"/>
        <v>0</v>
      </c>
      <c r="O134" s="11"/>
      <c r="P134" s="2">
        <f>-54.97</f>
        <v>-54.97</v>
      </c>
      <c r="Q134" s="2"/>
      <c r="R134" s="19"/>
      <c r="S134" s="2"/>
      <c r="T134" s="2">
        <f>0</f>
        <v>0</v>
      </c>
      <c r="U134" s="2"/>
      <c r="V134" s="19"/>
      <c r="W134" s="2"/>
      <c r="X134" s="2">
        <f t="shared" si="2"/>
        <v>-54.97</v>
      </c>
      <c r="Y134" s="2"/>
      <c r="Z134" s="19">
        <f t="shared" si="3"/>
        <v>0</v>
      </c>
    </row>
    <row r="135" spans="1:26" x14ac:dyDescent="0.25">
      <c r="A135" s="9"/>
      <c r="B135" s="10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collapsed="1" x14ac:dyDescent="0.25">
      <c r="A136" s="10"/>
      <c r="B136" s="28" t="s">
        <v>8</v>
      </c>
      <c r="C136" s="10"/>
      <c r="D136" s="4">
        <f>SUM(OSRRefD16x_0)</f>
        <v>943425.60999999987</v>
      </c>
      <c r="E136" s="4"/>
      <c r="F136" s="12">
        <f t="shared" ref="F136:F195" si="17">IF(D$12=0,0,D136/D$12)</f>
        <v>0.35776375418673478</v>
      </c>
      <c r="G136" s="4"/>
      <c r="H136" s="4">
        <f>SUM(OSRRefH16x_0)</f>
        <v>814523.17999999993</v>
      </c>
      <c r="I136" s="4"/>
      <c r="J136" s="12">
        <f t="shared" ref="J136:J195" si="18">IF(H$12=0,0,H136/H$12)</f>
        <v>0.36979453805902213</v>
      </c>
      <c r="K136" s="4"/>
      <c r="L136" s="4">
        <f t="shared" ref="L136:L195" si="19">+D136-H136</f>
        <v>128902.42999999993</v>
      </c>
      <c r="M136" s="4"/>
      <c r="N136" s="12">
        <f t="shared" ref="N136:N195" si="20">IF(H136=0,0,L136/H136)</f>
        <v>0.15825507875662906</v>
      </c>
      <c r="O136" s="10"/>
      <c r="P136" s="4">
        <f>SUM(OSRRefP16x_0)</f>
        <v>7187714.1800000016</v>
      </c>
      <c r="Q136" s="4"/>
      <c r="R136" s="12">
        <f t="shared" ref="R136:R195" si="21">IF(P$12=0,0,P136/P$12)</f>
        <v>0.44659693631912456</v>
      </c>
      <c r="S136" s="4"/>
      <c r="T136" s="4">
        <f>SUM(OSRRefT16x_0)</f>
        <v>7181394.4400000013</v>
      </c>
      <c r="U136" s="4"/>
      <c r="V136" s="12">
        <f t="shared" ref="V136:V195" si="22">IF(T$12=0,0,T136/T$12)</f>
        <v>0.45063713833626901</v>
      </c>
      <c r="W136" s="4"/>
      <c r="X136" s="4">
        <f t="shared" ref="X136:X195" si="23">+P136-T136</f>
        <v>6319.7400000002235</v>
      </c>
      <c r="Y136" s="4"/>
      <c r="Z136" s="12">
        <f t="shared" ref="Z136:Z195" si="24">IF(T136=0,0,X136/T136)</f>
        <v>8.8001572017818623E-4</v>
      </c>
    </row>
    <row r="137" spans="1:26" s="24" customFormat="1" hidden="1" outlineLevel="1" x14ac:dyDescent="0.25">
      <c r="A137" s="44"/>
      <c r="B137" s="11" t="str">
        <f>CONCATENATE("          ", "5001", " - ", "PURCHASES @ COST-NEW TEXT")</f>
        <v xml:space="preserve">          5001 - PURCHASES @ COST-NEW TEXT</v>
      </c>
      <c r="C137" s="11"/>
      <c r="D137" s="2">
        <v>-175297.72999999998</v>
      </c>
      <c r="E137" s="2"/>
      <c r="F137" s="19">
        <f t="shared" si="17"/>
        <v>-6.6476013922510124E-2</v>
      </c>
      <c r="G137" s="2"/>
      <c r="H137" s="2">
        <v>-3892.46</v>
      </c>
      <c r="I137" s="2"/>
      <c r="J137" s="19">
        <f t="shared" si="18"/>
        <v>-1.7671816873440257E-3</v>
      </c>
      <c r="K137" s="2"/>
      <c r="L137" s="2">
        <f t="shared" si="19"/>
        <v>-171405.27</v>
      </c>
      <c r="M137" s="2"/>
      <c r="N137" s="19">
        <f t="shared" si="20"/>
        <v>44.03520395842218</v>
      </c>
      <c r="O137" s="11"/>
      <c r="P137" s="2">
        <v>1581850.69</v>
      </c>
      <c r="Q137" s="2"/>
      <c r="R137" s="19">
        <f t="shared" si="21"/>
        <v>9.8285721187134495E-2</v>
      </c>
      <c r="S137" s="2"/>
      <c r="T137" s="2">
        <v>1720657.5599999998</v>
      </c>
      <c r="U137" s="2"/>
      <c r="V137" s="19">
        <f t="shared" si="22"/>
        <v>0.10797237296647737</v>
      </c>
      <c r="W137" s="2"/>
      <c r="X137" s="2">
        <f t="shared" si="23"/>
        <v>-138806.86999999988</v>
      </c>
      <c r="Y137" s="2"/>
      <c r="Z137" s="19">
        <f t="shared" si="24"/>
        <v>-8.0670827959515606E-2</v>
      </c>
    </row>
    <row r="138" spans="1:26" s="24" customFormat="1" hidden="1" outlineLevel="1" x14ac:dyDescent="0.25">
      <c r="A138" s="44"/>
      <c r="B138" s="11" t="str">
        <f>CONCATENATE("          ", "5002", " - ", "PURCHASES @ COST-USED TEXT")</f>
        <v xml:space="preserve">          5002 - PURCHASES @ COST-USED TEXT</v>
      </c>
      <c r="C138" s="11"/>
      <c r="D138" s="2">
        <v>-155785.26999999999</v>
      </c>
      <c r="E138" s="2"/>
      <c r="F138" s="19">
        <f t="shared" si="17"/>
        <v>-5.9076542391290517E-2</v>
      </c>
      <c r="G138" s="2"/>
      <c r="H138" s="2">
        <v>-8649.41</v>
      </c>
      <c r="I138" s="2"/>
      <c r="J138" s="19">
        <f t="shared" si="18"/>
        <v>-3.9268429112515706E-3</v>
      </c>
      <c r="K138" s="2"/>
      <c r="L138" s="2">
        <f t="shared" si="19"/>
        <v>-147135.85999999999</v>
      </c>
      <c r="M138" s="2"/>
      <c r="N138" s="19">
        <f t="shared" si="20"/>
        <v>17.011086305308684</v>
      </c>
      <c r="O138" s="11"/>
      <c r="P138" s="2">
        <v>212247.9</v>
      </c>
      <c r="Q138" s="2"/>
      <c r="R138" s="19">
        <f t="shared" si="21"/>
        <v>1.3187678239059846E-2</v>
      </c>
      <c r="S138" s="2"/>
      <c r="T138" s="2">
        <v>308318.01</v>
      </c>
      <c r="U138" s="2"/>
      <c r="V138" s="19">
        <f t="shared" si="22"/>
        <v>1.9347154217020442E-2</v>
      </c>
      <c r="W138" s="2"/>
      <c r="X138" s="2">
        <f t="shared" si="23"/>
        <v>-96070.110000000015</v>
      </c>
      <c r="Y138" s="2"/>
      <c r="Z138" s="19">
        <f t="shared" si="24"/>
        <v>-0.31159422052574876</v>
      </c>
    </row>
    <row r="139" spans="1:26" s="24" customFormat="1" hidden="1" outlineLevel="1" x14ac:dyDescent="0.25">
      <c r="A139" s="44"/>
      <c r="B139" s="11" t="str">
        <f>CONCATENATE("          ", "5003", " - ", "PURCHASES @ COST-RENTAL TEXT")</f>
        <v xml:space="preserve">          5003 - PURCHASES @ COST-RENTAL TEXT</v>
      </c>
      <c r="C139" s="11"/>
      <c r="D139" s="2"/>
      <c r="E139" s="2"/>
      <c r="F139" s="19">
        <f t="shared" si="17"/>
        <v>0</v>
      </c>
      <c r="G139" s="2"/>
      <c r="H139" s="2">
        <v>-1948.8</v>
      </c>
      <c r="I139" s="2"/>
      <c r="J139" s="19">
        <f t="shared" si="18"/>
        <v>-8.8475762687247571E-4</v>
      </c>
      <c r="K139" s="2"/>
      <c r="L139" s="2">
        <f t="shared" si="19"/>
        <v>1948.8</v>
      </c>
      <c r="M139" s="2"/>
      <c r="N139" s="19">
        <f t="shared" si="20"/>
        <v>-1</v>
      </c>
      <c r="O139" s="11"/>
      <c r="P139" s="2">
        <v>-78.400000000000006</v>
      </c>
      <c r="Q139" s="2"/>
      <c r="R139" s="19">
        <f t="shared" si="21"/>
        <v>-4.8712565539743485E-6</v>
      </c>
      <c r="S139" s="2"/>
      <c r="T139" s="2">
        <v>-1763.7</v>
      </c>
      <c r="U139" s="2"/>
      <c r="V139" s="19">
        <f t="shared" si="22"/>
        <v>-1.1067331387017889E-4</v>
      </c>
      <c r="W139" s="2"/>
      <c r="X139" s="2">
        <f t="shared" si="23"/>
        <v>1685.3</v>
      </c>
      <c r="Y139" s="2"/>
      <c r="Z139" s="19">
        <f t="shared" si="24"/>
        <v>-0.95554799569087712</v>
      </c>
    </row>
    <row r="140" spans="1:26" s="24" customFormat="1" hidden="1" outlineLevel="1" x14ac:dyDescent="0.25">
      <c r="A140" s="44"/>
      <c r="B140" s="11" t="str">
        <f>CONCATENATE("          ", "5004", " - ", "PURCHASES @ COST-DIGITAL TEXT")</f>
        <v xml:space="preserve">          5004 - PURCHASES @ COST-DIGITAL TEXT</v>
      </c>
      <c r="C140" s="11"/>
      <c r="D140" s="2">
        <v>0.94</v>
      </c>
      <c r="E140" s="2"/>
      <c r="F140" s="19">
        <f t="shared" si="17"/>
        <v>3.5646470200817499E-7</v>
      </c>
      <c r="G140" s="2"/>
      <c r="H140" s="2">
        <v>15359.04</v>
      </c>
      <c r="I140" s="2"/>
      <c r="J140" s="19">
        <f t="shared" si="18"/>
        <v>6.9730232868634194E-3</v>
      </c>
      <c r="K140" s="2"/>
      <c r="L140" s="2">
        <f t="shared" si="19"/>
        <v>-15358.1</v>
      </c>
      <c r="M140" s="2"/>
      <c r="N140" s="19">
        <f t="shared" si="20"/>
        <v>-0.9999387982582244</v>
      </c>
      <c r="O140" s="11"/>
      <c r="P140" s="2">
        <v>322779.97000000003</v>
      </c>
      <c r="Q140" s="2"/>
      <c r="R140" s="19">
        <f t="shared" si="21"/>
        <v>2.0055408729006931E-2</v>
      </c>
      <c r="S140" s="2"/>
      <c r="T140" s="2">
        <v>306955.37</v>
      </c>
      <c r="U140" s="2"/>
      <c r="V140" s="19">
        <f t="shared" si="22"/>
        <v>1.9261647677125866E-2</v>
      </c>
      <c r="W140" s="2"/>
      <c r="X140" s="2">
        <f t="shared" si="23"/>
        <v>15824.600000000035</v>
      </c>
      <c r="Y140" s="2"/>
      <c r="Z140" s="19">
        <f t="shared" si="24"/>
        <v>5.1553422896625116E-2</v>
      </c>
    </row>
    <row r="141" spans="1:26" s="24" customFormat="1" hidden="1" outlineLevel="1" x14ac:dyDescent="0.25">
      <c r="A141" s="44"/>
      <c r="B141" s="11" t="str">
        <f>CONCATENATE("          ", "5011", " - ", "PURCHASES @ COST-NO VALUE TEXT")</f>
        <v xml:space="preserve">          5011 - PURCHASES @ COST-NO VALUE TEXT</v>
      </c>
      <c r="C141" s="11"/>
      <c r="D141" s="2">
        <v>66</v>
      </c>
      <c r="E141" s="2"/>
      <c r="F141" s="19">
        <f t="shared" si="17"/>
        <v>2.5028372694191011E-5</v>
      </c>
      <c r="G141" s="2"/>
      <c r="H141" s="2">
        <v>63</v>
      </c>
      <c r="I141" s="2"/>
      <c r="J141" s="19">
        <f t="shared" si="18"/>
        <v>2.8602078454929173E-5</v>
      </c>
      <c r="K141" s="2"/>
      <c r="L141" s="2">
        <f t="shared" si="19"/>
        <v>3</v>
      </c>
      <c r="M141" s="2"/>
      <c r="N141" s="19">
        <f t="shared" si="20"/>
        <v>4.7619047619047616E-2</v>
      </c>
      <c r="O141" s="11"/>
      <c r="P141" s="2">
        <v>3741</v>
      </c>
      <c r="Q141" s="2"/>
      <c r="R141" s="19">
        <f t="shared" si="21"/>
        <v>2.3244095367880147E-4</v>
      </c>
      <c r="S141" s="2"/>
      <c r="T141" s="2">
        <v>2838</v>
      </c>
      <c r="U141" s="2"/>
      <c r="V141" s="19">
        <f t="shared" si="22"/>
        <v>1.7808633257558978E-4</v>
      </c>
      <c r="W141" s="2"/>
      <c r="X141" s="2">
        <f t="shared" si="23"/>
        <v>903</v>
      </c>
      <c r="Y141" s="2"/>
      <c r="Z141" s="19">
        <f t="shared" si="24"/>
        <v>0.31818181818181818</v>
      </c>
    </row>
    <row r="142" spans="1:26" s="24" customFormat="1" hidden="1" outlineLevel="1" x14ac:dyDescent="0.25">
      <c r="A142" s="44"/>
      <c r="B142" s="11" t="str">
        <f>CONCATENATE("          ", "5013", " - ", "PURCHASES @ COST-TRADE BOOKS")</f>
        <v xml:space="preserve">          5013 - PURCHASES @ COST-TRADE BOOKS</v>
      </c>
      <c r="C142" s="11"/>
      <c r="D142" s="2">
        <v>10.79</v>
      </c>
      <c r="E142" s="2"/>
      <c r="F142" s="19">
        <f t="shared" si="17"/>
        <v>4.0917597177321361E-6</v>
      </c>
      <c r="G142" s="2"/>
      <c r="H142" s="2">
        <v>270</v>
      </c>
      <c r="I142" s="2"/>
      <c r="J142" s="19">
        <f t="shared" si="18"/>
        <v>1.2258033623541075E-4</v>
      </c>
      <c r="K142" s="2"/>
      <c r="L142" s="2">
        <f t="shared" si="19"/>
        <v>-259.20999999999998</v>
      </c>
      <c r="M142" s="2"/>
      <c r="N142" s="19">
        <f t="shared" si="20"/>
        <v>-0.96003703703703691</v>
      </c>
      <c r="O142" s="11"/>
      <c r="P142" s="2">
        <v>698.14</v>
      </c>
      <c r="Q142" s="2"/>
      <c r="R142" s="19">
        <f t="shared" si="21"/>
        <v>4.3377794012648614E-5</v>
      </c>
      <c r="S142" s="2"/>
      <c r="T142" s="2">
        <v>1406.94</v>
      </c>
      <c r="U142" s="2"/>
      <c r="V142" s="19">
        <f t="shared" si="22"/>
        <v>8.8286393500317225E-5</v>
      </c>
      <c r="W142" s="2"/>
      <c r="X142" s="2">
        <f t="shared" si="23"/>
        <v>-708.80000000000007</v>
      </c>
      <c r="Y142" s="2"/>
      <c r="Z142" s="19">
        <f t="shared" si="24"/>
        <v>-0.50378836339858135</v>
      </c>
    </row>
    <row r="143" spans="1:26" s="24" customFormat="1" hidden="1" outlineLevel="1" x14ac:dyDescent="0.25">
      <c r="A143" s="44"/>
      <c r="B143" s="11" t="str">
        <f>CONCATENATE("          ", "5014", " - ", "PURCHASES @ COST-REMAINDERS")</f>
        <v xml:space="preserve">          5014 - PURCHASES @ COST-REMAINDERS</v>
      </c>
      <c r="C143" s="11"/>
      <c r="D143" s="2">
        <v>114.84</v>
      </c>
      <c r="E143" s="2"/>
      <c r="F143" s="19">
        <f t="shared" si="17"/>
        <v>4.3549368487892366E-5</v>
      </c>
      <c r="G143" s="2"/>
      <c r="H143" s="2">
        <v>246.34</v>
      </c>
      <c r="I143" s="2"/>
      <c r="J143" s="19">
        <f t="shared" si="18"/>
        <v>1.1183866677122624E-4</v>
      </c>
      <c r="K143" s="2"/>
      <c r="L143" s="2">
        <f t="shared" si="19"/>
        <v>-131.5</v>
      </c>
      <c r="M143" s="2"/>
      <c r="N143" s="19">
        <f t="shared" si="20"/>
        <v>-0.53381505236664772</v>
      </c>
      <c r="O143" s="11"/>
      <c r="P143" s="2">
        <v>456.81</v>
      </c>
      <c r="Q143" s="2"/>
      <c r="R143" s="19">
        <f t="shared" si="21"/>
        <v>2.8383146765574258E-5</v>
      </c>
      <c r="S143" s="2"/>
      <c r="T143" s="2">
        <v>735.2</v>
      </c>
      <c r="U143" s="2"/>
      <c r="V143" s="19">
        <f t="shared" si="22"/>
        <v>4.6134274739102754E-5</v>
      </c>
      <c r="W143" s="2"/>
      <c r="X143" s="2">
        <f t="shared" si="23"/>
        <v>-278.39000000000004</v>
      </c>
      <c r="Y143" s="2"/>
      <c r="Z143" s="19">
        <f t="shared" si="24"/>
        <v>-0.37865886833514695</v>
      </c>
    </row>
    <row r="144" spans="1:26" s="24" customFormat="1" hidden="1" outlineLevel="1" x14ac:dyDescent="0.25">
      <c r="A144" s="44"/>
      <c r="B144" s="11" t="str">
        <f>CONCATENATE("          ", "5017", " - ", "PURCHASES @ COST-DORM/HOUSEWAR")</f>
        <v xml:space="preserve">          5017 - PURCHASES @ COST-DORM/HOUSEWAR</v>
      </c>
      <c r="C144" s="11"/>
      <c r="D144" s="2"/>
      <c r="E144" s="2"/>
      <c r="F144" s="19">
        <f t="shared" si="17"/>
        <v>0</v>
      </c>
      <c r="G144" s="2"/>
      <c r="H144" s="2"/>
      <c r="I144" s="2"/>
      <c r="J144" s="19">
        <f t="shared" si="18"/>
        <v>0</v>
      </c>
      <c r="K144" s="2"/>
      <c r="L144" s="2">
        <f t="shared" si="19"/>
        <v>0</v>
      </c>
      <c r="M144" s="2"/>
      <c r="N144" s="19">
        <f t="shared" si="20"/>
        <v>0</v>
      </c>
      <c r="O144" s="11"/>
      <c r="P144" s="2">
        <v>0</v>
      </c>
      <c r="Q144" s="2"/>
      <c r="R144" s="19">
        <f t="shared" si="21"/>
        <v>0</v>
      </c>
      <c r="S144" s="2"/>
      <c r="T144" s="2">
        <v>239.9</v>
      </c>
      <c r="U144" s="2"/>
      <c r="V144" s="19">
        <f t="shared" si="22"/>
        <v>1.5053879910107113E-5</v>
      </c>
      <c r="W144" s="2"/>
      <c r="X144" s="2">
        <f t="shared" si="23"/>
        <v>-239.9</v>
      </c>
      <c r="Y144" s="2"/>
      <c r="Z144" s="19">
        <f t="shared" si="24"/>
        <v>-1</v>
      </c>
    </row>
    <row r="145" spans="1:26" s="24" customFormat="1" hidden="1" outlineLevel="1" x14ac:dyDescent="0.25">
      <c r="A145" s="44"/>
      <c r="B145" s="11" t="str">
        <f>CONCATENATE("          ", "5018", " - ", "PURCHASES @ COST-STUDY GUIDES")</f>
        <v xml:space="preserve">          5018 - PURCHASES @ COST-STUDY GUIDES</v>
      </c>
      <c r="C145" s="11"/>
      <c r="D145" s="2"/>
      <c r="E145" s="2"/>
      <c r="F145" s="19">
        <f t="shared" si="17"/>
        <v>0</v>
      </c>
      <c r="G145" s="2"/>
      <c r="H145" s="2"/>
      <c r="I145" s="2"/>
      <c r="J145" s="19">
        <f t="shared" si="18"/>
        <v>0</v>
      </c>
      <c r="K145" s="2"/>
      <c r="L145" s="2">
        <f t="shared" si="19"/>
        <v>0</v>
      </c>
      <c r="M145" s="2"/>
      <c r="N145" s="19">
        <f t="shared" si="20"/>
        <v>0</v>
      </c>
      <c r="O145" s="11"/>
      <c r="P145" s="2">
        <v>802.09</v>
      </c>
      <c r="Q145" s="2"/>
      <c r="R145" s="19">
        <f t="shared" si="21"/>
        <v>4.9836558282873532E-5</v>
      </c>
      <c r="S145" s="2"/>
      <c r="T145" s="2">
        <v>1034.55</v>
      </c>
      <c r="U145" s="2"/>
      <c r="V145" s="19">
        <f t="shared" si="22"/>
        <v>6.4918680537729526E-5</v>
      </c>
      <c r="W145" s="2"/>
      <c r="X145" s="2">
        <f t="shared" si="23"/>
        <v>-232.45999999999992</v>
      </c>
      <c r="Y145" s="2"/>
      <c r="Z145" s="19">
        <f t="shared" si="24"/>
        <v>-0.22469672804601029</v>
      </c>
    </row>
    <row r="146" spans="1:26" s="24" customFormat="1" hidden="1" outlineLevel="1" x14ac:dyDescent="0.25">
      <c r="A146" s="44"/>
      <c r="B146" s="11" t="str">
        <f>CONCATENATE("          ", "5025", " - ", "PURCHASES @ COST-TEST FORMS")</f>
        <v xml:space="preserve">          5025 - PURCHASES @ COST-TEST FORMS</v>
      </c>
      <c r="C146" s="11"/>
      <c r="D146" s="2">
        <v>18846</v>
      </c>
      <c r="E146" s="2"/>
      <c r="F146" s="19">
        <f t="shared" si="17"/>
        <v>7.1467380574958151E-3</v>
      </c>
      <c r="G146" s="2"/>
      <c r="H146" s="2">
        <v>1000</v>
      </c>
      <c r="I146" s="2"/>
      <c r="J146" s="19">
        <f t="shared" si="18"/>
        <v>4.5400124531633608E-4</v>
      </c>
      <c r="K146" s="2"/>
      <c r="L146" s="2">
        <f t="shared" si="19"/>
        <v>17846</v>
      </c>
      <c r="M146" s="2"/>
      <c r="N146" s="19">
        <f t="shared" si="20"/>
        <v>17.846</v>
      </c>
      <c r="O146" s="11"/>
      <c r="P146" s="2">
        <v>22098.390000000003</v>
      </c>
      <c r="Q146" s="2"/>
      <c r="R146" s="19">
        <f t="shared" si="21"/>
        <v>1.3730475397931276E-3</v>
      </c>
      <c r="S146" s="2"/>
      <c r="T146" s="2">
        <v>2050</v>
      </c>
      <c r="U146" s="2"/>
      <c r="V146" s="19">
        <f t="shared" si="22"/>
        <v>1.2863882374205743E-4</v>
      </c>
      <c r="W146" s="2"/>
      <c r="X146" s="2">
        <f t="shared" si="23"/>
        <v>20048.390000000003</v>
      </c>
      <c r="Y146" s="2"/>
      <c r="Z146" s="19">
        <f t="shared" si="24"/>
        <v>9.7797024390243923</v>
      </c>
    </row>
    <row r="147" spans="1:26" s="24" customFormat="1" hidden="1" outlineLevel="1" x14ac:dyDescent="0.25">
      <c r="A147" s="44"/>
      <c r="B147" s="11" t="str">
        <f>CONCATENATE("          ", "5026", " - ", "PURCHASES @ COST-WRITING INSTR")</f>
        <v xml:space="preserve">          5026 - PURCHASES @ COST-WRITING INSTR</v>
      </c>
      <c r="C147" s="11"/>
      <c r="D147" s="2">
        <v>4633</v>
      </c>
      <c r="E147" s="2"/>
      <c r="F147" s="19">
        <f t="shared" si="17"/>
        <v>1.7569159195785903E-3</v>
      </c>
      <c r="G147" s="2"/>
      <c r="H147" s="2">
        <v>784.13</v>
      </c>
      <c r="I147" s="2"/>
      <c r="J147" s="19">
        <f t="shared" si="18"/>
        <v>3.5599599648989864E-4</v>
      </c>
      <c r="K147" s="2"/>
      <c r="L147" s="2">
        <f t="shared" si="19"/>
        <v>3848.87</v>
      </c>
      <c r="M147" s="2"/>
      <c r="N147" s="19">
        <f t="shared" si="20"/>
        <v>4.9084590565339932</v>
      </c>
      <c r="O147" s="11"/>
      <c r="P147" s="2">
        <v>29950.57</v>
      </c>
      <c r="Q147" s="2"/>
      <c r="R147" s="19">
        <f t="shared" si="21"/>
        <v>1.8609299796909118E-3</v>
      </c>
      <c r="S147" s="2"/>
      <c r="T147" s="2">
        <v>28009.06</v>
      </c>
      <c r="U147" s="2"/>
      <c r="V147" s="19">
        <f t="shared" si="22"/>
        <v>1.7575866012296154E-3</v>
      </c>
      <c r="W147" s="2"/>
      <c r="X147" s="2">
        <f t="shared" si="23"/>
        <v>1941.5099999999984</v>
      </c>
      <c r="Y147" s="2"/>
      <c r="Z147" s="19">
        <f t="shared" si="24"/>
        <v>6.9317213787253071E-2</v>
      </c>
    </row>
    <row r="148" spans="1:26" s="24" customFormat="1" hidden="1" outlineLevel="1" x14ac:dyDescent="0.25">
      <c r="A148" s="44"/>
      <c r="B148" s="11" t="str">
        <f>CONCATENATE("          ", "5027", " - ", "PURCHASES @ COST-SCHOOL SUPPLI")</f>
        <v xml:space="preserve">          5027 - PURCHASES @ COST-SCHOOL SUPPLI</v>
      </c>
      <c r="C148" s="11"/>
      <c r="D148" s="2">
        <v>3483.98</v>
      </c>
      <c r="E148" s="2"/>
      <c r="F148" s="19">
        <f t="shared" si="17"/>
        <v>1.3211871196834486E-3</v>
      </c>
      <c r="G148" s="2"/>
      <c r="H148" s="2">
        <v>7654.23</v>
      </c>
      <c r="I148" s="2"/>
      <c r="J148" s="19">
        <f t="shared" si="18"/>
        <v>3.475029951937659E-3</v>
      </c>
      <c r="K148" s="2"/>
      <c r="L148" s="2">
        <f t="shared" si="19"/>
        <v>-4170.25</v>
      </c>
      <c r="M148" s="2"/>
      <c r="N148" s="19">
        <f t="shared" si="20"/>
        <v>-0.54482946031148793</v>
      </c>
      <c r="O148" s="11"/>
      <c r="P148" s="2">
        <v>75506.36</v>
      </c>
      <c r="Q148" s="2"/>
      <c r="R148" s="19">
        <f t="shared" si="21"/>
        <v>4.691464936438094E-3</v>
      </c>
      <c r="S148" s="2"/>
      <c r="T148" s="2">
        <v>82233.260000000009</v>
      </c>
      <c r="U148" s="2"/>
      <c r="V148" s="19">
        <f t="shared" si="22"/>
        <v>5.1601901653047727E-3</v>
      </c>
      <c r="W148" s="2"/>
      <c r="X148" s="2">
        <f t="shared" si="23"/>
        <v>-6726.9000000000087</v>
      </c>
      <c r="Y148" s="2"/>
      <c r="Z148" s="19">
        <f t="shared" si="24"/>
        <v>-8.1802667193298775E-2</v>
      </c>
    </row>
    <row r="149" spans="1:26" s="24" customFormat="1" hidden="1" outlineLevel="1" x14ac:dyDescent="0.25">
      <c r="A149" s="44"/>
      <c r="B149" s="11" t="str">
        <f>CONCATENATE("          ", "5028", " - ", "PURCHASES @ COST-ART/TECH")</f>
        <v xml:space="preserve">          5028 - PURCHASES @ COST-ART/TECH</v>
      </c>
      <c r="C149" s="11"/>
      <c r="D149" s="2">
        <v>4931.4399999999996</v>
      </c>
      <c r="E149" s="2"/>
      <c r="F149" s="19">
        <f t="shared" si="17"/>
        <v>1.8700896702885047E-3</v>
      </c>
      <c r="G149" s="2"/>
      <c r="H149" s="2">
        <v>2870.17</v>
      </c>
      <c r="I149" s="2"/>
      <c r="J149" s="19">
        <f t="shared" si="18"/>
        <v>1.3030607542695884E-3</v>
      </c>
      <c r="K149" s="2"/>
      <c r="L149" s="2">
        <f t="shared" si="19"/>
        <v>2061.2699999999995</v>
      </c>
      <c r="M149" s="2"/>
      <c r="N149" s="19">
        <f t="shared" si="20"/>
        <v>0.71817000386736651</v>
      </c>
      <c r="O149" s="11"/>
      <c r="P149" s="2">
        <v>95270.51</v>
      </c>
      <c r="Q149" s="2"/>
      <c r="R149" s="19">
        <f t="shared" si="21"/>
        <v>5.919478268341564E-3</v>
      </c>
      <c r="S149" s="2"/>
      <c r="T149" s="2">
        <v>85665.68</v>
      </c>
      <c r="U149" s="2"/>
      <c r="V149" s="19">
        <f t="shared" si="22"/>
        <v>5.3755767367138999E-3</v>
      </c>
      <c r="W149" s="2"/>
      <c r="X149" s="2">
        <f t="shared" si="23"/>
        <v>9604.8300000000017</v>
      </c>
      <c r="Y149" s="2"/>
      <c r="Z149" s="19">
        <f t="shared" si="24"/>
        <v>0.11211992947467414</v>
      </c>
    </row>
    <row r="150" spans="1:26" s="24" customFormat="1" hidden="1" outlineLevel="1" x14ac:dyDescent="0.25">
      <c r="A150" s="44"/>
      <c r="B150" s="11" t="str">
        <f>CONCATENATE("          ", "5031", " - ", "PURCHASES @ COST-FOOD")</f>
        <v xml:space="preserve">          5031 - PURCHASES @ COST-FOOD</v>
      </c>
      <c r="C150" s="11"/>
      <c r="D150" s="2">
        <v>4825.3999999999996</v>
      </c>
      <c r="E150" s="2"/>
      <c r="F150" s="19">
        <f t="shared" si="17"/>
        <v>1.8298774181598379E-3</v>
      </c>
      <c r="G150" s="2"/>
      <c r="H150" s="2">
        <v>4001.16</v>
      </c>
      <c r="I150" s="2"/>
      <c r="J150" s="19">
        <f t="shared" si="18"/>
        <v>1.8165316227099113E-3</v>
      </c>
      <c r="K150" s="2"/>
      <c r="L150" s="2">
        <f t="shared" si="19"/>
        <v>824.23999999999978</v>
      </c>
      <c r="M150" s="2"/>
      <c r="N150" s="19">
        <f t="shared" si="20"/>
        <v>0.20600025992462181</v>
      </c>
      <c r="O150" s="11"/>
      <c r="P150" s="2">
        <v>20814.489999999998</v>
      </c>
      <c r="Q150" s="2"/>
      <c r="R150" s="19">
        <f t="shared" si="21"/>
        <v>1.293274500384356E-3</v>
      </c>
      <c r="S150" s="2"/>
      <c r="T150" s="2">
        <v>17422.769999999997</v>
      </c>
      <c r="U150" s="2"/>
      <c r="V150" s="19">
        <f t="shared" si="22"/>
        <v>1.093290067867515E-3</v>
      </c>
      <c r="W150" s="2"/>
      <c r="X150" s="2">
        <f t="shared" si="23"/>
        <v>3391.7200000000012</v>
      </c>
      <c r="Y150" s="2"/>
      <c r="Z150" s="19">
        <f t="shared" si="24"/>
        <v>0.19467168538642257</v>
      </c>
    </row>
    <row r="151" spans="1:26" s="24" customFormat="1" hidden="1" outlineLevel="1" x14ac:dyDescent="0.25">
      <c r="A151" s="44"/>
      <c r="B151" s="11" t="str">
        <f>CONCATENATE("          ", "5032", " - ", "PURCHASES @ COST-JUICE")</f>
        <v xml:space="preserve">          5032 - PURCHASES @ COST-JUICE</v>
      </c>
      <c r="C151" s="11"/>
      <c r="D151" s="2">
        <v>1278.21</v>
      </c>
      <c r="E151" s="2"/>
      <c r="F151" s="19">
        <f t="shared" si="17"/>
        <v>4.8471994335518021E-4</v>
      </c>
      <c r="G151" s="2"/>
      <c r="H151" s="2">
        <v>842.58</v>
      </c>
      <c r="I151" s="2"/>
      <c r="J151" s="19">
        <f t="shared" si="18"/>
        <v>3.8253236927863847E-4</v>
      </c>
      <c r="K151" s="2"/>
      <c r="L151" s="2">
        <f t="shared" si="19"/>
        <v>435.63</v>
      </c>
      <c r="M151" s="2"/>
      <c r="N151" s="19">
        <f t="shared" si="20"/>
        <v>0.51701915545111443</v>
      </c>
      <c r="O151" s="11"/>
      <c r="P151" s="2">
        <v>4662.49</v>
      </c>
      <c r="Q151" s="2"/>
      <c r="R151" s="19">
        <f t="shared" si="21"/>
        <v>2.8969623686657978E-4</v>
      </c>
      <c r="S151" s="2"/>
      <c r="T151" s="2">
        <v>4678.3500000000004</v>
      </c>
      <c r="U151" s="2"/>
      <c r="V151" s="19">
        <f t="shared" si="22"/>
        <v>2.9356948344080706E-4</v>
      </c>
      <c r="W151" s="2"/>
      <c r="X151" s="2">
        <f t="shared" si="23"/>
        <v>-15.860000000000582</v>
      </c>
      <c r="Y151" s="2"/>
      <c r="Z151" s="19">
        <f t="shared" si="24"/>
        <v>-3.3900841108511722E-3</v>
      </c>
    </row>
    <row r="152" spans="1:26" s="24" customFormat="1" hidden="1" outlineLevel="1" x14ac:dyDescent="0.25">
      <c r="A152" s="44"/>
      <c r="B152" s="11" t="str">
        <f>CONCATENATE("          ", "5033", " - ", "PURCHASES @ COST-CANDY")</f>
        <v xml:space="preserve">          5033 - PURCHASES @ COST-CANDY</v>
      </c>
      <c r="C152" s="11"/>
      <c r="D152" s="2">
        <v>1482.54</v>
      </c>
      <c r="E152" s="2"/>
      <c r="F152" s="19">
        <f t="shared" si="17"/>
        <v>5.62205509909787E-4</v>
      </c>
      <c r="G152" s="2"/>
      <c r="H152" s="2">
        <v>871.44</v>
      </c>
      <c r="I152" s="2"/>
      <c r="J152" s="19">
        <f t="shared" si="18"/>
        <v>3.9563484521846793E-4</v>
      </c>
      <c r="K152" s="2"/>
      <c r="L152" s="2">
        <f t="shared" si="19"/>
        <v>611.09999999999991</v>
      </c>
      <c r="M152" s="2"/>
      <c r="N152" s="19">
        <f t="shared" si="20"/>
        <v>0.70125309832002192</v>
      </c>
      <c r="O152" s="11"/>
      <c r="P152" s="2">
        <v>5937.74</v>
      </c>
      <c r="Q152" s="2"/>
      <c r="R152" s="19">
        <f t="shared" si="21"/>
        <v>3.6893182258667913E-4</v>
      </c>
      <c r="S152" s="2"/>
      <c r="T152" s="2">
        <v>4438.3599999999997</v>
      </c>
      <c r="U152" s="2"/>
      <c r="V152" s="19">
        <f t="shared" si="22"/>
        <v>2.7850995597258443E-4</v>
      </c>
      <c r="W152" s="2"/>
      <c r="X152" s="2">
        <f t="shared" si="23"/>
        <v>1499.38</v>
      </c>
      <c r="Y152" s="2"/>
      <c r="Z152" s="19">
        <f t="shared" si="24"/>
        <v>0.33782297965915342</v>
      </c>
    </row>
    <row r="153" spans="1:26" s="24" customFormat="1" hidden="1" outlineLevel="1" x14ac:dyDescent="0.25">
      <c r="A153" s="44"/>
      <c r="B153" s="11" t="str">
        <f>CONCATENATE("          ", "5034", " - ", "PURCHASES @ COST-SODA")</f>
        <v xml:space="preserve">          5034 - PURCHASES @ COST-SODA</v>
      </c>
      <c r="C153" s="11"/>
      <c r="D153" s="2">
        <v>587.38</v>
      </c>
      <c r="E153" s="2"/>
      <c r="F153" s="19">
        <f t="shared" si="17"/>
        <v>2.2274493262293814E-4</v>
      </c>
      <c r="G153" s="2"/>
      <c r="H153" s="2">
        <v>402.87</v>
      </c>
      <c r="I153" s="2"/>
      <c r="J153" s="19">
        <f t="shared" si="18"/>
        <v>1.8290348170059233E-4</v>
      </c>
      <c r="K153" s="2"/>
      <c r="L153" s="2">
        <f t="shared" si="19"/>
        <v>184.51</v>
      </c>
      <c r="M153" s="2"/>
      <c r="N153" s="19">
        <f t="shared" si="20"/>
        <v>0.45798892943133018</v>
      </c>
      <c r="O153" s="11"/>
      <c r="P153" s="2">
        <v>2081.92</v>
      </c>
      <c r="Q153" s="2"/>
      <c r="R153" s="19">
        <f t="shared" si="21"/>
        <v>1.2935671485778412E-4</v>
      </c>
      <c r="S153" s="2"/>
      <c r="T153" s="2">
        <v>1660.62</v>
      </c>
      <c r="U153" s="2"/>
      <c r="V153" s="19">
        <f t="shared" si="22"/>
        <v>1.0420497730855386E-4</v>
      </c>
      <c r="W153" s="2"/>
      <c r="X153" s="2">
        <f t="shared" si="23"/>
        <v>421.30000000000018</v>
      </c>
      <c r="Y153" s="2"/>
      <c r="Z153" s="19">
        <f t="shared" si="24"/>
        <v>0.25370042514241681</v>
      </c>
    </row>
    <row r="154" spans="1:26" s="24" customFormat="1" hidden="1" outlineLevel="1" x14ac:dyDescent="0.25">
      <c r="A154" s="44"/>
      <c r="B154" s="11" t="str">
        <f>CONCATENATE("          ", "5035", " - ", "PURCHASES @ COST-HEALTH &amp; BEAU")</f>
        <v xml:space="preserve">          5035 - PURCHASES @ COST-HEALTH &amp; BEAU</v>
      </c>
      <c r="C154" s="11"/>
      <c r="D154" s="2">
        <v>222.52</v>
      </c>
      <c r="E154" s="2"/>
      <c r="F154" s="19">
        <f t="shared" si="17"/>
        <v>8.4383537756233093E-5</v>
      </c>
      <c r="G154" s="2"/>
      <c r="H154" s="2">
        <v>88.54</v>
      </c>
      <c r="I154" s="2"/>
      <c r="J154" s="19">
        <f t="shared" si="18"/>
        <v>4.0197270260308404E-5</v>
      </c>
      <c r="K154" s="2"/>
      <c r="L154" s="2">
        <f t="shared" si="19"/>
        <v>133.98000000000002</v>
      </c>
      <c r="M154" s="2"/>
      <c r="N154" s="19">
        <f t="shared" si="20"/>
        <v>1.5132143663880733</v>
      </c>
      <c r="O154" s="11"/>
      <c r="P154" s="2">
        <v>801.21</v>
      </c>
      <c r="Q154" s="2"/>
      <c r="R154" s="19">
        <f t="shared" si="21"/>
        <v>4.9781880913390149E-5</v>
      </c>
      <c r="S154" s="2"/>
      <c r="T154" s="2">
        <v>557.87</v>
      </c>
      <c r="U154" s="2"/>
      <c r="V154" s="19">
        <f t="shared" si="22"/>
        <v>3.5006702732186139E-5</v>
      </c>
      <c r="W154" s="2"/>
      <c r="X154" s="2">
        <f t="shared" si="23"/>
        <v>243.34000000000003</v>
      </c>
      <c r="Y154" s="2"/>
      <c r="Z154" s="19">
        <f t="shared" si="24"/>
        <v>0.43619481241149377</v>
      </c>
    </row>
    <row r="155" spans="1:26" s="24" customFormat="1" hidden="1" outlineLevel="1" x14ac:dyDescent="0.25">
      <c r="A155" s="44"/>
      <c r="B155" s="11" t="str">
        <f>CONCATENATE("          ", "5037", " - ", "PURCHASES @ COST-WATER")</f>
        <v xml:space="preserve">          5037 - PURCHASES @ COST-WATER</v>
      </c>
      <c r="C155" s="11"/>
      <c r="D155" s="2">
        <v>667.52</v>
      </c>
      <c r="E155" s="2"/>
      <c r="F155" s="19">
        <f t="shared" si="17"/>
        <v>2.5313544455797554E-4</v>
      </c>
      <c r="G155" s="2"/>
      <c r="H155" s="2">
        <v>805.53</v>
      </c>
      <c r="I155" s="2"/>
      <c r="J155" s="19">
        <f t="shared" si="18"/>
        <v>3.6571162313966818E-4</v>
      </c>
      <c r="K155" s="2"/>
      <c r="L155" s="2">
        <f t="shared" si="19"/>
        <v>-138.01</v>
      </c>
      <c r="M155" s="2"/>
      <c r="N155" s="19">
        <f t="shared" si="20"/>
        <v>-0.17132819385994313</v>
      </c>
      <c r="O155" s="11"/>
      <c r="P155" s="2">
        <v>3523.37</v>
      </c>
      <c r="Q155" s="2"/>
      <c r="R155" s="19">
        <f t="shared" si="21"/>
        <v>2.1891886740531375E-4</v>
      </c>
      <c r="S155" s="2"/>
      <c r="T155" s="2">
        <v>3471.61</v>
      </c>
      <c r="U155" s="2"/>
      <c r="V155" s="19">
        <f t="shared" si="22"/>
        <v>2.1784576921520199E-4</v>
      </c>
      <c r="W155" s="2"/>
      <c r="X155" s="2">
        <f t="shared" si="23"/>
        <v>51.759999999999764</v>
      </c>
      <c r="Y155" s="2"/>
      <c r="Z155" s="19">
        <f t="shared" si="24"/>
        <v>1.4909508844599411E-2</v>
      </c>
    </row>
    <row r="156" spans="1:26" s="24" customFormat="1" hidden="1" outlineLevel="1" x14ac:dyDescent="0.25">
      <c r="A156" s="44"/>
      <c r="B156" s="11" t="str">
        <f>CONCATENATE("          ", "5040", " - ", "PURCHASES @ COST-LOGO CLOTHING")</f>
        <v xml:space="preserve">          5040 - PURCHASES @ COST-LOGO CLOTHING</v>
      </c>
      <c r="C156" s="11"/>
      <c r="D156" s="2">
        <v>105691.4</v>
      </c>
      <c r="E156" s="2"/>
      <c r="F156" s="19">
        <f t="shared" si="17"/>
        <v>4.0080056814709393E-2</v>
      </c>
      <c r="G156" s="2"/>
      <c r="H156" s="2">
        <v>105025.65000000001</v>
      </c>
      <c r="I156" s="2"/>
      <c r="J156" s="19">
        <f t="shared" si="18"/>
        <v>4.7681775890157659E-2</v>
      </c>
      <c r="K156" s="2"/>
      <c r="L156" s="2">
        <f t="shared" si="19"/>
        <v>665.74999999998545</v>
      </c>
      <c r="M156" s="2"/>
      <c r="N156" s="19">
        <f t="shared" si="20"/>
        <v>6.3389276809996927E-3</v>
      </c>
      <c r="O156" s="11"/>
      <c r="P156" s="2">
        <v>618292.30999999994</v>
      </c>
      <c r="Q156" s="2"/>
      <c r="R156" s="19">
        <f t="shared" si="21"/>
        <v>3.8416587593870392E-2</v>
      </c>
      <c r="S156" s="2"/>
      <c r="T156" s="2">
        <v>548235.94000000006</v>
      </c>
      <c r="U156" s="2"/>
      <c r="V156" s="19">
        <f t="shared" si="22"/>
        <v>3.440215924620546E-2</v>
      </c>
      <c r="W156" s="2"/>
      <c r="X156" s="2">
        <f t="shared" si="23"/>
        <v>70056.369999999879</v>
      </c>
      <c r="Y156" s="2"/>
      <c r="Z156" s="19">
        <f t="shared" si="24"/>
        <v>0.1277850737038507</v>
      </c>
    </row>
    <row r="157" spans="1:26" s="24" customFormat="1" hidden="1" outlineLevel="1" x14ac:dyDescent="0.25">
      <c r="A157" s="44"/>
      <c r="B157" s="11" t="str">
        <f>CONCATENATE("          ", "5041", " - ", "PURCHASES @ COST-LOGO GIFTS")</f>
        <v xml:space="preserve">          5041 - PURCHASES @ COST-LOGO GIFTS</v>
      </c>
      <c r="C157" s="11"/>
      <c r="D157" s="2">
        <v>18340.09</v>
      </c>
      <c r="E157" s="2"/>
      <c r="F157" s="19">
        <f t="shared" si="17"/>
        <v>6.9548879964394794E-3</v>
      </c>
      <c r="G157" s="2"/>
      <c r="H157" s="2">
        <v>13418.66</v>
      </c>
      <c r="I157" s="2"/>
      <c r="J157" s="19">
        <f t="shared" si="18"/>
        <v>6.0920883504765062E-3</v>
      </c>
      <c r="K157" s="2"/>
      <c r="L157" s="2">
        <f t="shared" si="19"/>
        <v>4921.43</v>
      </c>
      <c r="M157" s="2"/>
      <c r="N157" s="19">
        <f t="shared" si="20"/>
        <v>0.36676016830294533</v>
      </c>
      <c r="O157" s="11"/>
      <c r="P157" s="2">
        <v>88796.55</v>
      </c>
      <c r="Q157" s="2"/>
      <c r="R157" s="19">
        <f t="shared" si="21"/>
        <v>5.51722928772718E-3</v>
      </c>
      <c r="S157" s="2"/>
      <c r="T157" s="2">
        <v>96519.51</v>
      </c>
      <c r="U157" s="2"/>
      <c r="V157" s="19">
        <f t="shared" si="22"/>
        <v>6.0566615778340242E-3</v>
      </c>
      <c r="W157" s="2"/>
      <c r="X157" s="2">
        <f t="shared" si="23"/>
        <v>-7722.9599999999919</v>
      </c>
      <c r="Y157" s="2"/>
      <c r="Z157" s="19">
        <f t="shared" si="24"/>
        <v>-8.0014496551008105E-2</v>
      </c>
    </row>
    <row r="158" spans="1:26" s="24" customFormat="1" hidden="1" outlineLevel="1" x14ac:dyDescent="0.25">
      <c r="A158" s="44"/>
      <c r="B158" s="11" t="str">
        <f>CONCATENATE("          ", "5042", " - ", "PURCHASES @ COST-EVERYDAY GIFT")</f>
        <v xml:space="preserve">          5042 - PURCHASES @ COST-EVERYDAY GIFT</v>
      </c>
      <c r="C158" s="11"/>
      <c r="D158" s="2">
        <v>31316.85</v>
      </c>
      <c r="E158" s="2"/>
      <c r="F158" s="19">
        <f t="shared" si="17"/>
        <v>1.1875905960728421E-2</v>
      </c>
      <c r="G158" s="2"/>
      <c r="H158" s="2">
        <v>14055.43</v>
      </c>
      <c r="I158" s="2"/>
      <c r="J158" s="19">
        <f t="shared" si="18"/>
        <v>6.3811827234565898E-3</v>
      </c>
      <c r="K158" s="2"/>
      <c r="L158" s="2">
        <f t="shared" si="19"/>
        <v>17261.419999999998</v>
      </c>
      <c r="M158" s="2"/>
      <c r="N158" s="19">
        <f t="shared" si="20"/>
        <v>1.2280961877366967</v>
      </c>
      <c r="O158" s="11"/>
      <c r="P158" s="2">
        <v>80565.319999999992</v>
      </c>
      <c r="Q158" s="2"/>
      <c r="R158" s="19">
        <f t="shared" si="21"/>
        <v>5.0057951922581707E-3</v>
      </c>
      <c r="S158" s="2"/>
      <c r="T158" s="2">
        <v>74390.78</v>
      </c>
      <c r="U158" s="2"/>
      <c r="V158" s="19">
        <f t="shared" si="22"/>
        <v>4.6680694811971572E-3</v>
      </c>
      <c r="W158" s="2"/>
      <c r="X158" s="2">
        <f t="shared" si="23"/>
        <v>6174.5399999999936</v>
      </c>
      <c r="Y158" s="2"/>
      <c r="Z158" s="19">
        <f t="shared" si="24"/>
        <v>8.3001414960294728E-2</v>
      </c>
    </row>
    <row r="159" spans="1:26" s="24" customFormat="1" hidden="1" outlineLevel="1" x14ac:dyDescent="0.25">
      <c r="A159" s="44"/>
      <c r="B159" s="11" t="str">
        <f>CONCATENATE("          ", "5043", " - ", "PURCHASES @ COST-CARDS")</f>
        <v xml:space="preserve">          5043 - PURCHASES @ COST-CARDS</v>
      </c>
      <c r="C159" s="11"/>
      <c r="D159" s="2">
        <v>2188.66</v>
      </c>
      <c r="E159" s="2"/>
      <c r="F159" s="19">
        <f t="shared" si="17"/>
        <v>8.2997876031618326E-4</v>
      </c>
      <c r="G159" s="2"/>
      <c r="H159" s="2">
        <v>455.53</v>
      </c>
      <c r="I159" s="2"/>
      <c r="J159" s="19">
        <f t="shared" si="18"/>
        <v>2.0681118727895056E-4</v>
      </c>
      <c r="K159" s="2"/>
      <c r="L159" s="2">
        <f t="shared" si="19"/>
        <v>1733.1299999999999</v>
      </c>
      <c r="M159" s="2"/>
      <c r="N159" s="19">
        <f t="shared" si="20"/>
        <v>3.804645138629728</v>
      </c>
      <c r="O159" s="11"/>
      <c r="P159" s="2">
        <v>3528.74</v>
      </c>
      <c r="Q159" s="2"/>
      <c r="R159" s="19">
        <f t="shared" si="21"/>
        <v>2.1925252362591121E-4</v>
      </c>
      <c r="S159" s="2"/>
      <c r="T159" s="2">
        <v>2263.87</v>
      </c>
      <c r="U159" s="2"/>
      <c r="V159" s="19">
        <f t="shared" si="22"/>
        <v>1.4205930434386905E-4</v>
      </c>
      <c r="W159" s="2"/>
      <c r="X159" s="2">
        <f t="shared" si="23"/>
        <v>1264.8699999999999</v>
      </c>
      <c r="Y159" s="2"/>
      <c r="Z159" s="19">
        <f t="shared" si="24"/>
        <v>0.55872024453700964</v>
      </c>
    </row>
    <row r="160" spans="1:26" s="24" customFormat="1" hidden="1" outlineLevel="1" x14ac:dyDescent="0.25">
      <c r="A160" s="44"/>
      <c r="B160" s="11" t="str">
        <f>CONCATENATE("          ", "5044", " - ", "PURCHASES @ COST-ACCESSORIES")</f>
        <v xml:space="preserve">          5044 - PURCHASES @ COST-ACCESSORIES</v>
      </c>
      <c r="C160" s="11"/>
      <c r="D160" s="2">
        <v>-6895.55</v>
      </c>
      <c r="E160" s="2"/>
      <c r="F160" s="19">
        <f t="shared" si="17"/>
        <v>-2.6149150807792247E-3</v>
      </c>
      <c r="G160" s="2"/>
      <c r="H160" s="2">
        <v>1191.96</v>
      </c>
      <c r="I160" s="2"/>
      <c r="J160" s="19">
        <f t="shared" si="18"/>
        <v>5.4115132436725996E-4</v>
      </c>
      <c r="K160" s="2"/>
      <c r="L160" s="2">
        <f t="shared" si="19"/>
        <v>-8087.51</v>
      </c>
      <c r="M160" s="2"/>
      <c r="N160" s="19">
        <f t="shared" si="20"/>
        <v>-6.7850515117956975</v>
      </c>
      <c r="O160" s="11"/>
      <c r="P160" s="2">
        <v>17255.580000000002</v>
      </c>
      <c r="Q160" s="2"/>
      <c r="R160" s="19">
        <f t="shared" si="21"/>
        <v>1.0721474128524066E-3</v>
      </c>
      <c r="S160" s="2"/>
      <c r="T160" s="2">
        <v>20139.030000000002</v>
      </c>
      <c r="U160" s="2"/>
      <c r="V160" s="19">
        <f t="shared" si="22"/>
        <v>1.2637371368321988E-3</v>
      </c>
      <c r="W160" s="2"/>
      <c r="X160" s="2">
        <f t="shared" si="23"/>
        <v>-2883.4500000000007</v>
      </c>
      <c r="Y160" s="2"/>
      <c r="Z160" s="19">
        <f t="shared" si="24"/>
        <v>-0.14317720366869707</v>
      </c>
    </row>
    <row r="161" spans="1:26" s="24" customFormat="1" hidden="1" outlineLevel="1" x14ac:dyDescent="0.25">
      <c r="A161" s="44"/>
      <c r="B161" s="11" t="str">
        <f>CONCATENATE("          ", "5045", " - ", "PURCHASES @ COST-SPECIAL ORDER")</f>
        <v xml:space="preserve">          5045 - PURCHASES @ COST-SPECIAL ORDER</v>
      </c>
      <c r="C161" s="11"/>
      <c r="D161" s="2">
        <v>14163.29</v>
      </c>
      <c r="E161" s="2"/>
      <c r="F161" s="19">
        <f t="shared" si="17"/>
        <v>5.3709712226652825E-3</v>
      </c>
      <c r="G161" s="2"/>
      <c r="H161" s="2">
        <v>7341.66</v>
      </c>
      <c r="I161" s="2"/>
      <c r="J161" s="19">
        <f t="shared" si="18"/>
        <v>3.3331227826891318E-3</v>
      </c>
      <c r="K161" s="2"/>
      <c r="L161" s="2">
        <f t="shared" si="19"/>
        <v>6821.630000000001</v>
      </c>
      <c r="M161" s="2"/>
      <c r="N161" s="19">
        <f t="shared" si="20"/>
        <v>0.92916724555482022</v>
      </c>
      <c r="O161" s="11"/>
      <c r="P161" s="2">
        <v>42226.49</v>
      </c>
      <c r="Q161" s="2"/>
      <c r="R161" s="19">
        <f t="shared" si="21"/>
        <v>2.623674313314187E-3</v>
      </c>
      <c r="S161" s="2"/>
      <c r="T161" s="2">
        <v>49312.08</v>
      </c>
      <c r="U161" s="2"/>
      <c r="V161" s="19">
        <f t="shared" si="22"/>
        <v>3.0943648621825541E-3</v>
      </c>
      <c r="W161" s="2"/>
      <c r="X161" s="2">
        <f t="shared" si="23"/>
        <v>-7085.5900000000038</v>
      </c>
      <c r="Y161" s="2"/>
      <c r="Z161" s="19">
        <f t="shared" si="24"/>
        <v>-0.14368872698129959</v>
      </c>
    </row>
    <row r="162" spans="1:26" s="24" customFormat="1" hidden="1" outlineLevel="1" x14ac:dyDescent="0.25">
      <c r="A162" s="44"/>
      <c r="B162" s="11" t="str">
        <f>CONCATENATE("          ", "5053", " - ", "PURCHASES @ COST-FOOD")</f>
        <v xml:space="preserve">          5053 - PURCHASES @ COST-FOOD</v>
      </c>
      <c r="C162" s="11"/>
      <c r="D162" s="2">
        <v>556128.4</v>
      </c>
      <c r="E162" s="2"/>
      <c r="F162" s="19">
        <f t="shared" si="17"/>
        <v>0.21089377062157785</v>
      </c>
      <c r="G162" s="2"/>
      <c r="H162" s="2">
        <v>491841.48999999993</v>
      </c>
      <c r="I162" s="2"/>
      <c r="J162" s="19">
        <f t="shared" si="18"/>
        <v>0.22329664895824222</v>
      </c>
      <c r="K162" s="2"/>
      <c r="L162" s="2">
        <f t="shared" si="19"/>
        <v>64286.910000000091</v>
      </c>
      <c r="M162" s="2"/>
      <c r="N162" s="19">
        <f t="shared" si="20"/>
        <v>0.13070656157942287</v>
      </c>
      <c r="O162" s="11"/>
      <c r="P162" s="2">
        <v>2894729.38</v>
      </c>
      <c r="Q162" s="2"/>
      <c r="R162" s="19">
        <f t="shared" si="21"/>
        <v>0.17985930439167219</v>
      </c>
      <c r="S162" s="2"/>
      <c r="T162" s="2">
        <v>2787039.5500000003</v>
      </c>
      <c r="U162" s="2"/>
      <c r="V162" s="19">
        <f t="shared" si="22"/>
        <v>0.17488853143150884</v>
      </c>
      <c r="W162" s="2"/>
      <c r="X162" s="2">
        <f t="shared" si="23"/>
        <v>107689.82999999961</v>
      </c>
      <c r="Y162" s="2"/>
      <c r="Z162" s="19">
        <f t="shared" si="24"/>
        <v>3.8639505492485599E-2</v>
      </c>
    </row>
    <row r="163" spans="1:26" s="24" customFormat="1" hidden="1" outlineLevel="1" x14ac:dyDescent="0.25">
      <c r="A163" s="44"/>
      <c r="B163" s="11" t="str">
        <f>CONCATENATE("          ", "5059", " - ", "PURCHASES @ COST-FOOD")</f>
        <v xml:space="preserve">          5059 - PURCHASES @ COST-FOOD</v>
      </c>
      <c r="C163" s="11"/>
      <c r="D163" s="2">
        <v>39806.47</v>
      </c>
      <c r="E163" s="2"/>
      <c r="F163" s="19">
        <f t="shared" si="17"/>
        <v>1.5095320709092936E-2</v>
      </c>
      <c r="G163" s="2"/>
      <c r="H163" s="2">
        <v>15716.5</v>
      </c>
      <c r="I163" s="2"/>
      <c r="J163" s="19">
        <f t="shared" si="18"/>
        <v>7.1353105720141962E-3</v>
      </c>
      <c r="K163" s="2"/>
      <c r="L163" s="2">
        <f t="shared" si="19"/>
        <v>24089.97</v>
      </c>
      <c r="M163" s="2"/>
      <c r="N163" s="19">
        <f t="shared" si="20"/>
        <v>1.5327821079756945</v>
      </c>
      <c r="O163" s="11"/>
      <c r="P163" s="2">
        <v>-69780.160000000003</v>
      </c>
      <c r="Q163" s="2"/>
      <c r="R163" s="19">
        <f t="shared" si="21"/>
        <v>-4.3356768078747273E-3</v>
      </c>
      <c r="S163" s="2"/>
      <c r="T163" s="2">
        <v>-86870.58</v>
      </c>
      <c r="U163" s="2"/>
      <c r="V163" s="19">
        <f t="shared" si="22"/>
        <v>-5.4511849897513663E-3</v>
      </c>
      <c r="W163" s="2"/>
      <c r="X163" s="2">
        <f t="shared" si="23"/>
        <v>17090.419999999998</v>
      </c>
      <c r="Y163" s="2"/>
      <c r="Z163" s="19">
        <f t="shared" si="24"/>
        <v>-0.19673426837946745</v>
      </c>
    </row>
    <row r="164" spans="1:26" s="24" customFormat="1" hidden="1" outlineLevel="1" x14ac:dyDescent="0.25">
      <c r="A164" s="44"/>
      <c r="B164" s="11" t="str">
        <f>CONCATENATE("          ", "5081", " - ", "PURCHASES @ COST-ELECTRONICS")</f>
        <v xml:space="preserve">          5081 - PURCHASES @ COST-ELECTRONICS</v>
      </c>
      <c r="C164" s="11"/>
      <c r="D164" s="2">
        <v>16915.849999999999</v>
      </c>
      <c r="E164" s="2"/>
      <c r="F164" s="19">
        <f t="shared" si="17"/>
        <v>6.4147908824095604E-3</v>
      </c>
      <c r="G164" s="2"/>
      <c r="H164" s="2">
        <v>14757.25</v>
      </c>
      <c r="I164" s="2"/>
      <c r="J164" s="19">
        <f t="shared" si="18"/>
        <v>6.6998098774445009E-3</v>
      </c>
      <c r="K164" s="2"/>
      <c r="L164" s="2">
        <f t="shared" si="19"/>
        <v>2158.5999999999985</v>
      </c>
      <c r="M164" s="2"/>
      <c r="N164" s="19">
        <f t="shared" si="20"/>
        <v>0.14627386538819892</v>
      </c>
      <c r="O164" s="11"/>
      <c r="P164" s="2">
        <v>186052.53999999998</v>
      </c>
      <c r="Q164" s="2"/>
      <c r="R164" s="19">
        <f t="shared" si="21"/>
        <v>1.1560072128298142E-2</v>
      </c>
      <c r="S164" s="2"/>
      <c r="T164" s="2">
        <v>160886.57</v>
      </c>
      <c r="U164" s="2"/>
      <c r="V164" s="19">
        <f t="shared" si="22"/>
        <v>1.009573615643619E-2</v>
      </c>
      <c r="W164" s="2"/>
      <c r="X164" s="2">
        <f t="shared" si="23"/>
        <v>25165.969999999972</v>
      </c>
      <c r="Y164" s="2"/>
      <c r="Z164" s="19">
        <f t="shared" si="24"/>
        <v>0.15642057631037801</v>
      </c>
    </row>
    <row r="165" spans="1:26" s="24" customFormat="1" hidden="1" outlineLevel="1" x14ac:dyDescent="0.25">
      <c r="A165" s="44"/>
      <c r="B165" s="11" t="str">
        <f>CONCATENATE("          ", "5082", " - ", "PURCHASES @ COST-COMPUTER HARD")</f>
        <v xml:space="preserve">          5082 - PURCHASES @ COST-COMPUTER HARD</v>
      </c>
      <c r="C165" s="11"/>
      <c r="D165" s="2">
        <v>62807.55999999999</v>
      </c>
      <c r="E165" s="2"/>
      <c r="F165" s="19">
        <f t="shared" si="17"/>
        <v>2.3817742722617628E-2</v>
      </c>
      <c r="G165" s="2"/>
      <c r="H165" s="2">
        <v>224384.15</v>
      </c>
      <c r="I165" s="2"/>
      <c r="J165" s="19">
        <f t="shared" si="18"/>
        <v>0.10187068352924755</v>
      </c>
      <c r="K165" s="2"/>
      <c r="L165" s="2">
        <f t="shared" si="19"/>
        <v>-161576.59</v>
      </c>
      <c r="M165" s="2"/>
      <c r="N165" s="19">
        <f t="shared" si="20"/>
        <v>-0.72008914176870331</v>
      </c>
      <c r="O165" s="11"/>
      <c r="P165" s="2">
        <v>958594.8600000001</v>
      </c>
      <c r="Q165" s="2"/>
      <c r="R165" s="19">
        <f t="shared" si="21"/>
        <v>5.9560733346697994E-2</v>
      </c>
      <c r="S165" s="2"/>
      <c r="T165" s="2">
        <v>859664.56</v>
      </c>
      <c r="U165" s="2"/>
      <c r="V165" s="19">
        <f t="shared" si="22"/>
        <v>5.3944506249333356E-2</v>
      </c>
      <c r="W165" s="2"/>
      <c r="X165" s="2">
        <f t="shared" si="23"/>
        <v>98930.300000000047</v>
      </c>
      <c r="Y165" s="2"/>
      <c r="Z165" s="19">
        <f t="shared" si="24"/>
        <v>0.11508011915717456</v>
      </c>
    </row>
    <row r="166" spans="1:26" s="24" customFormat="1" hidden="1" outlineLevel="1" x14ac:dyDescent="0.25">
      <c r="A166" s="44"/>
      <c r="B166" s="11" t="str">
        <f>CONCATENATE("          ", "5083", " - ", "PURCHASES @ COST-COMPUTER EQUI")</f>
        <v xml:space="preserve">          5083 - PURCHASES @ COST-COMPUTER EQUI</v>
      </c>
      <c r="C166" s="11"/>
      <c r="D166" s="2">
        <v>7127.48</v>
      </c>
      <c r="E166" s="2"/>
      <c r="F166" s="19">
        <f t="shared" si="17"/>
        <v>2.7028670577332204E-3</v>
      </c>
      <c r="G166" s="2"/>
      <c r="H166" s="2">
        <v>13058.9</v>
      </c>
      <c r="I166" s="2"/>
      <c r="J166" s="19">
        <f t="shared" si="18"/>
        <v>5.928756862461501E-3</v>
      </c>
      <c r="K166" s="2"/>
      <c r="L166" s="2">
        <f t="shared" si="19"/>
        <v>-5931.42</v>
      </c>
      <c r="M166" s="2"/>
      <c r="N166" s="19">
        <f t="shared" si="20"/>
        <v>-0.45420517807778604</v>
      </c>
      <c r="O166" s="11"/>
      <c r="P166" s="2">
        <v>49168.32</v>
      </c>
      <c r="Q166" s="2"/>
      <c r="R166" s="19">
        <f t="shared" si="21"/>
        <v>3.0549936358151533E-3</v>
      </c>
      <c r="S166" s="2"/>
      <c r="T166" s="2">
        <v>57405.340000000004</v>
      </c>
      <c r="U166" s="2"/>
      <c r="V166" s="19">
        <f t="shared" si="22"/>
        <v>3.6022221532257953E-3</v>
      </c>
      <c r="W166" s="2"/>
      <c r="X166" s="2">
        <f t="shared" si="23"/>
        <v>-8237.0200000000041</v>
      </c>
      <c r="Y166" s="2"/>
      <c r="Z166" s="19">
        <f t="shared" si="24"/>
        <v>-0.14348874163971512</v>
      </c>
    </row>
    <row r="167" spans="1:26" s="24" customFormat="1" hidden="1" outlineLevel="1" x14ac:dyDescent="0.25">
      <c r="A167" s="44"/>
      <c r="B167" s="11" t="str">
        <f>CONCATENATE("          ", "5084", " - ", "PURCHASES @ COST-SOFTWARE LICE")</f>
        <v xml:space="preserve">          5084 - PURCHASES @ COST-SOFTWARE LICE</v>
      </c>
      <c r="C167" s="11"/>
      <c r="D167" s="2"/>
      <c r="E167" s="2"/>
      <c r="F167" s="19">
        <f t="shared" si="17"/>
        <v>0</v>
      </c>
      <c r="G167" s="2"/>
      <c r="H167" s="2">
        <v>445</v>
      </c>
      <c r="I167" s="2"/>
      <c r="J167" s="19">
        <f t="shared" si="18"/>
        <v>2.0203055416576955E-4</v>
      </c>
      <c r="K167" s="2"/>
      <c r="L167" s="2">
        <f t="shared" si="19"/>
        <v>-445</v>
      </c>
      <c r="M167" s="2"/>
      <c r="N167" s="19">
        <f t="shared" si="20"/>
        <v>-1</v>
      </c>
      <c r="O167" s="11"/>
      <c r="P167" s="2">
        <v>2728</v>
      </c>
      <c r="Q167" s="2"/>
      <c r="R167" s="19">
        <f t="shared" si="21"/>
        <v>1.6949984539849517E-4</v>
      </c>
      <c r="S167" s="2"/>
      <c r="T167" s="2">
        <v>673</v>
      </c>
      <c r="U167" s="2"/>
      <c r="V167" s="19">
        <f t="shared" si="22"/>
        <v>4.2231184574831543E-5</v>
      </c>
      <c r="W167" s="2"/>
      <c r="X167" s="2">
        <f t="shared" si="23"/>
        <v>2055</v>
      </c>
      <c r="Y167" s="2"/>
      <c r="Z167" s="19">
        <f t="shared" si="24"/>
        <v>3.0534918276374441</v>
      </c>
    </row>
    <row r="168" spans="1:26" s="24" customFormat="1" hidden="1" outlineLevel="1" x14ac:dyDescent="0.25">
      <c r="A168" s="44"/>
      <c r="B168" s="11" t="str">
        <f>CONCATENATE("          ", "5085", " - ", "PURCHASES @ COST-SOFTWARE")</f>
        <v xml:space="preserve">          5085 - PURCHASES @ COST-SOFTWARE</v>
      </c>
      <c r="C168" s="11"/>
      <c r="D168" s="2">
        <v>148.36000000000001</v>
      </c>
      <c r="E168" s="2"/>
      <c r="F168" s="19">
        <f t="shared" si="17"/>
        <v>5.6260748074396652E-5</v>
      </c>
      <c r="G168" s="2"/>
      <c r="H168" s="2"/>
      <c r="I168" s="2"/>
      <c r="J168" s="19">
        <f t="shared" si="18"/>
        <v>0</v>
      </c>
      <c r="K168" s="2"/>
      <c r="L168" s="2">
        <f t="shared" si="19"/>
        <v>148.36000000000001</v>
      </c>
      <c r="M168" s="2"/>
      <c r="N168" s="19">
        <f t="shared" si="20"/>
        <v>0</v>
      </c>
      <c r="O168" s="11"/>
      <c r="P168" s="2">
        <v>7080.4</v>
      </c>
      <c r="Q168" s="2"/>
      <c r="R168" s="19">
        <f t="shared" si="21"/>
        <v>4.3992914419336697E-4</v>
      </c>
      <c r="S168" s="2"/>
      <c r="T168" s="2">
        <v>6563.47</v>
      </c>
      <c r="U168" s="2"/>
      <c r="V168" s="19">
        <f t="shared" si="22"/>
        <v>4.118619807152594E-4</v>
      </c>
      <c r="W168" s="2"/>
      <c r="X168" s="2">
        <f t="shared" si="23"/>
        <v>516.92999999999938</v>
      </c>
      <c r="Y168" s="2"/>
      <c r="Z168" s="19">
        <f t="shared" si="24"/>
        <v>7.8758644436555572E-2</v>
      </c>
    </row>
    <row r="169" spans="1:26" s="24" customFormat="1" hidden="1" outlineLevel="1" x14ac:dyDescent="0.25">
      <c r="A169" s="44"/>
      <c r="B169" s="11" t="str">
        <f>CONCATENATE("          ", "5086", " - ", "PURCHASES @ COST-COMPUTER SUPP")</f>
        <v xml:space="preserve">          5086 - PURCHASES @ COST-COMPUTER SUPP</v>
      </c>
      <c r="C169" s="11"/>
      <c r="D169" s="2">
        <v>913.55</v>
      </c>
      <c r="E169" s="2"/>
      <c r="F169" s="19">
        <f t="shared" si="17"/>
        <v>3.4643439204209389E-4</v>
      </c>
      <c r="G169" s="2"/>
      <c r="H169" s="2">
        <v>1346.43</v>
      </c>
      <c r="I169" s="2"/>
      <c r="J169" s="19">
        <f t="shared" si="18"/>
        <v>6.1128089673127448E-4</v>
      </c>
      <c r="K169" s="2"/>
      <c r="L169" s="2">
        <f t="shared" si="19"/>
        <v>-432.88000000000011</v>
      </c>
      <c r="M169" s="2"/>
      <c r="N169" s="19">
        <f t="shared" si="20"/>
        <v>-0.32150204615167521</v>
      </c>
      <c r="O169" s="11"/>
      <c r="P169" s="2">
        <v>19422.649999999998</v>
      </c>
      <c r="Q169" s="2"/>
      <c r="R169" s="19">
        <f t="shared" si="21"/>
        <v>1.2067947845414522E-3</v>
      </c>
      <c r="S169" s="2"/>
      <c r="T169" s="2">
        <v>19026.900000000001</v>
      </c>
      <c r="U169" s="2"/>
      <c r="V169" s="19">
        <f t="shared" si="22"/>
        <v>1.1939502611989039E-3</v>
      </c>
      <c r="W169" s="2"/>
      <c r="X169" s="2">
        <f t="shared" si="23"/>
        <v>395.74999999999636</v>
      </c>
      <c r="Y169" s="2"/>
      <c r="Z169" s="19">
        <f t="shared" si="24"/>
        <v>2.0799499655750349E-2</v>
      </c>
    </row>
    <row r="170" spans="1:26" s="24" customFormat="1" hidden="1" outlineLevel="1" x14ac:dyDescent="0.25">
      <c r="A170" s="44"/>
      <c r="B170" s="11" t="str">
        <f>CONCATENATE("          ", "5088", " - ", "PURCHASES @ COST-MUSIC")</f>
        <v xml:space="preserve">          5088 - PURCHASES @ COST-MUSIC</v>
      </c>
      <c r="C170" s="11"/>
      <c r="D170" s="2"/>
      <c r="E170" s="2"/>
      <c r="F170" s="19">
        <f t="shared" si="17"/>
        <v>0</v>
      </c>
      <c r="G170" s="2"/>
      <c r="H170" s="2"/>
      <c r="I170" s="2"/>
      <c r="J170" s="19">
        <f t="shared" si="18"/>
        <v>0</v>
      </c>
      <c r="K170" s="2"/>
      <c r="L170" s="2">
        <f t="shared" si="19"/>
        <v>0</v>
      </c>
      <c r="M170" s="2"/>
      <c r="N170" s="19">
        <f t="shared" si="20"/>
        <v>0</v>
      </c>
      <c r="O170" s="11"/>
      <c r="P170" s="2">
        <v>88.75</v>
      </c>
      <c r="Q170" s="2"/>
      <c r="R170" s="19">
        <f t="shared" si="21"/>
        <v>5.5143369791482573E-6</v>
      </c>
      <c r="S170" s="2"/>
      <c r="T170" s="2">
        <v>0</v>
      </c>
      <c r="U170" s="2"/>
      <c r="V170" s="19">
        <f t="shared" si="22"/>
        <v>0</v>
      </c>
      <c r="W170" s="2"/>
      <c r="X170" s="2">
        <f t="shared" si="23"/>
        <v>88.75</v>
      </c>
      <c r="Y170" s="2"/>
      <c r="Z170" s="19">
        <f t="shared" si="24"/>
        <v>0</v>
      </c>
    </row>
    <row r="171" spans="1:26" s="24" customFormat="1" hidden="1" outlineLevel="1" x14ac:dyDescent="0.25">
      <c r="A171" s="44"/>
      <c r="B171" s="11" t="str">
        <f>CONCATENATE("          ", "5092", " - ", "PURCHASES @ COST-GRAD MERCH")</f>
        <v xml:space="preserve">          5092 - PURCHASES @ COST-GRAD MERCH</v>
      </c>
      <c r="C171" s="11"/>
      <c r="D171" s="2">
        <v>628</v>
      </c>
      <c r="E171" s="2"/>
      <c r="F171" s="19">
        <f t="shared" si="17"/>
        <v>2.3814875836290842E-4</v>
      </c>
      <c r="G171" s="2"/>
      <c r="H171" s="2"/>
      <c r="I171" s="2"/>
      <c r="J171" s="19">
        <f t="shared" si="18"/>
        <v>0</v>
      </c>
      <c r="K171" s="2"/>
      <c r="L171" s="2">
        <f t="shared" si="19"/>
        <v>628</v>
      </c>
      <c r="M171" s="2"/>
      <c r="N171" s="19">
        <f t="shared" si="20"/>
        <v>0</v>
      </c>
      <c r="O171" s="11"/>
      <c r="P171" s="2">
        <v>1924.14</v>
      </c>
      <c r="Q171" s="2"/>
      <c r="R171" s="19">
        <f t="shared" si="21"/>
        <v>1.1955331104291075E-4</v>
      </c>
      <c r="S171" s="2"/>
      <c r="T171" s="2">
        <v>-2698.04</v>
      </c>
      <c r="U171" s="2"/>
      <c r="V171" s="19">
        <f t="shared" si="22"/>
        <v>-1.6930375219952228E-4</v>
      </c>
      <c r="W171" s="2"/>
      <c r="X171" s="2">
        <f t="shared" si="23"/>
        <v>4622.18</v>
      </c>
      <c r="Y171" s="2"/>
      <c r="Z171" s="19">
        <f t="shared" si="24"/>
        <v>-1.7131621473365852</v>
      </c>
    </row>
    <row r="172" spans="1:26" s="24" customFormat="1" hidden="1" outlineLevel="1" x14ac:dyDescent="0.25">
      <c r="A172" s="44"/>
      <c r="B172" s="11" t="str">
        <f>CONCATENATE("          ", "5095", " - ", "PURCHASES @ COST-CUSTOMER SERV")</f>
        <v xml:space="preserve">          5095 - PURCHASES @ COST-CUSTOMER SERV</v>
      </c>
      <c r="C172" s="11"/>
      <c r="D172" s="2"/>
      <c r="E172" s="2"/>
      <c r="F172" s="19">
        <f t="shared" si="17"/>
        <v>0</v>
      </c>
      <c r="G172" s="2"/>
      <c r="H172" s="2"/>
      <c r="I172" s="2"/>
      <c r="J172" s="19">
        <f t="shared" si="18"/>
        <v>0</v>
      </c>
      <c r="K172" s="2"/>
      <c r="L172" s="2">
        <f t="shared" si="19"/>
        <v>0</v>
      </c>
      <c r="M172" s="2"/>
      <c r="N172" s="19">
        <f t="shared" si="20"/>
        <v>0</v>
      </c>
      <c r="O172" s="11"/>
      <c r="P172" s="2">
        <v>0</v>
      </c>
      <c r="Q172" s="2"/>
      <c r="R172" s="19">
        <f t="shared" si="21"/>
        <v>0</v>
      </c>
      <c r="S172" s="2"/>
      <c r="T172" s="2">
        <v>0</v>
      </c>
      <c r="U172" s="2"/>
      <c r="V172" s="19">
        <f t="shared" si="22"/>
        <v>0</v>
      </c>
      <c r="W172" s="2"/>
      <c r="X172" s="2">
        <f t="shared" si="23"/>
        <v>0</v>
      </c>
      <c r="Y172" s="2"/>
      <c r="Z172" s="19">
        <f t="shared" si="24"/>
        <v>0</v>
      </c>
    </row>
    <row r="173" spans="1:26" s="24" customFormat="1" hidden="1" outlineLevel="1" x14ac:dyDescent="0.25">
      <c r="A173" s="44"/>
      <c r="B173" s="11" t="str">
        <f>CONCATENATE("          ", "5200", " - ", "PURCHASES OFFSET")</f>
        <v xml:space="preserve">          5200 - PURCHASES OFFSET</v>
      </c>
      <c r="C173" s="11"/>
      <c r="D173" s="2">
        <v>27177</v>
      </c>
      <c r="E173" s="2"/>
      <c r="F173" s="19">
        <f t="shared" si="17"/>
        <v>1.0306001283485289E-2</v>
      </c>
      <c r="G173" s="2"/>
      <c r="H173" s="2">
        <v>-425259</v>
      </c>
      <c r="I173" s="2"/>
      <c r="J173" s="19">
        <f t="shared" si="18"/>
        <v>-0.19306811558197978</v>
      </c>
      <c r="K173" s="2"/>
      <c r="L173" s="2">
        <f t="shared" si="19"/>
        <v>452436</v>
      </c>
      <c r="M173" s="2"/>
      <c r="N173" s="19">
        <f t="shared" si="20"/>
        <v>-1.0639069367138614</v>
      </c>
      <c r="O173" s="11"/>
      <c r="P173" s="2">
        <v>-3845644</v>
      </c>
      <c r="Q173" s="2"/>
      <c r="R173" s="19">
        <f t="shared" si="21"/>
        <v>-0.23894283851086898</v>
      </c>
      <c r="S173" s="2"/>
      <c r="T173" s="2">
        <v>-3736964</v>
      </c>
      <c r="U173" s="2"/>
      <c r="V173" s="19">
        <f t="shared" si="22"/>
        <v>-0.23449690406166535</v>
      </c>
      <c r="W173" s="2"/>
      <c r="X173" s="2">
        <f t="shared" si="23"/>
        <v>-108680</v>
      </c>
      <c r="Y173" s="2"/>
      <c r="Z173" s="19">
        <f t="shared" si="24"/>
        <v>2.9082431620962898E-2</v>
      </c>
    </row>
    <row r="174" spans="1:26" s="24" customFormat="1" hidden="1" outlineLevel="1" x14ac:dyDescent="0.25">
      <c r="A174" s="44"/>
      <c r="B174" s="11" t="str">
        <f>CONCATENATE("          ", "5300", " - ", "COG$ OFFSET")</f>
        <v xml:space="preserve">          5300 - COG$ OFFSET</v>
      </c>
      <c r="C174" s="11"/>
      <c r="D174" s="2">
        <v>346925</v>
      </c>
      <c r="E174" s="2"/>
      <c r="F174" s="19">
        <f t="shared" si="17"/>
        <v>0.13156012419594268</v>
      </c>
      <c r="G174" s="2"/>
      <c r="H174" s="2">
        <v>308722</v>
      </c>
      <c r="I174" s="2"/>
      <c r="J174" s="19">
        <f t="shared" si="18"/>
        <v>0.14016017245654991</v>
      </c>
      <c r="K174" s="2"/>
      <c r="L174" s="2">
        <f t="shared" si="19"/>
        <v>38203</v>
      </c>
      <c r="M174" s="2"/>
      <c r="N174" s="19">
        <f t="shared" si="20"/>
        <v>0.12374563523169713</v>
      </c>
      <c r="O174" s="11"/>
      <c r="P174" s="2">
        <v>3679397</v>
      </c>
      <c r="Q174" s="2"/>
      <c r="R174" s="19">
        <f t="shared" si="21"/>
        <v>0.22861335141484124</v>
      </c>
      <c r="S174" s="2"/>
      <c r="T174" s="2">
        <v>3685299</v>
      </c>
      <c r="U174" s="2"/>
      <c r="V174" s="19">
        <f t="shared" si="22"/>
        <v>0.23125489195013685</v>
      </c>
      <c r="W174" s="2"/>
      <c r="X174" s="2">
        <f t="shared" si="23"/>
        <v>-5902</v>
      </c>
      <c r="Y174" s="2"/>
      <c r="Z174" s="19">
        <f t="shared" si="24"/>
        <v>-1.6014982773446605E-3</v>
      </c>
    </row>
    <row r="175" spans="1:26" s="24" customFormat="1" hidden="1" outlineLevel="1" x14ac:dyDescent="0.25">
      <c r="A175" s="44"/>
      <c r="B175" s="11" t="str">
        <f>CONCATENATE("          ", "5500", " - ", "FREIGHT-IN")</f>
        <v xml:space="preserve">          5500 - FREIGHT-IN</v>
      </c>
      <c r="C175" s="11"/>
      <c r="D175" s="2"/>
      <c r="E175" s="2"/>
      <c r="F175" s="19">
        <f t="shared" si="17"/>
        <v>0</v>
      </c>
      <c r="G175" s="2"/>
      <c r="H175" s="2">
        <v>14.08</v>
      </c>
      <c r="I175" s="2"/>
      <c r="J175" s="19">
        <f t="shared" si="18"/>
        <v>6.3923375340540125E-6</v>
      </c>
      <c r="K175" s="2"/>
      <c r="L175" s="2">
        <f t="shared" si="19"/>
        <v>-14.08</v>
      </c>
      <c r="M175" s="2"/>
      <c r="N175" s="19">
        <f t="shared" si="20"/>
        <v>-1</v>
      </c>
      <c r="O175" s="11"/>
      <c r="P175" s="2">
        <v>35.229999999999997</v>
      </c>
      <c r="Q175" s="2"/>
      <c r="R175" s="19">
        <f t="shared" si="21"/>
        <v>2.1889587805678095E-6</v>
      </c>
      <c r="S175" s="2"/>
      <c r="T175" s="2">
        <v>14.08</v>
      </c>
      <c r="U175" s="2"/>
      <c r="V175" s="19">
        <f t="shared" si="22"/>
        <v>8.8352909184788724E-7</v>
      </c>
      <c r="W175" s="2"/>
      <c r="X175" s="2">
        <f t="shared" si="23"/>
        <v>21.15</v>
      </c>
      <c r="Y175" s="2"/>
      <c r="Z175" s="19">
        <f t="shared" si="24"/>
        <v>1.5021306818181817</v>
      </c>
    </row>
    <row r="176" spans="1:26" s="24" customFormat="1" hidden="1" outlineLevel="1" x14ac:dyDescent="0.25">
      <c r="A176" s="44"/>
      <c r="B176" s="11" t="str">
        <f>CONCATENATE("          ", "5501", " - ", "FREIGHT-IN-NEW TEXT")</f>
        <v xml:space="preserve">          5501 - FREIGHT-IN-NEW TEXT</v>
      </c>
      <c r="C176" s="11"/>
      <c r="D176" s="2">
        <v>490.07</v>
      </c>
      <c r="E176" s="2"/>
      <c r="F176" s="19">
        <f t="shared" si="17"/>
        <v>1.8584325160973014E-4</v>
      </c>
      <c r="G176" s="2"/>
      <c r="H176" s="2">
        <v>588.1</v>
      </c>
      <c r="I176" s="2"/>
      <c r="J176" s="19">
        <f t="shared" si="18"/>
        <v>2.6699813237053728E-4</v>
      </c>
      <c r="K176" s="2"/>
      <c r="L176" s="2">
        <f t="shared" si="19"/>
        <v>-98.03000000000003</v>
      </c>
      <c r="M176" s="2"/>
      <c r="N176" s="19">
        <f t="shared" si="20"/>
        <v>-0.16668933854786605</v>
      </c>
      <c r="O176" s="11"/>
      <c r="P176" s="2">
        <v>34507.550000000003</v>
      </c>
      <c r="Q176" s="2"/>
      <c r="R176" s="19">
        <f t="shared" si="21"/>
        <v>2.1440705242231827E-3</v>
      </c>
      <c r="S176" s="2"/>
      <c r="T176" s="2">
        <v>36798.959999999999</v>
      </c>
      <c r="U176" s="2"/>
      <c r="V176" s="19">
        <f t="shared" si="22"/>
        <v>2.3091585021126938E-3</v>
      </c>
      <c r="W176" s="2"/>
      <c r="X176" s="2">
        <f t="shared" si="23"/>
        <v>-2291.4099999999962</v>
      </c>
      <c r="Y176" s="2"/>
      <c r="Z176" s="19">
        <f t="shared" si="24"/>
        <v>-6.2268335844273756E-2</v>
      </c>
    </row>
    <row r="177" spans="1:26" s="24" customFormat="1" hidden="1" outlineLevel="1" x14ac:dyDescent="0.25">
      <c r="A177" s="44"/>
      <c r="B177" s="11" t="str">
        <f>CONCATENATE("          ", "5502", " - ", "FREIGHT-IN-USED TEXT")</f>
        <v xml:space="preserve">          5502 - FREIGHT-IN-USED TEXT</v>
      </c>
      <c r="C177" s="11"/>
      <c r="D177" s="2">
        <v>237.65</v>
      </c>
      <c r="E177" s="2"/>
      <c r="F177" s="19">
        <f t="shared" si="17"/>
        <v>9.0121102587492334E-5</v>
      </c>
      <c r="G177" s="2"/>
      <c r="H177" s="2">
        <v>18.5</v>
      </c>
      <c r="I177" s="2"/>
      <c r="J177" s="19">
        <f t="shared" si="18"/>
        <v>8.3990230383522169E-6</v>
      </c>
      <c r="K177" s="2"/>
      <c r="L177" s="2">
        <f t="shared" si="19"/>
        <v>219.15</v>
      </c>
      <c r="M177" s="2"/>
      <c r="N177" s="19">
        <f t="shared" si="20"/>
        <v>11.845945945945946</v>
      </c>
      <c r="O177" s="11"/>
      <c r="P177" s="2">
        <v>7090.12</v>
      </c>
      <c r="Q177" s="2"/>
      <c r="R177" s="19">
        <f t="shared" si="21"/>
        <v>4.4053308059266075E-4</v>
      </c>
      <c r="S177" s="2"/>
      <c r="T177" s="2">
        <v>7751.05</v>
      </c>
      <c r="U177" s="2"/>
      <c r="V177" s="19">
        <f t="shared" si="22"/>
        <v>4.8638339256871919E-4</v>
      </c>
      <c r="W177" s="2"/>
      <c r="X177" s="2">
        <f t="shared" si="23"/>
        <v>-660.93000000000029</v>
      </c>
      <c r="Y177" s="2"/>
      <c r="Z177" s="19">
        <f t="shared" si="24"/>
        <v>-8.5269737648447669E-2</v>
      </c>
    </row>
    <row r="178" spans="1:26" s="24" customFormat="1" hidden="1" outlineLevel="1" x14ac:dyDescent="0.25">
      <c r="A178" s="44"/>
      <c r="B178" s="11" t="str">
        <f>CONCATENATE("          ", "5504", " - ", "FREIGHT-IN-DIGITAL TEXT")</f>
        <v xml:space="preserve">          5504 - FREIGHT-IN-DIGITAL TEXT</v>
      </c>
      <c r="C178" s="11"/>
      <c r="D178" s="2">
        <v>5</v>
      </c>
      <c r="E178" s="2"/>
      <c r="F178" s="19">
        <f t="shared" si="17"/>
        <v>1.896088840469016E-6</v>
      </c>
      <c r="G178" s="2"/>
      <c r="H178" s="2"/>
      <c r="I178" s="2"/>
      <c r="J178" s="19">
        <f t="shared" si="18"/>
        <v>0</v>
      </c>
      <c r="K178" s="2"/>
      <c r="L178" s="2">
        <f t="shared" si="19"/>
        <v>5</v>
      </c>
      <c r="M178" s="2"/>
      <c r="N178" s="19">
        <f t="shared" si="20"/>
        <v>0</v>
      </c>
      <c r="O178" s="11"/>
      <c r="P178" s="2">
        <v>105.97</v>
      </c>
      <c r="Q178" s="2"/>
      <c r="R178" s="19">
        <f t="shared" si="21"/>
        <v>6.5842736865390512E-6</v>
      </c>
      <c r="S178" s="2"/>
      <c r="T178" s="2">
        <v>166.22</v>
      </c>
      <c r="U178" s="2"/>
      <c r="V178" s="19">
        <f t="shared" si="22"/>
        <v>1.0430412332880384E-5</v>
      </c>
      <c r="W178" s="2"/>
      <c r="X178" s="2">
        <f t="shared" si="23"/>
        <v>-60.25</v>
      </c>
      <c r="Y178" s="2"/>
      <c r="Z178" s="19">
        <f t="shared" si="24"/>
        <v>-0.36247142341475153</v>
      </c>
    </row>
    <row r="179" spans="1:26" s="24" customFormat="1" hidden="1" outlineLevel="1" x14ac:dyDescent="0.25">
      <c r="A179" s="44"/>
      <c r="B179" s="11" t="str">
        <f>CONCATENATE("          ", "5513", " - ", "FREIGHT-IN-TRADE BOOKS")</f>
        <v xml:space="preserve">          5513 - FREIGHT-IN-TRADE BOOKS</v>
      </c>
      <c r="C179" s="11"/>
      <c r="D179" s="2">
        <v>12.33</v>
      </c>
      <c r="E179" s="2"/>
      <c r="F179" s="19">
        <f t="shared" si="17"/>
        <v>4.675755080596594E-6</v>
      </c>
      <c r="G179" s="2"/>
      <c r="H179" s="2"/>
      <c r="I179" s="2"/>
      <c r="J179" s="19">
        <f t="shared" si="18"/>
        <v>0</v>
      </c>
      <c r="K179" s="2"/>
      <c r="L179" s="2">
        <f t="shared" si="19"/>
        <v>12.33</v>
      </c>
      <c r="M179" s="2"/>
      <c r="N179" s="19">
        <f t="shared" si="20"/>
        <v>0</v>
      </c>
      <c r="O179" s="11"/>
      <c r="P179" s="2">
        <v>12.33</v>
      </c>
      <c r="Q179" s="2"/>
      <c r="R179" s="19">
        <f t="shared" si="21"/>
        <v>7.661045065115269E-7</v>
      </c>
      <c r="S179" s="2"/>
      <c r="T179" s="2">
        <v>12.22</v>
      </c>
      <c r="U179" s="2"/>
      <c r="V179" s="19">
        <f t="shared" si="22"/>
        <v>7.6681289079411803E-7</v>
      </c>
      <c r="W179" s="2"/>
      <c r="X179" s="2">
        <f t="shared" si="23"/>
        <v>0.10999999999999943</v>
      </c>
      <c r="Y179" s="2"/>
      <c r="Z179" s="19">
        <f t="shared" si="24"/>
        <v>9.0016366612110828E-3</v>
      </c>
    </row>
    <row r="180" spans="1:26" s="24" customFormat="1" hidden="1" outlineLevel="1" x14ac:dyDescent="0.25">
      <c r="A180" s="44"/>
      <c r="B180" s="11" t="str">
        <f>CONCATENATE("          ", "5518", " - ", "FREIGHT-IN-STUDY GUIDES")</f>
        <v xml:space="preserve">          5518 - FREIGHT-IN-STUDY GUIDES</v>
      </c>
      <c r="C180" s="11"/>
      <c r="D180" s="2">
        <v>12.26</v>
      </c>
      <c r="E180" s="2"/>
      <c r="F180" s="19">
        <f t="shared" si="17"/>
        <v>4.6492098368300271E-6</v>
      </c>
      <c r="G180" s="2"/>
      <c r="H180" s="2"/>
      <c r="I180" s="2"/>
      <c r="J180" s="19">
        <f t="shared" si="18"/>
        <v>0</v>
      </c>
      <c r="K180" s="2"/>
      <c r="L180" s="2">
        <f t="shared" si="19"/>
        <v>12.26</v>
      </c>
      <c r="M180" s="2"/>
      <c r="N180" s="19">
        <f t="shared" si="20"/>
        <v>0</v>
      </c>
      <c r="O180" s="11"/>
      <c r="P180" s="2">
        <v>12.26</v>
      </c>
      <c r="Q180" s="2"/>
      <c r="R180" s="19">
        <f t="shared" si="21"/>
        <v>7.6175517030262122E-7</v>
      </c>
      <c r="S180" s="2"/>
      <c r="T180" s="2"/>
      <c r="U180" s="2"/>
      <c r="V180" s="19">
        <f t="shared" si="22"/>
        <v>0</v>
      </c>
      <c r="W180" s="2"/>
      <c r="X180" s="2">
        <f t="shared" si="23"/>
        <v>12.26</v>
      </c>
      <c r="Y180" s="2"/>
      <c r="Z180" s="19">
        <f t="shared" si="24"/>
        <v>0</v>
      </c>
    </row>
    <row r="181" spans="1:26" s="24" customFormat="1" hidden="1" outlineLevel="1" x14ac:dyDescent="0.25">
      <c r="A181" s="44"/>
      <c r="B181" s="11" t="str">
        <f>CONCATENATE("          ", "5525", " - ", "FREIGHT-IN-TEST FORMS")</f>
        <v xml:space="preserve">          5525 - FREIGHT-IN-TEST FORMS</v>
      </c>
      <c r="C181" s="11"/>
      <c r="D181" s="2">
        <v>335.7</v>
      </c>
      <c r="E181" s="2"/>
      <c r="F181" s="19">
        <f t="shared" si="17"/>
        <v>1.2730340474908974E-4</v>
      </c>
      <c r="G181" s="2"/>
      <c r="H181" s="2"/>
      <c r="I181" s="2"/>
      <c r="J181" s="19">
        <f t="shared" si="18"/>
        <v>0</v>
      </c>
      <c r="K181" s="2"/>
      <c r="L181" s="2">
        <f t="shared" si="19"/>
        <v>335.7</v>
      </c>
      <c r="M181" s="2"/>
      <c r="N181" s="19">
        <f t="shared" si="20"/>
        <v>0</v>
      </c>
      <c r="O181" s="11"/>
      <c r="P181" s="2">
        <v>374.92</v>
      </c>
      <c r="Q181" s="2"/>
      <c r="R181" s="19">
        <f t="shared" si="21"/>
        <v>2.3295044734898758E-5</v>
      </c>
      <c r="S181" s="2"/>
      <c r="T181" s="2">
        <v>50.92</v>
      </c>
      <c r="U181" s="2"/>
      <c r="V181" s="19">
        <f t="shared" si="22"/>
        <v>3.1952628804612515E-6</v>
      </c>
      <c r="W181" s="2"/>
      <c r="X181" s="2">
        <f t="shared" si="23"/>
        <v>324</v>
      </c>
      <c r="Y181" s="2"/>
      <c r="Z181" s="19">
        <f t="shared" si="24"/>
        <v>6.3629222309505105</v>
      </c>
    </row>
    <row r="182" spans="1:26" s="24" customFormat="1" hidden="1" outlineLevel="1" x14ac:dyDescent="0.25">
      <c r="A182" s="44"/>
      <c r="B182" s="11" t="str">
        <f>CONCATENATE("          ", "5526", " - ", "FREIGHT-IN-WRITING INSTRUMENTS")</f>
        <v xml:space="preserve">          5526 - FREIGHT-IN-WRITING INSTRUMENTS</v>
      </c>
      <c r="C182" s="11"/>
      <c r="D182" s="2">
        <v>160.91999999999999</v>
      </c>
      <c r="E182" s="2"/>
      <c r="F182" s="19">
        <f t="shared" si="17"/>
        <v>6.1023723241654806E-5</v>
      </c>
      <c r="G182" s="2"/>
      <c r="H182" s="2">
        <v>33.840000000000003</v>
      </c>
      <c r="I182" s="2"/>
      <c r="J182" s="19">
        <f t="shared" si="18"/>
        <v>1.5363402141504814E-5</v>
      </c>
      <c r="K182" s="2"/>
      <c r="L182" s="2">
        <f t="shared" si="19"/>
        <v>127.07999999999998</v>
      </c>
      <c r="M182" s="2"/>
      <c r="N182" s="19">
        <f t="shared" si="20"/>
        <v>3.7553191489361692</v>
      </c>
      <c r="O182" s="11"/>
      <c r="P182" s="2">
        <v>217.49</v>
      </c>
      <c r="Q182" s="2"/>
      <c r="R182" s="19">
        <f t="shared" si="21"/>
        <v>1.351338760106991E-5</v>
      </c>
      <c r="S182" s="2"/>
      <c r="T182" s="2">
        <v>100.32</v>
      </c>
      <c r="U182" s="2"/>
      <c r="V182" s="19">
        <f t="shared" si="22"/>
        <v>6.2951447794161964E-6</v>
      </c>
      <c r="W182" s="2"/>
      <c r="X182" s="2">
        <f t="shared" si="23"/>
        <v>117.17000000000002</v>
      </c>
      <c r="Y182" s="2"/>
      <c r="Z182" s="19">
        <f t="shared" si="24"/>
        <v>1.1679625199362045</v>
      </c>
    </row>
    <row r="183" spans="1:26" s="24" customFormat="1" hidden="1" outlineLevel="1" x14ac:dyDescent="0.25">
      <c r="A183" s="44"/>
      <c r="B183" s="11" t="str">
        <f>CONCATENATE("          ", "5527", " - ", "FREIGHT-IN-SCHOOL SUPPLIES")</f>
        <v xml:space="preserve">          5527 - FREIGHT-IN-SCHOOL SUPPLIES</v>
      </c>
      <c r="C183" s="11"/>
      <c r="D183" s="2">
        <v>134.09</v>
      </c>
      <c r="E183" s="2"/>
      <c r="F183" s="19">
        <f t="shared" si="17"/>
        <v>5.0849310523698078E-5</v>
      </c>
      <c r="G183" s="2"/>
      <c r="H183" s="2">
        <v>77.010000000000005</v>
      </c>
      <c r="I183" s="2"/>
      <c r="J183" s="19">
        <f t="shared" si="18"/>
        <v>3.4962635901811048E-5</v>
      </c>
      <c r="K183" s="2"/>
      <c r="L183" s="2">
        <f t="shared" si="19"/>
        <v>57.08</v>
      </c>
      <c r="M183" s="2"/>
      <c r="N183" s="19">
        <f t="shared" si="20"/>
        <v>0.74120244124139711</v>
      </c>
      <c r="O183" s="11"/>
      <c r="P183" s="2">
        <v>872.58</v>
      </c>
      <c r="Q183" s="2"/>
      <c r="R183" s="19">
        <f t="shared" si="21"/>
        <v>5.4216339845241538E-5</v>
      </c>
      <c r="S183" s="2"/>
      <c r="T183" s="2">
        <v>1009.71</v>
      </c>
      <c r="U183" s="2"/>
      <c r="V183" s="19">
        <f t="shared" si="22"/>
        <v>6.3359954497850158E-5</v>
      </c>
      <c r="W183" s="2"/>
      <c r="X183" s="2">
        <f t="shared" si="23"/>
        <v>-137.13</v>
      </c>
      <c r="Y183" s="2"/>
      <c r="Z183" s="19">
        <f t="shared" si="24"/>
        <v>-0.13581127254360162</v>
      </c>
    </row>
    <row r="184" spans="1:26" s="24" customFormat="1" hidden="1" outlineLevel="1" x14ac:dyDescent="0.25">
      <c r="A184" s="44"/>
      <c r="B184" s="11" t="str">
        <f>CONCATENATE("          ", "5528", " - ", "FREIGHT-IN-ART/TECH")</f>
        <v xml:space="preserve">          5528 - FREIGHT-IN-ART/TECH</v>
      </c>
      <c r="C184" s="11"/>
      <c r="D184" s="2">
        <v>105.06</v>
      </c>
      <c r="E184" s="2"/>
      <c r="F184" s="19">
        <f t="shared" si="17"/>
        <v>3.984061871593497E-5</v>
      </c>
      <c r="G184" s="2"/>
      <c r="H184" s="2">
        <v>3400.7</v>
      </c>
      <c r="I184" s="2"/>
      <c r="J184" s="19">
        <f t="shared" si="18"/>
        <v>1.5439220349472641E-3</v>
      </c>
      <c r="K184" s="2"/>
      <c r="L184" s="2">
        <f t="shared" si="19"/>
        <v>-3295.64</v>
      </c>
      <c r="M184" s="2"/>
      <c r="N184" s="19">
        <f t="shared" si="20"/>
        <v>-0.96910636045520038</v>
      </c>
      <c r="O184" s="11"/>
      <c r="P184" s="2">
        <v>923.5</v>
      </c>
      <c r="Q184" s="2"/>
      <c r="R184" s="19">
        <f t="shared" si="21"/>
        <v>5.7380171270348343E-5</v>
      </c>
      <c r="S184" s="2"/>
      <c r="T184" s="2">
        <v>4504.6499999999996</v>
      </c>
      <c r="U184" s="2"/>
      <c r="V184" s="19">
        <f t="shared" si="22"/>
        <v>2.8266969627788245E-4</v>
      </c>
      <c r="W184" s="2"/>
      <c r="X184" s="2">
        <f t="shared" si="23"/>
        <v>-3581.1499999999996</v>
      </c>
      <c r="Y184" s="2"/>
      <c r="Z184" s="19">
        <f t="shared" si="24"/>
        <v>-0.79498962183521471</v>
      </c>
    </row>
    <row r="185" spans="1:26" s="24" customFormat="1" hidden="1" outlineLevel="1" x14ac:dyDescent="0.25">
      <c r="A185" s="44"/>
      <c r="B185" s="11" t="str">
        <f>CONCATENATE("          ", "5540", " - ", "FREIGHT-IN-LOGO CLOTHING")</f>
        <v xml:space="preserve">          5540 - FREIGHT-IN-LOGO CLOTHING</v>
      </c>
      <c r="C185" s="11"/>
      <c r="D185" s="2">
        <v>6133.89</v>
      </c>
      <c r="E185" s="2"/>
      <c r="F185" s="19">
        <f t="shared" si="17"/>
        <v>2.3260800755328988E-3</v>
      </c>
      <c r="G185" s="2"/>
      <c r="H185" s="2">
        <v>1855.88</v>
      </c>
      <c r="I185" s="2"/>
      <c r="J185" s="19">
        <f t="shared" si="18"/>
        <v>8.4257183115768193E-4</v>
      </c>
      <c r="K185" s="2"/>
      <c r="L185" s="2">
        <f t="shared" si="19"/>
        <v>4278.01</v>
      </c>
      <c r="M185" s="2"/>
      <c r="N185" s="19">
        <f t="shared" si="20"/>
        <v>2.305111321852706</v>
      </c>
      <c r="O185" s="11"/>
      <c r="P185" s="2">
        <v>20241.329999999998</v>
      </c>
      <c r="Q185" s="2"/>
      <c r="R185" s="19">
        <f t="shared" si="21"/>
        <v>1.2576621355058365E-3</v>
      </c>
      <c r="S185" s="2"/>
      <c r="T185" s="2">
        <v>12199.19</v>
      </c>
      <c r="U185" s="2"/>
      <c r="V185" s="19">
        <f t="shared" si="22"/>
        <v>7.6550704985652192E-4</v>
      </c>
      <c r="W185" s="2"/>
      <c r="X185" s="2">
        <f t="shared" si="23"/>
        <v>8042.1399999999976</v>
      </c>
      <c r="Y185" s="2"/>
      <c r="Z185" s="19">
        <f t="shared" si="24"/>
        <v>0.65923557219782603</v>
      </c>
    </row>
    <row r="186" spans="1:26" s="24" customFormat="1" hidden="1" outlineLevel="1" x14ac:dyDescent="0.25">
      <c r="A186" s="44"/>
      <c r="B186" s="11" t="str">
        <f>CONCATENATE("          ", "5541", " - ", "FREIGHT-IN-LOGO GIFTS")</f>
        <v xml:space="preserve">          5541 - FREIGHT-IN-LOGO GIFTS</v>
      </c>
      <c r="C186" s="11"/>
      <c r="D186" s="2">
        <v>1315.98</v>
      </c>
      <c r="E186" s="2"/>
      <c r="F186" s="19">
        <f t="shared" si="17"/>
        <v>4.9904299845608322E-4</v>
      </c>
      <c r="G186" s="2"/>
      <c r="H186" s="2">
        <v>843.44</v>
      </c>
      <c r="I186" s="2"/>
      <c r="J186" s="19">
        <f t="shared" si="18"/>
        <v>3.8292281034961055E-4</v>
      </c>
      <c r="K186" s="2"/>
      <c r="L186" s="2">
        <f t="shared" si="19"/>
        <v>472.53999999999996</v>
      </c>
      <c r="M186" s="2"/>
      <c r="N186" s="19">
        <f t="shared" si="20"/>
        <v>0.56025324860096737</v>
      </c>
      <c r="O186" s="11"/>
      <c r="P186" s="2">
        <v>2852.83</v>
      </c>
      <c r="Q186" s="2"/>
      <c r="R186" s="19">
        <f t="shared" si="21"/>
        <v>1.7725595452646223E-4</v>
      </c>
      <c r="S186" s="2"/>
      <c r="T186" s="2">
        <v>3968</v>
      </c>
      <c r="U186" s="2"/>
      <c r="V186" s="19">
        <f t="shared" si="22"/>
        <v>2.4899456224804093E-4</v>
      </c>
      <c r="W186" s="2"/>
      <c r="X186" s="2">
        <f t="shared" si="23"/>
        <v>-1115.17</v>
      </c>
      <c r="Y186" s="2"/>
      <c r="Z186" s="19">
        <f t="shared" si="24"/>
        <v>-0.28104082661290325</v>
      </c>
    </row>
    <row r="187" spans="1:26" s="24" customFormat="1" hidden="1" outlineLevel="1" x14ac:dyDescent="0.25">
      <c r="A187" s="44"/>
      <c r="B187" s="11" t="str">
        <f>CONCATENATE("          ", "5542", " - ", "FREIGHT-IN-EVERYDAY GIFTS")</f>
        <v xml:space="preserve">          5542 - FREIGHT-IN-EVERYDAY GIFTS</v>
      </c>
      <c r="C187" s="11"/>
      <c r="D187" s="2">
        <v>745.78</v>
      </c>
      <c r="E187" s="2"/>
      <c r="F187" s="19">
        <f t="shared" si="17"/>
        <v>2.8281302708899655E-4</v>
      </c>
      <c r="G187" s="2"/>
      <c r="H187" s="2">
        <v>336.12</v>
      </c>
      <c r="I187" s="2"/>
      <c r="J187" s="19">
        <f t="shared" si="18"/>
        <v>1.5259889857572689E-4</v>
      </c>
      <c r="K187" s="2"/>
      <c r="L187" s="2">
        <f t="shared" si="19"/>
        <v>409.65999999999997</v>
      </c>
      <c r="M187" s="2"/>
      <c r="N187" s="19">
        <f t="shared" si="20"/>
        <v>1.2187909080090442</v>
      </c>
      <c r="O187" s="11"/>
      <c r="P187" s="2">
        <v>1513.51</v>
      </c>
      <c r="Q187" s="2"/>
      <c r="R187" s="19">
        <f t="shared" si="21"/>
        <v>9.4039483507725962E-5</v>
      </c>
      <c r="S187" s="2"/>
      <c r="T187" s="2">
        <v>1129.44</v>
      </c>
      <c r="U187" s="2"/>
      <c r="V187" s="19">
        <f t="shared" si="22"/>
        <v>7.0873089310843589E-5</v>
      </c>
      <c r="W187" s="2"/>
      <c r="X187" s="2">
        <f t="shared" si="23"/>
        <v>384.06999999999994</v>
      </c>
      <c r="Y187" s="2"/>
      <c r="Z187" s="19">
        <f t="shared" si="24"/>
        <v>0.34005347782972084</v>
      </c>
    </row>
    <row r="188" spans="1:26" s="24" customFormat="1" hidden="1" outlineLevel="1" x14ac:dyDescent="0.25">
      <c r="A188" s="44"/>
      <c r="B188" s="11" t="str">
        <f>CONCATENATE("          ", "5543", " - ", "FREIGHT-IN-CARDS")</f>
        <v xml:space="preserve">          5543 - FREIGHT-IN-CARDS</v>
      </c>
      <c r="C188" s="11"/>
      <c r="D188" s="2">
        <v>39.01</v>
      </c>
      <c r="E188" s="2"/>
      <c r="F188" s="19">
        <f t="shared" si="17"/>
        <v>1.4793285133339263E-5</v>
      </c>
      <c r="G188" s="2"/>
      <c r="H188" s="2">
        <v>12.47</v>
      </c>
      <c r="I188" s="2"/>
      <c r="J188" s="19">
        <f t="shared" si="18"/>
        <v>5.6613955290947117E-6</v>
      </c>
      <c r="K188" s="2"/>
      <c r="L188" s="2">
        <f t="shared" si="19"/>
        <v>26.54</v>
      </c>
      <c r="M188" s="2"/>
      <c r="N188" s="19">
        <f t="shared" si="20"/>
        <v>2.1283079390537289</v>
      </c>
      <c r="O188" s="11"/>
      <c r="P188" s="2">
        <v>43.59</v>
      </c>
      <c r="Q188" s="2"/>
      <c r="R188" s="19">
        <f t="shared" si="21"/>
        <v>2.7083937906599724E-6</v>
      </c>
      <c r="S188" s="2"/>
      <c r="T188" s="2">
        <v>12.47</v>
      </c>
      <c r="U188" s="2"/>
      <c r="V188" s="19">
        <f t="shared" si="22"/>
        <v>7.8250055222607629E-7</v>
      </c>
      <c r="W188" s="2"/>
      <c r="X188" s="2">
        <f t="shared" si="23"/>
        <v>31.120000000000005</v>
      </c>
      <c r="Y188" s="2"/>
      <c r="Z188" s="19">
        <f t="shared" si="24"/>
        <v>2.4955894145950284</v>
      </c>
    </row>
    <row r="189" spans="1:26" s="24" customFormat="1" hidden="1" outlineLevel="1" x14ac:dyDescent="0.25">
      <c r="A189" s="44"/>
      <c r="B189" s="11" t="str">
        <f>CONCATENATE("          ", "5544", " - ", "FREIGHT-IN-ACCESSORIES")</f>
        <v xml:space="preserve">          5544 - FREIGHT-IN-ACCESSORIES</v>
      </c>
      <c r="C189" s="11"/>
      <c r="D189" s="2">
        <v>54.82</v>
      </c>
      <c r="E189" s="2"/>
      <c r="F189" s="19">
        <f t="shared" si="17"/>
        <v>2.0788718046902294E-5</v>
      </c>
      <c r="G189" s="2"/>
      <c r="H189" s="2">
        <v>12.48</v>
      </c>
      <c r="I189" s="2"/>
      <c r="J189" s="19">
        <f t="shared" si="18"/>
        <v>5.6659355415478748E-6</v>
      </c>
      <c r="K189" s="2"/>
      <c r="L189" s="2">
        <f t="shared" si="19"/>
        <v>42.34</v>
      </c>
      <c r="M189" s="2"/>
      <c r="N189" s="19">
        <f t="shared" si="20"/>
        <v>3.3926282051282053</v>
      </c>
      <c r="O189" s="11"/>
      <c r="P189" s="2">
        <v>413.91</v>
      </c>
      <c r="Q189" s="2"/>
      <c r="R189" s="19">
        <f t="shared" si="21"/>
        <v>2.5717625003259214E-5</v>
      </c>
      <c r="S189" s="2"/>
      <c r="T189" s="2">
        <v>590.45000000000005</v>
      </c>
      <c r="U189" s="2"/>
      <c r="V189" s="19">
        <f t="shared" si="22"/>
        <v>3.7051118769998937E-5</v>
      </c>
      <c r="W189" s="2"/>
      <c r="X189" s="2">
        <f t="shared" si="23"/>
        <v>-176.54000000000002</v>
      </c>
      <c r="Y189" s="2"/>
      <c r="Z189" s="19">
        <f t="shared" si="24"/>
        <v>-0.29899229401304089</v>
      </c>
    </row>
    <row r="190" spans="1:26" s="24" customFormat="1" hidden="1" outlineLevel="1" x14ac:dyDescent="0.25">
      <c r="A190" s="44"/>
      <c r="B190" s="11" t="str">
        <f>CONCATENATE("          ", "5545", " - ", "FREIGHT-IN-SPECIAL ORDERS")</f>
        <v xml:space="preserve">          5545 - FREIGHT-IN-SPECIAL ORDERS</v>
      </c>
      <c r="C190" s="11"/>
      <c r="D190" s="2">
        <v>158.08000000000001</v>
      </c>
      <c r="E190" s="2"/>
      <c r="F190" s="19">
        <f t="shared" si="17"/>
        <v>5.9946744780268415E-5</v>
      </c>
      <c r="G190" s="2"/>
      <c r="H190" s="2">
        <v>46.54</v>
      </c>
      <c r="I190" s="2"/>
      <c r="J190" s="19">
        <f t="shared" si="18"/>
        <v>2.112921795702228E-5</v>
      </c>
      <c r="K190" s="2"/>
      <c r="L190" s="2">
        <f t="shared" si="19"/>
        <v>111.54000000000002</v>
      </c>
      <c r="M190" s="2"/>
      <c r="N190" s="19">
        <f t="shared" si="20"/>
        <v>2.3966480446927378</v>
      </c>
      <c r="O190" s="11"/>
      <c r="P190" s="2">
        <v>505.06</v>
      </c>
      <c r="Q190" s="2"/>
      <c r="R190" s="19">
        <f t="shared" si="21"/>
        <v>3.1381082080998523E-5</v>
      </c>
      <c r="S190" s="2"/>
      <c r="T190" s="2">
        <v>1307.5999999999999</v>
      </c>
      <c r="U190" s="2"/>
      <c r="V190" s="19">
        <f t="shared" si="22"/>
        <v>8.2052744353714293E-5</v>
      </c>
      <c r="W190" s="2"/>
      <c r="X190" s="2">
        <f t="shared" si="23"/>
        <v>-802.54</v>
      </c>
      <c r="Y190" s="2"/>
      <c r="Z190" s="19">
        <f t="shared" si="24"/>
        <v>-0.61375038237993274</v>
      </c>
    </row>
    <row r="191" spans="1:26" s="24" customFormat="1" hidden="1" outlineLevel="1" x14ac:dyDescent="0.25">
      <c r="A191" s="44"/>
      <c r="B191" s="11" t="str">
        <f>CONCATENATE("          ", "5581", " - ", "FREIGHT-IN-ELECTRONICS")</f>
        <v xml:space="preserve">          5581 - FREIGHT-IN-ELECTRONICS</v>
      </c>
      <c r="C191" s="11"/>
      <c r="D191" s="2"/>
      <c r="E191" s="2"/>
      <c r="F191" s="19">
        <f t="shared" si="17"/>
        <v>0</v>
      </c>
      <c r="G191" s="2"/>
      <c r="H191" s="2"/>
      <c r="I191" s="2"/>
      <c r="J191" s="19">
        <f t="shared" si="18"/>
        <v>0</v>
      </c>
      <c r="K191" s="2"/>
      <c r="L191" s="2">
        <f t="shared" si="19"/>
        <v>0</v>
      </c>
      <c r="M191" s="2"/>
      <c r="N191" s="19">
        <f t="shared" si="20"/>
        <v>0</v>
      </c>
      <c r="O191" s="11"/>
      <c r="P191" s="2">
        <v>105.75</v>
      </c>
      <c r="Q191" s="2"/>
      <c r="R191" s="19">
        <f t="shared" si="21"/>
        <v>6.5706043441682054E-6</v>
      </c>
      <c r="S191" s="2"/>
      <c r="T191" s="2"/>
      <c r="U191" s="2"/>
      <c r="V191" s="19">
        <f t="shared" si="22"/>
        <v>0</v>
      </c>
      <c r="W191" s="2"/>
      <c r="X191" s="2">
        <f t="shared" si="23"/>
        <v>105.75</v>
      </c>
      <c r="Y191" s="2"/>
      <c r="Z191" s="19">
        <f t="shared" si="24"/>
        <v>0</v>
      </c>
    </row>
    <row r="192" spans="1:26" s="24" customFormat="1" hidden="1" outlineLevel="1" x14ac:dyDescent="0.25">
      <c r="A192" s="44"/>
      <c r="B192" s="11" t="str">
        <f>CONCATENATE("          ", "5582", " - ", "FREIGHT-IN-COMPUTER HARDWARE")</f>
        <v xml:space="preserve">          5582 - FREIGHT-IN-COMPUTER HARDWARE</v>
      </c>
      <c r="C192" s="11"/>
      <c r="D192" s="2"/>
      <c r="E192" s="2"/>
      <c r="F192" s="19">
        <f t="shared" si="17"/>
        <v>0</v>
      </c>
      <c r="G192" s="2"/>
      <c r="H192" s="2"/>
      <c r="I192" s="2"/>
      <c r="J192" s="19">
        <f t="shared" si="18"/>
        <v>0</v>
      </c>
      <c r="K192" s="2"/>
      <c r="L192" s="2">
        <f t="shared" si="19"/>
        <v>0</v>
      </c>
      <c r="M192" s="2"/>
      <c r="N192" s="19">
        <f t="shared" si="20"/>
        <v>0</v>
      </c>
      <c r="O192" s="11"/>
      <c r="P192" s="2">
        <v>4.84</v>
      </c>
      <c r="Q192" s="2"/>
      <c r="R192" s="19">
        <f t="shared" si="21"/>
        <v>3.0072553215862043E-7</v>
      </c>
      <c r="S192" s="2"/>
      <c r="T192" s="2"/>
      <c r="U192" s="2"/>
      <c r="V192" s="19">
        <f t="shared" si="22"/>
        <v>0</v>
      </c>
      <c r="W192" s="2"/>
      <c r="X192" s="2">
        <f t="shared" si="23"/>
        <v>4.84</v>
      </c>
      <c r="Y192" s="2"/>
      <c r="Z192" s="19">
        <f t="shared" si="24"/>
        <v>0</v>
      </c>
    </row>
    <row r="193" spans="1:26" s="24" customFormat="1" hidden="1" outlineLevel="1" x14ac:dyDescent="0.25">
      <c r="A193" s="44"/>
      <c r="B193" s="11" t="str">
        <f>CONCATENATE("          ", "5583", " - ", "FREIGHT-IN-COMPUTER EQUIPMENT")</f>
        <v xml:space="preserve">          5583 - FREIGHT-IN-COMPUTER EQUIPMENT</v>
      </c>
      <c r="C193" s="11"/>
      <c r="D193" s="2"/>
      <c r="E193" s="2"/>
      <c r="F193" s="19">
        <f t="shared" si="17"/>
        <v>0</v>
      </c>
      <c r="G193" s="2"/>
      <c r="H193" s="2"/>
      <c r="I193" s="2"/>
      <c r="J193" s="19">
        <f t="shared" si="18"/>
        <v>0</v>
      </c>
      <c r="K193" s="2"/>
      <c r="L193" s="2">
        <f t="shared" si="19"/>
        <v>0</v>
      </c>
      <c r="M193" s="2"/>
      <c r="N193" s="19">
        <f t="shared" si="20"/>
        <v>0</v>
      </c>
      <c r="O193" s="11"/>
      <c r="P193" s="2">
        <v>41</v>
      </c>
      <c r="Q193" s="2"/>
      <c r="R193" s="19">
        <f t="shared" si="21"/>
        <v>2.5474683509304627E-6</v>
      </c>
      <c r="S193" s="2"/>
      <c r="T193" s="2">
        <v>22.9</v>
      </c>
      <c r="U193" s="2"/>
      <c r="V193" s="19">
        <f t="shared" si="22"/>
        <v>1.4369897871673734E-6</v>
      </c>
      <c r="W193" s="2"/>
      <c r="X193" s="2">
        <f t="shared" si="23"/>
        <v>18.100000000000001</v>
      </c>
      <c r="Y193" s="2"/>
      <c r="Z193" s="19">
        <f t="shared" si="24"/>
        <v>0.79039301310043675</v>
      </c>
    </row>
    <row r="194" spans="1:26" s="24" customFormat="1" hidden="1" outlineLevel="1" x14ac:dyDescent="0.25">
      <c r="A194" s="44"/>
      <c r="B194" s="11" t="str">
        <f>CONCATENATE("          ", "5586", " - ", "FREIGHT-IN-COMPUTER SUPPLIES")</f>
        <v xml:space="preserve">          5586 - FREIGHT-IN-COMPUTER SUPPLIES</v>
      </c>
      <c r="C194" s="11"/>
      <c r="D194" s="2"/>
      <c r="E194" s="2"/>
      <c r="F194" s="19">
        <f t="shared" si="17"/>
        <v>0</v>
      </c>
      <c r="G194" s="2"/>
      <c r="H194" s="2">
        <v>14.05</v>
      </c>
      <c r="I194" s="2"/>
      <c r="J194" s="19">
        <f t="shared" si="18"/>
        <v>6.3787174966945225E-6</v>
      </c>
      <c r="K194" s="2"/>
      <c r="L194" s="2">
        <f t="shared" si="19"/>
        <v>-14.05</v>
      </c>
      <c r="M194" s="2"/>
      <c r="N194" s="19">
        <f t="shared" si="20"/>
        <v>-1</v>
      </c>
      <c r="O194" s="11"/>
      <c r="P194" s="2">
        <v>162.51</v>
      </c>
      <c r="Q194" s="2"/>
      <c r="R194" s="19">
        <f t="shared" si="21"/>
        <v>1.0097294675846571E-5</v>
      </c>
      <c r="S194" s="2"/>
      <c r="T194" s="2">
        <v>145.57</v>
      </c>
      <c r="U194" s="2"/>
      <c r="V194" s="19">
        <f t="shared" si="22"/>
        <v>9.1346114986006342E-6</v>
      </c>
      <c r="W194" s="2"/>
      <c r="X194" s="2">
        <f t="shared" si="23"/>
        <v>16.939999999999998</v>
      </c>
      <c r="Y194" s="2"/>
      <c r="Z194" s="19">
        <f t="shared" si="24"/>
        <v>0.11637013120835336</v>
      </c>
    </row>
    <row r="195" spans="1:26" s="24" customFormat="1" hidden="1" outlineLevel="1" x14ac:dyDescent="0.25">
      <c r="A195" s="44"/>
      <c r="B195" s="11" t="str">
        <f>CONCATENATE("          ", "5592", " - ", "FREIGHT-IN-GRAD MERCH")</f>
        <v xml:space="preserve">          5592 - FREIGHT-IN-GRAD MERCH</v>
      </c>
      <c r="C195" s="11"/>
      <c r="D195" s="2">
        <v>35</v>
      </c>
      <c r="E195" s="2"/>
      <c r="F195" s="19">
        <f t="shared" si="17"/>
        <v>1.3272621883283113E-5</v>
      </c>
      <c r="G195" s="2"/>
      <c r="H195" s="2"/>
      <c r="I195" s="2"/>
      <c r="J195" s="19">
        <f t="shared" si="18"/>
        <v>0</v>
      </c>
      <c r="K195" s="2"/>
      <c r="L195" s="2">
        <f t="shared" si="19"/>
        <v>35</v>
      </c>
      <c r="M195" s="2"/>
      <c r="N195" s="19">
        <f t="shared" si="20"/>
        <v>0</v>
      </c>
      <c r="O195" s="11"/>
      <c r="P195" s="2">
        <v>105.78</v>
      </c>
      <c r="Q195" s="2"/>
      <c r="R195" s="19">
        <f t="shared" si="21"/>
        <v>6.5724683454005932E-6</v>
      </c>
      <c r="S195" s="2"/>
      <c r="T195" s="2">
        <v>114.3</v>
      </c>
      <c r="U195" s="2"/>
      <c r="V195" s="19">
        <f t="shared" si="22"/>
        <v>7.1723988066913003E-6</v>
      </c>
      <c r="W195" s="2"/>
      <c r="X195" s="2">
        <f t="shared" si="23"/>
        <v>-8.519999999999996</v>
      </c>
      <c r="Y195" s="2"/>
      <c r="Z195" s="19">
        <f t="shared" si="24"/>
        <v>-7.4540682414698134E-2</v>
      </c>
    </row>
    <row r="196" spans="1:26" x14ac:dyDescent="0.25">
      <c r="A196" s="9"/>
      <c r="B196" s="10"/>
      <c r="C196" s="10"/>
      <c r="D196" s="3"/>
      <c r="E196" s="3"/>
      <c r="F196" s="8"/>
      <c r="G196" s="3"/>
      <c r="H196" s="3"/>
      <c r="I196" s="3"/>
      <c r="J196" s="8"/>
      <c r="K196" s="3"/>
      <c r="L196" s="3"/>
      <c r="M196" s="3"/>
      <c r="N196" s="8"/>
      <c r="O196" s="10"/>
      <c r="P196" s="3"/>
      <c r="Q196" s="3"/>
      <c r="R196" s="8"/>
      <c r="S196" s="3"/>
      <c r="T196" s="3"/>
      <c r="U196" s="3"/>
      <c r="V196" s="8"/>
      <c r="W196" s="3"/>
      <c r="X196" s="3"/>
      <c r="Y196" s="3"/>
      <c r="Z196" s="8"/>
    </row>
    <row r="197" spans="1:26" s="23" customFormat="1" x14ac:dyDescent="0.25">
      <c r="A197" s="10"/>
      <c r="B197" s="29" t="s">
        <v>6</v>
      </c>
      <c r="C197" s="29"/>
      <c r="D197" s="21">
        <f>D12-D136</f>
        <v>1693581.63</v>
      </c>
      <c r="E197" s="14"/>
      <c r="F197" s="20">
        <f>IF(D$12=0,0,D197/D$12)</f>
        <v>0.64223624581326522</v>
      </c>
      <c r="G197" s="14"/>
      <c r="H197" s="21">
        <f>H12-H136</f>
        <v>1388113.949999999</v>
      </c>
      <c r="I197" s="14"/>
      <c r="J197" s="20">
        <f>IF(H$12=0,0,H197/H$12)</f>
        <v>0.63020546194097782</v>
      </c>
      <c r="K197" s="15"/>
      <c r="L197" s="21">
        <f>+D197-H197</f>
        <v>305467.68000000087</v>
      </c>
      <c r="M197" s="15"/>
      <c r="N197" s="20">
        <f>IF(H197=0,0,L197/H197)</f>
        <v>0.22005951312570635</v>
      </c>
      <c r="O197" s="28"/>
      <c r="P197" s="21">
        <f>P12-P136</f>
        <v>8906695.7799999937</v>
      </c>
      <c r="Q197" s="14"/>
      <c r="R197" s="20">
        <f>IF(P$12=0,0,P197/P$12)</f>
        <v>0.55340306368087544</v>
      </c>
      <c r="S197" s="14"/>
      <c r="T197" s="21">
        <f>T12-T136</f>
        <v>8754696.5500000007</v>
      </c>
      <c r="U197" s="14"/>
      <c r="V197" s="20">
        <f>IF(T$12=0,0,T197/T$12)</f>
        <v>0.54936286166373094</v>
      </c>
      <c r="W197" s="15"/>
      <c r="X197" s="21">
        <f>+P197-T197</f>
        <v>151999.229999993</v>
      </c>
      <c r="Y197" s="15"/>
      <c r="Z197" s="20">
        <f>IF(T197=0,0,X197/T197)</f>
        <v>1.7362021531173801E-2</v>
      </c>
    </row>
    <row r="198" spans="1:26" x14ac:dyDescent="0.25">
      <c r="A198" s="9"/>
      <c r="B198" s="10"/>
      <c r="C198" s="9"/>
      <c r="D198" s="1"/>
      <c r="E198" s="1"/>
      <c r="F198" s="5"/>
      <c r="G198" s="1"/>
      <c r="H198" s="1"/>
      <c r="I198" s="1"/>
      <c r="J198" s="5"/>
      <c r="K198" s="1"/>
      <c r="L198" s="1"/>
      <c r="M198" s="1"/>
      <c r="N198" s="5"/>
      <c r="O198" s="37"/>
      <c r="P198" s="1"/>
      <c r="Q198" s="1"/>
      <c r="R198" s="5"/>
      <c r="S198" s="1"/>
      <c r="T198" s="1"/>
      <c r="U198" s="1"/>
      <c r="V198" s="5"/>
      <c r="W198" s="1"/>
      <c r="X198" s="1"/>
      <c r="Y198" s="1"/>
      <c r="Z198" s="5"/>
    </row>
    <row r="199" spans="1:26" s="23" customFormat="1" x14ac:dyDescent="0.25">
      <c r="A199" s="10"/>
      <c r="B199" s="28" t="s">
        <v>9</v>
      </c>
      <c r="C199" s="10"/>
      <c r="D199" s="22">
        <f>SUM(OSRRefD22x_0)</f>
        <v>1464929.3199999996</v>
      </c>
      <c r="E199" s="22"/>
      <c r="F199" s="33">
        <f t="shared" ref="F199:F209" si="25">IF(D$12=0,0,D199/D$12)</f>
        <v>0.55552722714557268</v>
      </c>
      <c r="G199" s="22"/>
      <c r="H199" s="22">
        <f>SUM(OSRRefH22x_0)</f>
        <v>1355165.8300000003</v>
      </c>
      <c r="I199" s="22"/>
      <c r="J199" s="33">
        <f t="shared" ref="J199:J209" si="26">IF(H$12=0,0,H199/H$12)</f>
        <v>0.61524697443014631</v>
      </c>
      <c r="K199" s="4"/>
      <c r="L199" s="22">
        <f t="shared" ref="L199:L209" si="27">+D199-H199</f>
        <v>109763.48999999929</v>
      </c>
      <c r="M199" s="4"/>
      <c r="N199" s="33">
        <f t="shared" ref="N199:N209" si="28">IF(H199=0,0,L199/H199)</f>
        <v>8.0996353044113623E-2</v>
      </c>
      <c r="O199" s="10"/>
      <c r="P199" s="22">
        <f>SUM(OSRRefP22x_0)</f>
        <v>7613129.8099999987</v>
      </c>
      <c r="Q199" s="22"/>
      <c r="R199" s="33">
        <f t="shared" ref="R199:R209" si="29">IF(P$12=0,0,P199/P$12)</f>
        <v>0.47302944493903032</v>
      </c>
      <c r="S199" s="22"/>
      <c r="T199" s="22">
        <f>SUM(OSRRefT22x_0)</f>
        <v>7286406.4699999979</v>
      </c>
      <c r="U199" s="22"/>
      <c r="V199" s="33">
        <f t="shared" ref="V199:V209" si="30">IF(T$12=0,0,T199/T$12)</f>
        <v>0.45722671102795936</v>
      </c>
      <c r="W199" s="4"/>
      <c r="X199" s="22">
        <f t="shared" ref="X199:X209" si="31">+P199-T199</f>
        <v>326723.34000000078</v>
      </c>
      <c r="Y199" s="4"/>
      <c r="Z199" s="33">
        <f t="shared" ref="Z199:Z209" si="32">IF(T199=0,0,X199/T199)</f>
        <v>4.4840119933633196E-2</v>
      </c>
    </row>
    <row r="200" spans="1:26" s="25" customFormat="1" outlineLevel="1" collapsed="1" x14ac:dyDescent="0.25">
      <c r="A200" s="27"/>
      <c r="B200" s="13" t="str">
        <f>CONCATENATE("     ","*Benefits                                         ")</f>
        <v xml:space="preserve">     *Benefits                                         </v>
      </c>
      <c r="C200" s="13"/>
      <c r="D200" s="1">
        <f>SUM(OSRRefD22_0x_0)</f>
        <v>223270.94999999998</v>
      </c>
      <c r="E200" s="1"/>
      <c r="F200" s="5">
        <f t="shared" si="25"/>
        <v>8.4668311339183122E-2</v>
      </c>
      <c r="G200" s="1"/>
      <c r="H200" s="1">
        <f>SUM(OSRRefH22_0x_0)</f>
        <v>208585.87000000002</v>
      </c>
      <c r="I200" s="1"/>
      <c r="J200" s="5">
        <f t="shared" si="26"/>
        <v>9.4698244735391401E-2</v>
      </c>
      <c r="K200" s="1"/>
      <c r="L200" s="1">
        <f t="shared" si="27"/>
        <v>14685.079999999958</v>
      </c>
      <c r="M200" s="1"/>
      <c r="N200" s="5">
        <f t="shared" si="28"/>
        <v>7.0403043120801784E-2</v>
      </c>
      <c r="O200" s="13"/>
      <c r="P200" s="1">
        <f>SUM(OSRRefP22_0x_0)</f>
        <v>1182016.74</v>
      </c>
      <c r="Q200" s="1"/>
      <c r="R200" s="5">
        <f t="shared" si="29"/>
        <v>7.3442688668780523E-2</v>
      </c>
      <c r="S200" s="1"/>
      <c r="T200" s="1">
        <f>SUM(OSRRefT22_0x_0)</f>
        <v>1123852.58</v>
      </c>
      <c r="U200" s="1"/>
      <c r="V200" s="5">
        <f t="shared" si="30"/>
        <v>7.0522475097890988E-2</v>
      </c>
      <c r="W200" s="1"/>
      <c r="X200" s="1">
        <f t="shared" si="31"/>
        <v>58164.159999999916</v>
      </c>
      <c r="Y200" s="1"/>
      <c r="Z200" s="5">
        <f t="shared" si="32"/>
        <v>5.1754261221698593E-2</v>
      </c>
    </row>
    <row r="201" spans="1:26" s="24" customFormat="1" hidden="1" outlineLevel="2" x14ac:dyDescent="0.25">
      <c r="A201" s="26"/>
      <c r="B201" s="11" t="str">
        <f>CONCATENATE("          ", "6111", " - ", "F.I.C.A.")</f>
        <v xml:space="preserve">          6111 - F.I.C.A.</v>
      </c>
      <c r="C201" s="11"/>
      <c r="D201" s="6">
        <v>33272.93</v>
      </c>
      <c r="E201" s="2"/>
      <c r="F201" s="7">
        <f t="shared" si="25"/>
        <v>1.2617686252541348E-2</v>
      </c>
      <c r="G201" s="2"/>
      <c r="H201" s="6">
        <v>29304.31</v>
      </c>
      <c r="I201" s="2"/>
      <c r="J201" s="7">
        <f t="shared" si="26"/>
        <v>1.3304193233135961E-2</v>
      </c>
      <c r="K201" s="2"/>
      <c r="L201" s="6">
        <f t="shared" si="27"/>
        <v>3968.619999999999</v>
      </c>
      <c r="M201" s="2"/>
      <c r="N201" s="7">
        <f t="shared" si="28"/>
        <v>0.13542786027038339</v>
      </c>
      <c r="O201" s="11"/>
      <c r="P201" s="6">
        <v>219872.78</v>
      </c>
      <c r="Q201" s="2"/>
      <c r="R201" s="7">
        <f t="shared" si="29"/>
        <v>1.366143776295357E-2</v>
      </c>
      <c r="S201" s="2"/>
      <c r="T201" s="6">
        <v>203030.35</v>
      </c>
      <c r="U201" s="2"/>
      <c r="V201" s="7">
        <f t="shared" si="30"/>
        <v>1.2740285564847919E-2</v>
      </c>
      <c r="W201" s="2"/>
      <c r="X201" s="6">
        <f t="shared" si="31"/>
        <v>16842.429999999993</v>
      </c>
      <c r="Y201" s="2"/>
      <c r="Z201" s="7">
        <f t="shared" si="32"/>
        <v>8.2955233047669927E-2</v>
      </c>
    </row>
    <row r="202" spans="1:26" s="24" customFormat="1" hidden="1" outlineLevel="2" x14ac:dyDescent="0.25">
      <c r="A202" s="26"/>
      <c r="B202" s="11" t="str">
        <f>CONCATENATE("          ", "6112", " - ", "COMPENSATION INSURANCE")</f>
        <v xml:space="preserve">          6112 - COMPENSATION INSURANCE</v>
      </c>
      <c r="C202" s="11"/>
      <c r="D202" s="6">
        <v>24000.98</v>
      </c>
      <c r="E202" s="2"/>
      <c r="F202" s="7">
        <f t="shared" si="25"/>
        <v>9.1015980676640088E-3</v>
      </c>
      <c r="G202" s="2"/>
      <c r="H202" s="6">
        <v>18551.12</v>
      </c>
      <c r="I202" s="2"/>
      <c r="J202" s="7">
        <f t="shared" si="26"/>
        <v>8.4222315820127892E-3</v>
      </c>
      <c r="K202" s="2"/>
      <c r="L202" s="6">
        <f t="shared" si="27"/>
        <v>5449.8600000000006</v>
      </c>
      <c r="M202" s="2"/>
      <c r="N202" s="7">
        <f t="shared" si="28"/>
        <v>0.29377525453988768</v>
      </c>
      <c r="O202" s="11"/>
      <c r="P202" s="6">
        <v>77297.37999999999</v>
      </c>
      <c r="Q202" s="2"/>
      <c r="R202" s="7">
        <f t="shared" si="29"/>
        <v>4.8027470526791531E-3</v>
      </c>
      <c r="S202" s="2"/>
      <c r="T202" s="6">
        <v>92122.21</v>
      </c>
      <c r="U202" s="2"/>
      <c r="V202" s="7">
        <f t="shared" si="30"/>
        <v>5.7807281633750259E-3</v>
      </c>
      <c r="W202" s="2"/>
      <c r="X202" s="6">
        <f t="shared" si="31"/>
        <v>-14824.830000000016</v>
      </c>
      <c r="Y202" s="2"/>
      <c r="Z202" s="7">
        <f t="shared" si="32"/>
        <v>-0.16092568773588925</v>
      </c>
    </row>
    <row r="203" spans="1:26" s="24" customFormat="1" hidden="1" outlineLevel="2" x14ac:dyDescent="0.25">
      <c r="A203" s="26"/>
      <c r="B203" s="11" t="str">
        <f>CONCATENATE("          ", "6113", " - ", "GROUP INSURANCE")</f>
        <v xml:space="preserve">          6113 - GROUP INSURANCE</v>
      </c>
      <c r="C203" s="11"/>
      <c r="D203" s="6">
        <v>98444.569999999992</v>
      </c>
      <c r="E203" s="2"/>
      <c r="F203" s="7">
        <f t="shared" si="25"/>
        <v>3.7331930116354176E-2</v>
      </c>
      <c r="G203" s="2"/>
      <c r="H203" s="6">
        <v>104530.05</v>
      </c>
      <c r="I203" s="2"/>
      <c r="J203" s="7">
        <f t="shared" si="26"/>
        <v>4.7456772872978878E-2</v>
      </c>
      <c r="K203" s="2"/>
      <c r="L203" s="6">
        <f t="shared" si="27"/>
        <v>-6085.4800000000105</v>
      </c>
      <c r="M203" s="2"/>
      <c r="N203" s="7">
        <f t="shared" si="28"/>
        <v>-5.8217517355057327E-2</v>
      </c>
      <c r="O203" s="11"/>
      <c r="P203" s="6">
        <v>472170.2</v>
      </c>
      <c r="Q203" s="2"/>
      <c r="R203" s="7">
        <f t="shared" si="29"/>
        <v>2.933752782323187E-2</v>
      </c>
      <c r="S203" s="2"/>
      <c r="T203" s="6">
        <v>454058.63</v>
      </c>
      <c r="U203" s="2"/>
      <c r="V203" s="7">
        <f t="shared" si="30"/>
        <v>2.8492472230795159E-2</v>
      </c>
      <c r="W203" s="2"/>
      <c r="X203" s="6">
        <f t="shared" si="31"/>
        <v>18111.570000000007</v>
      </c>
      <c r="Y203" s="2"/>
      <c r="Z203" s="7">
        <f t="shared" si="32"/>
        <v>3.9888174793638452E-2</v>
      </c>
    </row>
    <row r="204" spans="1:26" s="24" customFormat="1" hidden="1" outlineLevel="2" x14ac:dyDescent="0.25">
      <c r="A204" s="26"/>
      <c r="B204" s="11" t="str">
        <f>CONCATENATE("          ", "6114", " - ", "STATE UNEMPLOYMENT INSURANCE")</f>
        <v xml:space="preserve">          6114 - STATE UNEMPLOYMENT INSURANCE</v>
      </c>
      <c r="C204" s="11"/>
      <c r="D204" s="6">
        <v>2035.38</v>
      </c>
      <c r="E204" s="2"/>
      <c r="F204" s="7">
        <f t="shared" si="25"/>
        <v>7.7185226082276525E-4</v>
      </c>
      <c r="G204" s="2"/>
      <c r="H204" s="6">
        <v>1808.49</v>
      </c>
      <c r="I204" s="2"/>
      <c r="J204" s="7">
        <f t="shared" si="26"/>
        <v>8.2105671214214063E-4</v>
      </c>
      <c r="K204" s="2"/>
      <c r="L204" s="6">
        <f t="shared" si="27"/>
        <v>226.8900000000001</v>
      </c>
      <c r="M204" s="2"/>
      <c r="N204" s="7">
        <f t="shared" si="28"/>
        <v>0.12545825522950091</v>
      </c>
      <c r="O204" s="11"/>
      <c r="P204" s="6">
        <v>9663.49</v>
      </c>
      <c r="Q204" s="2"/>
      <c r="R204" s="7">
        <f t="shared" si="29"/>
        <v>6.0042524230568325E-4</v>
      </c>
      <c r="S204" s="2"/>
      <c r="T204" s="6">
        <v>9518.99</v>
      </c>
      <c r="U204" s="2"/>
      <c r="V204" s="7">
        <f t="shared" si="30"/>
        <v>5.9732276917678407E-4</v>
      </c>
      <c r="W204" s="2"/>
      <c r="X204" s="6">
        <f t="shared" si="31"/>
        <v>144.5</v>
      </c>
      <c r="Y204" s="2"/>
      <c r="Z204" s="7">
        <f t="shared" si="32"/>
        <v>1.5180181931066216E-2</v>
      </c>
    </row>
    <row r="205" spans="1:26" s="24" customFormat="1" hidden="1" outlineLevel="2" x14ac:dyDescent="0.25">
      <c r="A205" s="26"/>
      <c r="B205" s="11" t="str">
        <f>CONCATENATE("          ", "6115", " - ", "P.E.R.S.")</f>
        <v xml:space="preserve">          6115 - P.E.R.S.</v>
      </c>
      <c r="C205" s="11"/>
      <c r="D205" s="6">
        <v>19307.53</v>
      </c>
      <c r="E205" s="2"/>
      <c r="F205" s="7">
        <f t="shared" si="25"/>
        <v>7.321758434004148E-3</v>
      </c>
      <c r="G205" s="2"/>
      <c r="H205" s="6">
        <v>17551.12</v>
      </c>
      <c r="I205" s="2"/>
      <c r="J205" s="7">
        <f t="shared" si="26"/>
        <v>7.9682303366964517E-3</v>
      </c>
      <c r="K205" s="2"/>
      <c r="L205" s="6">
        <f t="shared" si="27"/>
        <v>1756.4099999999999</v>
      </c>
      <c r="M205" s="2"/>
      <c r="N205" s="7">
        <f t="shared" si="28"/>
        <v>0.10007395539429963</v>
      </c>
      <c r="O205" s="11"/>
      <c r="P205" s="6">
        <v>106559.84999999999</v>
      </c>
      <c r="Q205" s="2"/>
      <c r="R205" s="7">
        <f t="shared" si="29"/>
        <v>6.6209230574365225E-3</v>
      </c>
      <c r="S205" s="2"/>
      <c r="T205" s="6">
        <v>105326.67</v>
      </c>
      <c r="U205" s="2"/>
      <c r="V205" s="7">
        <f t="shared" si="30"/>
        <v>6.6093165548623658E-3</v>
      </c>
      <c r="W205" s="2"/>
      <c r="X205" s="6">
        <f t="shared" si="31"/>
        <v>1233.179999999993</v>
      </c>
      <c r="Y205" s="2"/>
      <c r="Z205" s="7">
        <f t="shared" si="32"/>
        <v>1.1708145714660808E-2</v>
      </c>
    </row>
    <row r="206" spans="1:26" s="24" customFormat="1" hidden="1" outlineLevel="2" x14ac:dyDescent="0.25">
      <c r="A206" s="26"/>
      <c r="B206" s="11" t="str">
        <f>CONCATENATE("          ", "6117", " - ", "RETIREMENT STAFF HOURLY")</f>
        <v xml:space="preserve">          6117 - RETIREMENT STAFF HOURLY</v>
      </c>
      <c r="C206" s="11"/>
      <c r="D206" s="6">
        <v>2094.89</v>
      </c>
      <c r="E206" s="2"/>
      <c r="F206" s="7">
        <f t="shared" si="25"/>
        <v>7.9441951020202742E-4</v>
      </c>
      <c r="G206" s="2"/>
      <c r="H206" s="6">
        <v>1839.9</v>
      </c>
      <c r="I206" s="2"/>
      <c r="J206" s="7">
        <f t="shared" si="26"/>
        <v>8.3531689125752677E-4</v>
      </c>
      <c r="K206" s="2"/>
      <c r="L206" s="6">
        <f t="shared" si="27"/>
        <v>254.98999999999978</v>
      </c>
      <c r="M206" s="2"/>
      <c r="N206" s="7">
        <f t="shared" si="28"/>
        <v>0.13858905375292122</v>
      </c>
      <c r="O206" s="11"/>
      <c r="P206" s="6">
        <v>10091.290000000001</v>
      </c>
      <c r="Q206" s="2"/>
      <c r="R206" s="7">
        <f t="shared" si="29"/>
        <v>6.2700589987953832E-4</v>
      </c>
      <c r="S206" s="2"/>
      <c r="T206" s="6">
        <v>10548.8</v>
      </c>
      <c r="U206" s="2"/>
      <c r="V206" s="7">
        <f t="shared" si="30"/>
        <v>6.619440116537636E-4</v>
      </c>
      <c r="W206" s="2"/>
      <c r="X206" s="6">
        <f t="shared" si="31"/>
        <v>-457.5099999999984</v>
      </c>
      <c r="Y206" s="2"/>
      <c r="Z206" s="7">
        <f t="shared" si="32"/>
        <v>-4.3370809949946763E-2</v>
      </c>
    </row>
    <row r="207" spans="1:26" s="24" customFormat="1" hidden="1" outlineLevel="2" x14ac:dyDescent="0.25">
      <c r="A207" s="26"/>
      <c r="B207" s="11" t="str">
        <f>CONCATENATE("          ", "6118", " - ", "VACATION")</f>
        <v xml:space="preserve">          6118 - VACATION</v>
      </c>
      <c r="C207" s="11"/>
      <c r="D207" s="6">
        <v>21289.58</v>
      </c>
      <c r="E207" s="2"/>
      <c r="F207" s="7">
        <f t="shared" si="25"/>
        <v>8.0733870112544726E-3</v>
      </c>
      <c r="G207" s="2"/>
      <c r="H207" s="6">
        <v>19540.080000000002</v>
      </c>
      <c r="I207" s="2"/>
      <c r="J207" s="7">
        <f t="shared" si="26"/>
        <v>8.8712206535808327E-3</v>
      </c>
      <c r="K207" s="2"/>
      <c r="L207" s="6">
        <f t="shared" si="27"/>
        <v>1749.5</v>
      </c>
      <c r="M207" s="2"/>
      <c r="N207" s="7">
        <f t="shared" si="28"/>
        <v>8.9533922071966948E-2</v>
      </c>
      <c r="O207" s="11"/>
      <c r="P207" s="6">
        <v>126127.54</v>
      </c>
      <c r="Q207" s="2"/>
      <c r="R207" s="7">
        <f t="shared" si="29"/>
        <v>7.8367296666028274E-3</v>
      </c>
      <c r="S207" s="2"/>
      <c r="T207" s="6">
        <v>117377.95999999999</v>
      </c>
      <c r="U207" s="2"/>
      <c r="V207" s="7">
        <f t="shared" si="30"/>
        <v>7.3655427842157402E-3</v>
      </c>
      <c r="W207" s="2"/>
      <c r="X207" s="6">
        <f t="shared" si="31"/>
        <v>8749.5800000000017</v>
      </c>
      <c r="Y207" s="2"/>
      <c r="Z207" s="7">
        <f t="shared" si="32"/>
        <v>7.4541932744443692E-2</v>
      </c>
    </row>
    <row r="208" spans="1:26" s="24" customFormat="1" hidden="1" outlineLevel="2" x14ac:dyDescent="0.25">
      <c r="A208" s="26"/>
      <c r="B208" s="11" t="str">
        <f>CONCATENATE("          ", "6119", " - ", "SICK LEAVE")</f>
        <v xml:space="preserve">          6119 - SICK LEAVE</v>
      </c>
      <c r="C208" s="11"/>
      <c r="D208" s="6">
        <v>13694.34</v>
      </c>
      <c r="E208" s="2"/>
      <c r="F208" s="7">
        <f t="shared" si="25"/>
        <v>5.1931370503176932E-3</v>
      </c>
      <c r="G208" s="2"/>
      <c r="H208" s="6">
        <v>6465.04</v>
      </c>
      <c r="I208" s="2"/>
      <c r="J208" s="7">
        <f t="shared" si="26"/>
        <v>2.9351362110199256E-3</v>
      </c>
      <c r="K208" s="2"/>
      <c r="L208" s="6">
        <f t="shared" si="27"/>
        <v>7229.3</v>
      </c>
      <c r="M208" s="2"/>
      <c r="N208" s="7">
        <f t="shared" si="28"/>
        <v>1.1182142724561643</v>
      </c>
      <c r="O208" s="11"/>
      <c r="P208" s="6">
        <v>115108.72</v>
      </c>
      <c r="Q208" s="2"/>
      <c r="R208" s="7">
        <f t="shared" si="29"/>
        <v>7.1520931979540577E-3</v>
      </c>
      <c r="S208" s="2"/>
      <c r="T208" s="6">
        <v>85288.72</v>
      </c>
      <c r="U208" s="2"/>
      <c r="V208" s="7">
        <f t="shared" si="30"/>
        <v>5.3519222533003367E-3</v>
      </c>
      <c r="W208" s="2"/>
      <c r="X208" s="6">
        <f t="shared" si="31"/>
        <v>29820</v>
      </c>
      <c r="Y208" s="2"/>
      <c r="Z208" s="7">
        <f t="shared" si="32"/>
        <v>0.34963591902891727</v>
      </c>
    </row>
    <row r="209" spans="1:26" s="24" customFormat="1" hidden="1" outlineLevel="2" x14ac:dyDescent="0.25">
      <c r="A209" s="26"/>
      <c r="B209" s="11" t="str">
        <f>CONCATENATE("          ", "6156", " - ", "EMPLOYEE MEALS")</f>
        <v xml:space="preserve">          6156 - EMPLOYEE MEALS</v>
      </c>
      <c r="C209" s="11"/>
      <c r="D209" s="6">
        <v>9130.75</v>
      </c>
      <c r="E209" s="2"/>
      <c r="F209" s="7">
        <f t="shared" si="25"/>
        <v>3.4625426360224937E-3</v>
      </c>
      <c r="G209" s="2"/>
      <c r="H209" s="6">
        <v>8995.76</v>
      </c>
      <c r="I209" s="2"/>
      <c r="J209" s="7">
        <f t="shared" si="26"/>
        <v>4.0840862425668839E-3</v>
      </c>
      <c r="K209" s="2"/>
      <c r="L209" s="6">
        <f t="shared" si="27"/>
        <v>134.98999999999978</v>
      </c>
      <c r="M209" s="2"/>
      <c r="N209" s="7">
        <f t="shared" si="28"/>
        <v>1.500595836260636E-2</v>
      </c>
      <c r="O209" s="11"/>
      <c r="P209" s="6">
        <v>45125.49</v>
      </c>
      <c r="Q209" s="2"/>
      <c r="R209" s="7">
        <f t="shared" si="29"/>
        <v>2.8037989657372945E-3</v>
      </c>
      <c r="S209" s="2"/>
      <c r="T209" s="6">
        <v>46580.25</v>
      </c>
      <c r="U209" s="2"/>
      <c r="V209" s="7">
        <f t="shared" si="30"/>
        <v>2.9229407656638884E-3</v>
      </c>
      <c r="W209" s="2"/>
      <c r="X209" s="6">
        <f t="shared" si="31"/>
        <v>-1454.760000000002</v>
      </c>
      <c r="Y209" s="2"/>
      <c r="Z209" s="7">
        <f t="shared" si="32"/>
        <v>-3.1231262176566292E-2</v>
      </c>
    </row>
    <row r="210" spans="1:26" s="25" customFormat="1" outlineLevel="1" collapsed="1" x14ac:dyDescent="0.25">
      <c r="A210" s="27"/>
      <c r="B210" s="13" t="str">
        <f>CONCATENATE("     ","*Payroll                                          ")</f>
        <v xml:space="preserve">     *Payroll                                          </v>
      </c>
      <c r="C210" s="13"/>
      <c r="D210" s="1">
        <f>SUM(OSRRefD22_1x_0)</f>
        <v>689781.73999999987</v>
      </c>
      <c r="E210" s="1"/>
      <c r="F210" s="5">
        <f t="shared" ref="F210:F217" si="33">IF(D$12=0,0,D210/D$12)</f>
        <v>0.26157749191466001</v>
      </c>
      <c r="G210" s="1"/>
      <c r="H210" s="1">
        <f>SUM(OSRRefH22_1x_0)</f>
        <v>586761.44999999995</v>
      </c>
      <c r="I210" s="1"/>
      <c r="J210" s="5">
        <f t="shared" ref="J210:J217" si="34">IF(H$12=0,0,H210/H$12)</f>
        <v>0.26639042900361903</v>
      </c>
      <c r="K210" s="1"/>
      <c r="L210" s="1">
        <f t="shared" ref="L210:L217" si="35">+D210-H210</f>
        <v>103020.28999999992</v>
      </c>
      <c r="M210" s="1"/>
      <c r="N210" s="5">
        <f t="shared" ref="N210:N217" si="36">IF(H210=0,0,L210/H210)</f>
        <v>0.17557440080632417</v>
      </c>
      <c r="O210" s="13"/>
      <c r="P210" s="1">
        <f>SUM(OSRRefP22_1x_0)</f>
        <v>3711365.4499999997</v>
      </c>
      <c r="Q210" s="1"/>
      <c r="R210" s="5">
        <f t="shared" ref="R210:R217" si="37">IF(P$12=0,0,P210/P$12)</f>
        <v>0.23059965908809252</v>
      </c>
      <c r="S210" s="1"/>
      <c r="T210" s="1">
        <f>SUM(OSRRefT22_1x_0)</f>
        <v>3379350.21</v>
      </c>
      <c r="U210" s="1"/>
      <c r="V210" s="5">
        <f t="shared" ref="V210:V217" si="38">IF(T$12=0,0,T210/T$12)</f>
        <v>0.21205640781798771</v>
      </c>
      <c r="W210" s="1"/>
      <c r="X210" s="1">
        <f t="shared" ref="X210:X217" si="39">+P210-T210</f>
        <v>332015.23999999976</v>
      </c>
      <c r="Y210" s="1"/>
      <c r="Z210" s="5">
        <f t="shared" ref="Z210:Z217" si="40">IF(T210=0,0,X210/T210)</f>
        <v>9.8248248736552149E-2</v>
      </c>
    </row>
    <row r="211" spans="1:26" s="24" customFormat="1" hidden="1" outlineLevel="2" x14ac:dyDescent="0.25">
      <c r="A211" s="26"/>
      <c r="B211" s="11" t="str">
        <f>CONCATENATE("          ", "6001", " - ", "ADMINISTRATIVE SALARIES")</f>
        <v xml:space="preserve">          6001 - ADMINISTRATIVE SALARIES</v>
      </c>
      <c r="C211" s="11"/>
      <c r="D211" s="6">
        <v>35348.21</v>
      </c>
      <c r="E211" s="2"/>
      <c r="F211" s="7">
        <f t="shared" si="33"/>
        <v>1.3404669302311056E-2</v>
      </c>
      <c r="G211" s="2"/>
      <c r="H211" s="6">
        <v>31602.99</v>
      </c>
      <c r="I211" s="2"/>
      <c r="J211" s="7">
        <f t="shared" si="34"/>
        <v>1.4347796815719717E-2</v>
      </c>
      <c r="K211" s="2"/>
      <c r="L211" s="6">
        <f t="shared" si="35"/>
        <v>3745.2199999999975</v>
      </c>
      <c r="M211" s="2"/>
      <c r="N211" s="7">
        <f t="shared" si="36"/>
        <v>0.118508406957696</v>
      </c>
      <c r="O211" s="11"/>
      <c r="P211" s="6">
        <v>181824.62</v>
      </c>
      <c r="Q211" s="2"/>
      <c r="R211" s="7">
        <f t="shared" si="37"/>
        <v>1.1297377191950194E-2</v>
      </c>
      <c r="S211" s="2"/>
      <c r="T211" s="6">
        <v>177732.44999999998</v>
      </c>
      <c r="U211" s="2"/>
      <c r="V211" s="7">
        <f t="shared" si="38"/>
        <v>1.1152826004289773E-2</v>
      </c>
      <c r="W211" s="2"/>
      <c r="X211" s="6">
        <f t="shared" si="39"/>
        <v>4092.1700000000128</v>
      </c>
      <c r="Y211" s="2"/>
      <c r="Z211" s="7">
        <f t="shared" si="40"/>
        <v>2.3024326733806985E-2</v>
      </c>
    </row>
    <row r="212" spans="1:26" s="24" customFormat="1" hidden="1" outlineLevel="2" x14ac:dyDescent="0.25">
      <c r="A212" s="26"/>
      <c r="B212" s="11" t="str">
        <f>CONCATENATE("          ", "6002", " - ", "STAFF SALARIES")</f>
        <v xml:space="preserve">          6002 - STAFF SALARIES</v>
      </c>
      <c r="C212" s="11"/>
      <c r="D212" s="6">
        <v>173971.50999999998</v>
      </c>
      <c r="E212" s="2"/>
      <c r="F212" s="7">
        <f t="shared" si="33"/>
        <v>6.597308773410876E-2</v>
      </c>
      <c r="G212" s="2"/>
      <c r="H212" s="6">
        <v>160987.35999999999</v>
      </c>
      <c r="I212" s="2"/>
      <c r="J212" s="7">
        <f t="shared" si="34"/>
        <v>7.3088461920189307E-2</v>
      </c>
      <c r="K212" s="2"/>
      <c r="L212" s="6">
        <f t="shared" si="35"/>
        <v>12984.149999999994</v>
      </c>
      <c r="M212" s="2"/>
      <c r="N212" s="7">
        <f t="shared" si="36"/>
        <v>8.0653226439640943E-2</v>
      </c>
      <c r="O212" s="11"/>
      <c r="P212" s="6">
        <v>929812.57000000007</v>
      </c>
      <c r="Q212" s="2"/>
      <c r="R212" s="7">
        <f t="shared" si="37"/>
        <v>5.7772392545666233E-2</v>
      </c>
      <c r="S212" s="2"/>
      <c r="T212" s="6">
        <v>872150.02999999991</v>
      </c>
      <c r="U212" s="2"/>
      <c r="V212" s="7">
        <f t="shared" si="38"/>
        <v>5.4727977554048832E-2</v>
      </c>
      <c r="W212" s="2"/>
      <c r="X212" s="6">
        <f t="shared" si="39"/>
        <v>57662.540000000154</v>
      </c>
      <c r="Y212" s="2"/>
      <c r="Z212" s="7">
        <f t="shared" si="40"/>
        <v>6.6115390720103695E-2</v>
      </c>
    </row>
    <row r="213" spans="1:26" s="24" customFormat="1" hidden="1" outlineLevel="2" x14ac:dyDescent="0.25">
      <c r="A213" s="26"/>
      <c r="B213" s="11" t="str">
        <f>CONCATENATE("          ", "6004", " - ", "STAFF HOURLY")</f>
        <v xml:space="preserve">          6004 - STAFF HOURLY</v>
      </c>
      <c r="C213" s="11"/>
      <c r="D213" s="6">
        <v>84341.430000000008</v>
      </c>
      <c r="E213" s="2"/>
      <c r="F213" s="7">
        <f t="shared" si="33"/>
        <v>3.1983768842439739E-2</v>
      </c>
      <c r="G213" s="2"/>
      <c r="H213" s="6">
        <v>72531.740000000005</v>
      </c>
      <c r="I213" s="2"/>
      <c r="J213" s="7">
        <f t="shared" si="34"/>
        <v>3.2929500284960708E-2</v>
      </c>
      <c r="K213" s="2"/>
      <c r="L213" s="6">
        <f t="shared" si="35"/>
        <v>11809.690000000002</v>
      </c>
      <c r="M213" s="2"/>
      <c r="N213" s="7">
        <f t="shared" si="36"/>
        <v>0.16282099395381941</v>
      </c>
      <c r="O213" s="11"/>
      <c r="P213" s="6">
        <v>420768.59</v>
      </c>
      <c r="Q213" s="2"/>
      <c r="R213" s="7">
        <f t="shared" si="37"/>
        <v>2.614377234367405E-2</v>
      </c>
      <c r="S213" s="2"/>
      <c r="T213" s="6">
        <v>411837.21</v>
      </c>
      <c r="U213" s="2"/>
      <c r="V213" s="7">
        <f t="shared" si="38"/>
        <v>2.5843050862249122E-2</v>
      </c>
      <c r="W213" s="2"/>
      <c r="X213" s="6">
        <f t="shared" si="39"/>
        <v>8931.3800000000047</v>
      </c>
      <c r="Y213" s="2"/>
      <c r="Z213" s="7">
        <f t="shared" si="40"/>
        <v>2.1686675664882259E-2</v>
      </c>
    </row>
    <row r="214" spans="1:26" s="24" customFormat="1" hidden="1" outlineLevel="2" x14ac:dyDescent="0.25">
      <c r="A214" s="26"/>
      <c r="B214" s="11" t="str">
        <f>CONCATENATE("          ", "6005", " - ", "TEMPORARY WAGES-HOURLY")</f>
        <v xml:space="preserve">          6005 - TEMPORARY WAGES-HOURLY</v>
      </c>
      <c r="C214" s="11"/>
      <c r="D214" s="6">
        <v>121885.31000000001</v>
      </c>
      <c r="E214" s="2"/>
      <c r="F214" s="7">
        <f t="shared" si="33"/>
        <v>4.6221075221621319E-2</v>
      </c>
      <c r="G214" s="2"/>
      <c r="H214" s="6">
        <v>91815.37999999999</v>
      </c>
      <c r="I214" s="2"/>
      <c r="J214" s="7">
        <f t="shared" si="34"/>
        <v>4.1684296859192616E-2</v>
      </c>
      <c r="K214" s="2"/>
      <c r="L214" s="6">
        <f t="shared" si="35"/>
        <v>30069.930000000022</v>
      </c>
      <c r="M214" s="2"/>
      <c r="N214" s="7">
        <f t="shared" si="36"/>
        <v>0.32750428087320477</v>
      </c>
      <c r="O214" s="11"/>
      <c r="P214" s="6">
        <v>657144.85</v>
      </c>
      <c r="Q214" s="2"/>
      <c r="R214" s="7">
        <f t="shared" si="37"/>
        <v>4.0830627008584051E-2</v>
      </c>
      <c r="S214" s="2"/>
      <c r="T214" s="6">
        <v>530724.73</v>
      </c>
      <c r="U214" s="2"/>
      <c r="V214" s="7">
        <f t="shared" si="38"/>
        <v>3.3303319511229765E-2</v>
      </c>
      <c r="W214" s="2"/>
      <c r="X214" s="6">
        <f t="shared" si="39"/>
        <v>126420.12</v>
      </c>
      <c r="Y214" s="2"/>
      <c r="Z214" s="7">
        <f t="shared" si="40"/>
        <v>0.23820280618918963</v>
      </c>
    </row>
    <row r="215" spans="1:26" s="24" customFormat="1" hidden="1" outlineLevel="2" x14ac:dyDescent="0.25">
      <c r="A215" s="26"/>
      <c r="B215" s="11" t="str">
        <f>CONCATENATE("          ", "6006", " - ", "TEMPORARY PART TIME")</f>
        <v xml:space="preserve">          6006 - TEMPORARY PART TIME</v>
      </c>
      <c r="C215" s="11"/>
      <c r="D215" s="6">
        <v>8565.98</v>
      </c>
      <c r="E215" s="2"/>
      <c r="F215" s="7">
        <f t="shared" si="33"/>
        <v>3.2483718171361564E-3</v>
      </c>
      <c r="G215" s="2"/>
      <c r="H215" s="6">
        <v>7959.65</v>
      </c>
      <c r="I215" s="2"/>
      <c r="J215" s="7">
        <f t="shared" si="34"/>
        <v>3.6136910122821744E-3</v>
      </c>
      <c r="K215" s="2"/>
      <c r="L215" s="6">
        <f t="shared" si="35"/>
        <v>606.32999999999993</v>
      </c>
      <c r="M215" s="2"/>
      <c r="N215" s="7">
        <f t="shared" si="36"/>
        <v>7.617545997625523E-2</v>
      </c>
      <c r="O215" s="11"/>
      <c r="P215" s="6">
        <v>73330.399999999994</v>
      </c>
      <c r="Q215" s="2"/>
      <c r="R215" s="7">
        <f t="shared" si="37"/>
        <v>4.5562651990505168E-3</v>
      </c>
      <c r="S215" s="2"/>
      <c r="T215" s="6">
        <v>73601.900000000009</v>
      </c>
      <c r="U215" s="2"/>
      <c r="V215" s="7">
        <f t="shared" si="38"/>
        <v>4.6185667517953848E-3</v>
      </c>
      <c r="W215" s="2"/>
      <c r="X215" s="6">
        <f t="shared" si="39"/>
        <v>-271.50000000001455</v>
      </c>
      <c r="Y215" s="2"/>
      <c r="Z215" s="7">
        <f t="shared" si="40"/>
        <v>-3.6887634694215028E-3</v>
      </c>
    </row>
    <row r="216" spans="1:26" s="24" customFormat="1" hidden="1" outlineLevel="2" x14ac:dyDescent="0.25">
      <c r="A216" s="26"/>
      <c r="B216" s="11" t="str">
        <f>CONCATENATE("          ", "6007", " - ", "STUDENT HOURLY")</f>
        <v xml:space="preserve">          6007 - STUDENT HOURLY</v>
      </c>
      <c r="C216" s="11"/>
      <c r="D216" s="6">
        <v>239041.18999999997</v>
      </c>
      <c r="E216" s="2"/>
      <c r="F216" s="7">
        <f t="shared" si="33"/>
        <v>9.0648666554286744E-2</v>
      </c>
      <c r="G216" s="2"/>
      <c r="H216" s="6">
        <v>193646.31</v>
      </c>
      <c r="I216" s="2"/>
      <c r="J216" s="7">
        <f t="shared" si="34"/>
        <v>8.7915665890913264E-2</v>
      </c>
      <c r="K216" s="2"/>
      <c r="L216" s="6">
        <f t="shared" si="35"/>
        <v>45394.879999999976</v>
      </c>
      <c r="M216" s="2"/>
      <c r="N216" s="7">
        <f t="shared" si="36"/>
        <v>0.2344216112354528</v>
      </c>
      <c r="O216" s="11"/>
      <c r="P216" s="6">
        <v>1312816.8499999999</v>
      </c>
      <c r="Q216" s="2"/>
      <c r="R216" s="7">
        <f t="shared" si="37"/>
        <v>8.1569740876664007E-2</v>
      </c>
      <c r="S216" s="2"/>
      <c r="T216" s="6">
        <v>1169506.3500000001</v>
      </c>
      <c r="U216" s="2"/>
      <c r="V216" s="7">
        <f t="shared" si="38"/>
        <v>7.3387278645300952E-2</v>
      </c>
      <c r="W216" s="2"/>
      <c r="X216" s="6">
        <f t="shared" si="39"/>
        <v>143310.49999999977</v>
      </c>
      <c r="Y216" s="2"/>
      <c r="Z216" s="7">
        <f t="shared" si="40"/>
        <v>0.1225393089999039</v>
      </c>
    </row>
    <row r="217" spans="1:26" s="24" customFormat="1" hidden="1" outlineLevel="2" x14ac:dyDescent="0.25">
      <c r="A217" s="26"/>
      <c r="B217" s="11" t="str">
        <f>CONCATENATE("          ", "6008", " - ", "STUDENT HOURLY-FICA EXEMPT")</f>
        <v xml:space="preserve">          6008 - STUDENT HOURLY-FICA EXEMPT</v>
      </c>
      <c r="C217" s="11"/>
      <c r="D217" s="6">
        <v>26628.11</v>
      </c>
      <c r="E217" s="2"/>
      <c r="F217" s="7">
        <f t="shared" si="33"/>
        <v>1.0097852442756282E-2</v>
      </c>
      <c r="G217" s="2"/>
      <c r="H217" s="6">
        <v>28218.02</v>
      </c>
      <c r="I217" s="2"/>
      <c r="J217" s="7">
        <f t="shared" si="34"/>
        <v>1.2811016220361278E-2</v>
      </c>
      <c r="K217" s="2"/>
      <c r="L217" s="6">
        <f t="shared" si="35"/>
        <v>-1589.9099999999999</v>
      </c>
      <c r="M217" s="2"/>
      <c r="N217" s="7">
        <f t="shared" si="36"/>
        <v>-5.6343783157003925E-2</v>
      </c>
      <c r="O217" s="11"/>
      <c r="P217" s="6">
        <v>135667.57</v>
      </c>
      <c r="Q217" s="2"/>
      <c r="R217" s="7">
        <f t="shared" si="37"/>
        <v>8.42948392250349E-3</v>
      </c>
      <c r="S217" s="2"/>
      <c r="T217" s="6">
        <v>143797.54</v>
      </c>
      <c r="U217" s="2"/>
      <c r="V217" s="7">
        <f t="shared" si="38"/>
        <v>9.0233884890738806E-3</v>
      </c>
      <c r="W217" s="2"/>
      <c r="X217" s="6">
        <f t="shared" si="39"/>
        <v>-8129.9700000000012</v>
      </c>
      <c r="Y217" s="2"/>
      <c r="Z217" s="7">
        <f t="shared" si="40"/>
        <v>-5.6537615316645896E-2</v>
      </c>
    </row>
    <row r="218" spans="1:26" s="25" customFormat="1" outlineLevel="1" collapsed="1" x14ac:dyDescent="0.25">
      <c r="A218" s="27"/>
      <c r="B218" s="13" t="str">
        <f>CONCATENATE("     ","Advertising/Promo                                 ")</f>
        <v xml:space="preserve">     Advertising/Promo                                 </v>
      </c>
      <c r="C218" s="13"/>
      <c r="D218" s="1">
        <f>SUM(OSRRefD22_2x_0)</f>
        <v>20359.849999999999</v>
      </c>
      <c r="E218" s="1"/>
      <c r="F218" s="5">
        <f t="shared" ref="F218:F222" si="41">IF(D$12=0,0,D218/D$12)</f>
        <v>7.7208168757246188E-3</v>
      </c>
      <c r="G218" s="1"/>
      <c r="H218" s="1">
        <f>SUM(OSRRefH22_2x_0)</f>
        <v>24214.54</v>
      </c>
      <c r="I218" s="1"/>
      <c r="J218" s="5">
        <f t="shared" ref="J218:J222" si="42">IF(H$12=0,0,H218/H$12)</f>
        <v>1.0993431314762233E-2</v>
      </c>
      <c r="K218" s="1"/>
      <c r="L218" s="1">
        <f t="shared" ref="L218:L222" si="43">+D218-H218</f>
        <v>-3854.6900000000023</v>
      </c>
      <c r="M218" s="1"/>
      <c r="N218" s="5">
        <f t="shared" ref="N218:N222" si="44">IF(H218=0,0,L218/H218)</f>
        <v>-0.15918906574314451</v>
      </c>
      <c r="O218" s="13"/>
      <c r="P218" s="1">
        <f>SUM(OSRRefP22_2x_0)</f>
        <v>60836.729999999996</v>
      </c>
      <c r="Q218" s="1"/>
      <c r="R218" s="5">
        <f t="shared" ref="R218:R222" si="45">IF(P$12=0,0,P218/P$12)</f>
        <v>3.779991323148824E-3</v>
      </c>
      <c r="S218" s="1"/>
      <c r="T218" s="1">
        <f>SUM(OSRRefT22_2x_0)</f>
        <v>66669.509999999995</v>
      </c>
      <c r="U218" s="1"/>
      <c r="V218" s="5">
        <f t="shared" ref="V218:V222" si="46">IF(T$12=0,0,T218/T$12)</f>
        <v>4.1835548028582121E-3</v>
      </c>
      <c r="W218" s="1"/>
      <c r="X218" s="1">
        <f t="shared" ref="X218:X222" si="47">+P218-T218</f>
        <v>-5832.7799999999988</v>
      </c>
      <c r="Y218" s="1"/>
      <c r="Z218" s="5">
        <f t="shared" ref="Z218:Z222" si="48">IF(T218=0,0,X218/T218)</f>
        <v>-8.748796863813757E-2</v>
      </c>
    </row>
    <row r="219" spans="1:26" s="24" customFormat="1" hidden="1" outlineLevel="2" x14ac:dyDescent="0.25">
      <c r="A219" s="26"/>
      <c r="B219" s="11" t="str">
        <f>CONCATENATE("          ", "6362", " - ", "ADVERTISING EXPENSE")</f>
        <v xml:space="preserve">          6362 - ADVERTISING EXPENSE</v>
      </c>
      <c r="C219" s="11"/>
      <c r="D219" s="6">
        <v>20359.849999999999</v>
      </c>
      <c r="E219" s="2"/>
      <c r="F219" s="7">
        <f t="shared" si="41"/>
        <v>7.7208168757246188E-3</v>
      </c>
      <c r="G219" s="2"/>
      <c r="H219" s="6">
        <v>24214.54</v>
      </c>
      <c r="I219" s="2"/>
      <c r="J219" s="7">
        <f t="shared" si="42"/>
        <v>1.0993431314762233E-2</v>
      </c>
      <c r="K219" s="2"/>
      <c r="L219" s="6">
        <f t="shared" si="43"/>
        <v>-3854.6900000000023</v>
      </c>
      <c r="M219" s="2"/>
      <c r="N219" s="7">
        <f t="shared" si="44"/>
        <v>-0.15918906574314451</v>
      </c>
      <c r="O219" s="11"/>
      <c r="P219" s="6">
        <v>60836.729999999996</v>
      </c>
      <c r="Q219" s="2"/>
      <c r="R219" s="7">
        <f t="shared" si="45"/>
        <v>3.779991323148824E-3</v>
      </c>
      <c r="S219" s="2"/>
      <c r="T219" s="6">
        <v>66669.509999999995</v>
      </c>
      <c r="U219" s="2"/>
      <c r="V219" s="7">
        <f t="shared" si="46"/>
        <v>4.1835548028582121E-3</v>
      </c>
      <c r="W219" s="2"/>
      <c r="X219" s="6">
        <f t="shared" si="47"/>
        <v>-5832.7799999999988</v>
      </c>
      <c r="Y219" s="2"/>
      <c r="Z219" s="7">
        <f t="shared" si="48"/>
        <v>-8.748796863813757E-2</v>
      </c>
    </row>
    <row r="220" spans="1:26" s="25" customFormat="1" outlineLevel="1" collapsed="1" x14ac:dyDescent="0.25">
      <c r="A220" s="27"/>
      <c r="B220" s="13" t="str">
        <f>CONCATENATE("     ","Bad Debts/Over/Short                              ")</f>
        <v xml:space="preserve">     Bad Debts/Over/Short                              </v>
      </c>
      <c r="C220" s="13"/>
      <c r="D220" s="1">
        <f>SUM(OSRRefD22_3x_0)</f>
        <v>94.49</v>
      </c>
      <c r="E220" s="1"/>
      <c r="F220" s="5">
        <f t="shared" si="41"/>
        <v>3.5832286907183461E-5</v>
      </c>
      <c r="G220" s="1"/>
      <c r="H220" s="1">
        <f>SUM(OSRRefH22_3x_0)</f>
        <v>26.96</v>
      </c>
      <c r="I220" s="1"/>
      <c r="J220" s="5">
        <f t="shared" si="42"/>
        <v>1.2239873573728421E-5</v>
      </c>
      <c r="K220" s="1"/>
      <c r="L220" s="1">
        <f t="shared" si="43"/>
        <v>67.53</v>
      </c>
      <c r="M220" s="1"/>
      <c r="N220" s="5">
        <f t="shared" si="44"/>
        <v>2.5048219584569731</v>
      </c>
      <c r="O220" s="13"/>
      <c r="P220" s="1">
        <f>SUM(OSRRefP22_3x_0)</f>
        <v>-174.35000000000002</v>
      </c>
      <c r="Q220" s="1"/>
      <c r="R220" s="5">
        <f t="shared" si="45"/>
        <v>-1.083295382889576E-5</v>
      </c>
      <c r="S220" s="1"/>
      <c r="T220" s="1">
        <f>SUM(OSRRefT22_3x_0)</f>
        <v>267.85000000000002</v>
      </c>
      <c r="U220" s="1"/>
      <c r="V220" s="5">
        <f t="shared" si="46"/>
        <v>1.6807760458200043E-5</v>
      </c>
      <c r="W220" s="1"/>
      <c r="X220" s="1">
        <f t="shared" si="47"/>
        <v>-442.20000000000005</v>
      </c>
      <c r="Y220" s="1"/>
      <c r="Z220" s="5">
        <f t="shared" si="48"/>
        <v>-1.6509240246406571</v>
      </c>
    </row>
    <row r="221" spans="1:26" s="24" customFormat="1" hidden="1" outlineLevel="2" x14ac:dyDescent="0.25">
      <c r="A221" s="26"/>
      <c r="B221" s="11" t="str">
        <f>CONCATENATE("          ", "6272", " - ", "CASH (OVER/SHORT)")</f>
        <v xml:space="preserve">          6272 - CASH (OVER/SHORT)</v>
      </c>
      <c r="C221" s="11"/>
      <c r="D221" s="6">
        <v>94.49</v>
      </c>
      <c r="E221" s="2"/>
      <c r="F221" s="7">
        <f t="shared" si="41"/>
        <v>3.5832286907183461E-5</v>
      </c>
      <c r="G221" s="2"/>
      <c r="H221" s="6">
        <v>26.96</v>
      </c>
      <c r="I221" s="2"/>
      <c r="J221" s="7">
        <f t="shared" si="42"/>
        <v>1.2239873573728421E-5</v>
      </c>
      <c r="K221" s="2"/>
      <c r="L221" s="6">
        <f t="shared" si="43"/>
        <v>67.53</v>
      </c>
      <c r="M221" s="2"/>
      <c r="N221" s="7">
        <f t="shared" si="44"/>
        <v>2.5048219584569731</v>
      </c>
      <c r="O221" s="11"/>
      <c r="P221" s="6">
        <v>-219.15</v>
      </c>
      <c r="Q221" s="2"/>
      <c r="R221" s="7">
        <f t="shared" si="45"/>
        <v>-1.3616529002595387E-5</v>
      </c>
      <c r="S221" s="2"/>
      <c r="T221" s="6">
        <v>267.85000000000002</v>
      </c>
      <c r="U221" s="2"/>
      <c r="V221" s="7">
        <f t="shared" si="46"/>
        <v>1.6807760458200043E-5</v>
      </c>
      <c r="W221" s="2"/>
      <c r="X221" s="6">
        <f t="shared" si="47"/>
        <v>-487</v>
      </c>
      <c r="Y221" s="2"/>
      <c r="Z221" s="7">
        <f t="shared" si="48"/>
        <v>-1.8181818181818181</v>
      </c>
    </row>
    <row r="222" spans="1:26" s="24" customFormat="1" hidden="1" outlineLevel="2" x14ac:dyDescent="0.25">
      <c r="A222" s="26"/>
      <c r="B222" s="11" t="str">
        <f>CONCATENATE("          ", "6342", " - ", "BAD DEBT")</f>
        <v xml:space="preserve">          6342 - BAD DEBT</v>
      </c>
      <c r="C222" s="11"/>
      <c r="D222" s="6"/>
      <c r="E222" s="2"/>
      <c r="F222" s="7">
        <f t="shared" si="41"/>
        <v>0</v>
      </c>
      <c r="G222" s="2"/>
      <c r="H222" s="6"/>
      <c r="I222" s="2"/>
      <c r="J222" s="7">
        <f t="shared" si="42"/>
        <v>0</v>
      </c>
      <c r="K222" s="2"/>
      <c r="L222" s="6">
        <f t="shared" si="43"/>
        <v>0</v>
      </c>
      <c r="M222" s="2"/>
      <c r="N222" s="7">
        <f t="shared" si="44"/>
        <v>0</v>
      </c>
      <c r="O222" s="11"/>
      <c r="P222" s="6">
        <v>44.8</v>
      </c>
      <c r="Q222" s="2"/>
      <c r="R222" s="7">
        <f t="shared" si="45"/>
        <v>2.7835751736996271E-6</v>
      </c>
      <c r="S222" s="2"/>
      <c r="T222" s="6"/>
      <c r="U222" s="2"/>
      <c r="V222" s="7">
        <f t="shared" si="46"/>
        <v>0</v>
      </c>
      <c r="W222" s="2"/>
      <c r="X222" s="6">
        <f t="shared" si="47"/>
        <v>44.8</v>
      </c>
      <c r="Y222" s="2"/>
      <c r="Z222" s="7">
        <f t="shared" si="48"/>
        <v>0</v>
      </c>
    </row>
    <row r="223" spans="1:26" s="25" customFormat="1" outlineLevel="1" collapsed="1" x14ac:dyDescent="0.25">
      <c r="A223" s="27"/>
      <c r="B223" s="13" t="str">
        <f>CONCATENATE("     ","Bank/card Fees                                    ")</f>
        <v xml:space="preserve">     Bank/card Fees                                    </v>
      </c>
      <c r="C223" s="13"/>
      <c r="D223" s="1">
        <f>SUM(OSRRefD22_4x_0)</f>
        <v>41057.879999999997</v>
      </c>
      <c r="E223" s="1"/>
      <c r="F223" s="5">
        <f t="shared" ref="F223:F228" si="49">IF(D$12=0,0,D223/D$12)</f>
        <v>1.55698776162632E-2</v>
      </c>
      <c r="G223" s="1"/>
      <c r="H223" s="1">
        <f>SUM(OSRRefH22_4x_0)</f>
        <v>36816.43</v>
      </c>
      <c r="I223" s="1"/>
      <c r="J223" s="5">
        <f t="shared" ref="J223:J228" si="50">IF(H$12=0,0,H223/H$12)</f>
        <v>1.6714705068101715E-2</v>
      </c>
      <c r="K223" s="1"/>
      <c r="L223" s="1">
        <f t="shared" ref="L223:L228" si="51">+D223-H223</f>
        <v>4241.4499999999971</v>
      </c>
      <c r="M223" s="1"/>
      <c r="N223" s="5">
        <f t="shared" ref="N223:N228" si="52">IF(H223=0,0,L223/H223)</f>
        <v>0.11520535804259123</v>
      </c>
      <c r="O223" s="13"/>
      <c r="P223" s="1">
        <f>SUM(OSRRefP22_4x_0)</f>
        <v>223333.54</v>
      </c>
      <c r="Q223" s="1"/>
      <c r="R223" s="5">
        <f t="shared" ref="R223:R228" si="53">IF(P$12=0,0,P223/P$12)</f>
        <v>1.3876466459786891E-2</v>
      </c>
      <c r="S223" s="1"/>
      <c r="T223" s="1">
        <f>SUM(OSRRefT22_4x_0)</f>
        <v>213294.64</v>
      </c>
      <c r="U223" s="1"/>
      <c r="V223" s="5">
        <f t="shared" ref="V223:V228" si="54">IF(T$12=0,0,T223/T$12)</f>
        <v>1.3384376390285658E-2</v>
      </c>
      <c r="W223" s="1"/>
      <c r="X223" s="1">
        <f t="shared" ref="X223:X228" si="55">+P223-T223</f>
        <v>10038.899999999994</v>
      </c>
      <c r="Y223" s="1"/>
      <c r="Z223" s="5">
        <f t="shared" ref="Z223:Z228" si="56">IF(T223=0,0,X223/T223)</f>
        <v>4.7065880324043741E-2</v>
      </c>
    </row>
    <row r="224" spans="1:26" s="24" customFormat="1" hidden="1" outlineLevel="2" x14ac:dyDescent="0.25">
      <c r="A224" s="26"/>
      <c r="B224" s="11" t="str">
        <f>CONCATENATE("          ", "6381", " - ", "BANK/CREDIT CARD FEES")</f>
        <v xml:space="preserve">          6381 - BANK/CREDIT CARD FEES</v>
      </c>
      <c r="C224" s="11"/>
      <c r="D224" s="6">
        <v>41057.879999999997</v>
      </c>
      <c r="E224" s="2"/>
      <c r="F224" s="7">
        <f t="shared" si="49"/>
        <v>1.55698776162632E-2</v>
      </c>
      <c r="G224" s="2"/>
      <c r="H224" s="6">
        <v>36816.43</v>
      </c>
      <c r="I224" s="2"/>
      <c r="J224" s="7">
        <f t="shared" si="50"/>
        <v>1.6714705068101715E-2</v>
      </c>
      <c r="K224" s="2"/>
      <c r="L224" s="6">
        <f t="shared" si="51"/>
        <v>4241.4499999999971</v>
      </c>
      <c r="M224" s="2"/>
      <c r="N224" s="7">
        <f t="shared" si="52"/>
        <v>0.11520535804259123</v>
      </c>
      <c r="O224" s="11"/>
      <c r="P224" s="6">
        <v>223333.54</v>
      </c>
      <c r="Q224" s="2"/>
      <c r="R224" s="7">
        <f t="shared" si="53"/>
        <v>1.3876466459786891E-2</v>
      </c>
      <c r="S224" s="2"/>
      <c r="T224" s="6">
        <v>213294.64</v>
      </c>
      <c r="U224" s="2"/>
      <c r="V224" s="7">
        <f t="shared" si="54"/>
        <v>1.3384376390285658E-2</v>
      </c>
      <c r="W224" s="2"/>
      <c r="X224" s="6">
        <f t="shared" si="55"/>
        <v>10038.899999999994</v>
      </c>
      <c r="Y224" s="2"/>
      <c r="Z224" s="7">
        <f t="shared" si="56"/>
        <v>4.7065880324043741E-2</v>
      </c>
    </row>
    <row r="225" spans="1:26" s="25" customFormat="1" outlineLevel="1" collapsed="1" x14ac:dyDescent="0.25">
      <c r="A225" s="27"/>
      <c r="B225" s="13" t="str">
        <f>CONCATENATE("     ","Depreciation                                      ")</f>
        <v xml:space="preserve">     Depreciation                                      </v>
      </c>
      <c r="C225" s="13"/>
      <c r="D225" s="1">
        <f>SUM(OSRRefD22_5x_0)</f>
        <v>77862.400000000009</v>
      </c>
      <c r="E225" s="1"/>
      <c r="F225" s="5">
        <f t="shared" si="49"/>
        <v>2.9526805546426949E-2</v>
      </c>
      <c r="G225" s="1"/>
      <c r="H225" s="1">
        <f>SUM(OSRRefH22_5x_0)</f>
        <v>73419.179999999993</v>
      </c>
      <c r="I225" s="1"/>
      <c r="J225" s="5">
        <f t="shared" si="50"/>
        <v>3.3332399150104233E-2</v>
      </c>
      <c r="K225" s="1"/>
      <c r="L225" s="1">
        <f t="shared" si="51"/>
        <v>4443.2200000000157</v>
      </c>
      <c r="M225" s="1"/>
      <c r="N225" s="5">
        <f t="shared" si="52"/>
        <v>6.051851845798354E-2</v>
      </c>
      <c r="O225" s="13"/>
      <c r="P225" s="1">
        <f>SUM(OSRRefP22_5x_0)</f>
        <v>389312</v>
      </c>
      <c r="Q225" s="1"/>
      <c r="R225" s="5">
        <f t="shared" si="53"/>
        <v>2.4189268259449764E-2</v>
      </c>
      <c r="S225" s="1"/>
      <c r="T225" s="1">
        <f>SUM(OSRRefT22_5x_0)</f>
        <v>386069.76000000001</v>
      </c>
      <c r="U225" s="1"/>
      <c r="V225" s="5">
        <f t="shared" si="54"/>
        <v>2.4226126735989475E-2</v>
      </c>
      <c r="W225" s="1"/>
      <c r="X225" s="1">
        <f t="shared" si="55"/>
        <v>3242.2399999999907</v>
      </c>
      <c r="Y225" s="1"/>
      <c r="Z225" s="5">
        <f t="shared" si="56"/>
        <v>8.3980677481706682E-3</v>
      </c>
    </row>
    <row r="226" spans="1:26" s="24" customFormat="1" hidden="1" outlineLevel="2" x14ac:dyDescent="0.25">
      <c r="A226" s="26"/>
      <c r="B226" s="11" t="str">
        <f>CONCATENATE("          ", "6321", " - ", "BUILDING DEPRECIATION")</f>
        <v xml:space="preserve">          6321 - BUILDING DEPRECIATION</v>
      </c>
      <c r="C226" s="11"/>
      <c r="D226" s="6">
        <v>45519.990000000005</v>
      </c>
      <c r="E226" s="2"/>
      <c r="F226" s="7">
        <f t="shared" si="49"/>
        <v>1.7261989011452244E-2</v>
      </c>
      <c r="G226" s="2"/>
      <c r="H226" s="6">
        <v>43050.400000000001</v>
      </c>
      <c r="I226" s="2"/>
      <c r="J226" s="7">
        <f t="shared" si="50"/>
        <v>1.9544935211366396E-2</v>
      </c>
      <c r="K226" s="2"/>
      <c r="L226" s="6">
        <f t="shared" si="51"/>
        <v>2469.5900000000038</v>
      </c>
      <c r="M226" s="2"/>
      <c r="N226" s="7">
        <f t="shared" si="52"/>
        <v>5.7365088361548411E-2</v>
      </c>
      <c r="O226" s="11"/>
      <c r="P226" s="6">
        <v>227599.94999999998</v>
      </c>
      <c r="Q226" s="2"/>
      <c r="R226" s="7">
        <f t="shared" si="53"/>
        <v>1.4141552909715992E-2</v>
      </c>
      <c r="S226" s="2"/>
      <c r="T226" s="6">
        <v>234225.86000000002</v>
      </c>
      <c r="U226" s="2"/>
      <c r="V226" s="7">
        <f t="shared" si="54"/>
        <v>1.4697823961156988E-2</v>
      </c>
      <c r="W226" s="2"/>
      <c r="X226" s="6">
        <f t="shared" si="55"/>
        <v>-6625.9100000000326</v>
      </c>
      <c r="Y226" s="2"/>
      <c r="Z226" s="7">
        <f t="shared" si="56"/>
        <v>-2.8288550205344671E-2</v>
      </c>
    </row>
    <row r="227" spans="1:26" s="24" customFormat="1" hidden="1" outlineLevel="2" x14ac:dyDescent="0.25">
      <c r="A227" s="26"/>
      <c r="B227" s="11" t="str">
        <f>CONCATENATE("          ", "6322", " - ", "EQUIPMENT DEPRECIATION EXPENSE")</f>
        <v xml:space="preserve">          6322 - EQUIPMENT DEPRECIATION EXPENSE</v>
      </c>
      <c r="C227" s="11"/>
      <c r="D227" s="6">
        <v>31918.16</v>
      </c>
      <c r="E227" s="2"/>
      <c r="F227" s="7">
        <f t="shared" si="49"/>
        <v>1.2103933396860906E-2</v>
      </c>
      <c r="G227" s="2"/>
      <c r="H227" s="6">
        <v>29944.53</v>
      </c>
      <c r="I227" s="2"/>
      <c r="J227" s="7">
        <f t="shared" si="50"/>
        <v>1.3594853910412385E-2</v>
      </c>
      <c r="K227" s="2"/>
      <c r="L227" s="6">
        <f t="shared" si="51"/>
        <v>1973.630000000001</v>
      </c>
      <c r="M227" s="2"/>
      <c r="N227" s="7">
        <f t="shared" si="52"/>
        <v>6.5909533393912048E-2</v>
      </c>
      <c r="O227" s="11"/>
      <c r="P227" s="6">
        <v>159590.79999999999</v>
      </c>
      <c r="Q227" s="2"/>
      <c r="R227" s="7">
        <f t="shared" si="53"/>
        <v>9.9159149292603228E-3</v>
      </c>
      <c r="S227" s="2"/>
      <c r="T227" s="6">
        <v>149722.65</v>
      </c>
      <c r="U227" s="2"/>
      <c r="V227" s="7">
        <f t="shared" si="54"/>
        <v>9.3951929675823199E-3</v>
      </c>
      <c r="W227" s="2"/>
      <c r="X227" s="6">
        <f t="shared" si="55"/>
        <v>9868.1499999999942</v>
      </c>
      <c r="Y227" s="2"/>
      <c r="Z227" s="7">
        <f t="shared" si="56"/>
        <v>6.5909533393911979E-2</v>
      </c>
    </row>
    <row r="228" spans="1:26" s="24" customFormat="1" hidden="1" outlineLevel="2" x14ac:dyDescent="0.25">
      <c r="A228" s="26"/>
      <c r="B228" s="11" t="str">
        <f>CONCATENATE("          ", "6326", " - ", "VEHICLES DEPRECIATION EXPENSE")</f>
        <v xml:space="preserve">          6326 - VEHICLES DEPRECIATION EXPENSE</v>
      </c>
      <c r="C228" s="11"/>
      <c r="D228" s="6">
        <v>424.25</v>
      </c>
      <c r="E228" s="2"/>
      <c r="F228" s="7">
        <f t="shared" si="49"/>
        <v>1.6088313811379602E-4</v>
      </c>
      <c r="G228" s="2"/>
      <c r="H228" s="6">
        <v>424.25</v>
      </c>
      <c r="I228" s="2"/>
      <c r="J228" s="7">
        <f t="shared" si="50"/>
        <v>1.9261002832545557E-4</v>
      </c>
      <c r="K228" s="2"/>
      <c r="L228" s="6">
        <f t="shared" si="51"/>
        <v>0</v>
      </c>
      <c r="M228" s="2"/>
      <c r="N228" s="7">
        <f t="shared" si="52"/>
        <v>0</v>
      </c>
      <c r="O228" s="11"/>
      <c r="P228" s="6">
        <v>2121.25</v>
      </c>
      <c r="Q228" s="2"/>
      <c r="R228" s="7">
        <f t="shared" si="53"/>
        <v>1.3180042047344497E-4</v>
      </c>
      <c r="S228" s="2"/>
      <c r="T228" s="6">
        <v>2121.25</v>
      </c>
      <c r="U228" s="2"/>
      <c r="V228" s="7">
        <f t="shared" si="54"/>
        <v>1.3310980725016555E-4</v>
      </c>
      <c r="W228" s="2"/>
      <c r="X228" s="6">
        <f t="shared" si="55"/>
        <v>0</v>
      </c>
      <c r="Y228" s="2"/>
      <c r="Z228" s="7">
        <f t="shared" si="56"/>
        <v>0</v>
      </c>
    </row>
    <row r="229" spans="1:26" s="25" customFormat="1" outlineLevel="1" collapsed="1" x14ac:dyDescent="0.25">
      <c r="A229" s="27"/>
      <c r="B229" s="13" t="str">
        <f>CONCATENATE("     ","Discounts and Markdowns                           ")</f>
        <v xml:space="preserve">     Discounts and Markdowns                           </v>
      </c>
      <c r="C229" s="13"/>
      <c r="D229" s="1">
        <f>SUM(OSRRefD22_6x_0)</f>
        <v>29053.77</v>
      </c>
      <c r="E229" s="1"/>
      <c r="F229" s="5">
        <f t="shared" ref="F229:F231" si="57">IF(D$12=0,0,D229/D$12)</f>
        <v>1.1017705814110698E-2</v>
      </c>
      <c r="G229" s="1"/>
      <c r="H229" s="1">
        <f>SUM(OSRRefH22_6x_0)</f>
        <v>36814.689999999995</v>
      </c>
      <c r="I229" s="1"/>
      <c r="J229" s="5">
        <f t="shared" ref="J229:J231" si="58">IF(H$12=0,0,H229/H$12)</f>
        <v>1.6713915105934864E-2</v>
      </c>
      <c r="K229" s="1"/>
      <c r="L229" s="1">
        <f t="shared" ref="L229:L231" si="59">+D229-H229</f>
        <v>-7760.9199999999946</v>
      </c>
      <c r="M229" s="1"/>
      <c r="N229" s="5">
        <f t="shared" ref="N229:N231" si="60">IF(H229=0,0,L229/H229)</f>
        <v>-0.21081041290854263</v>
      </c>
      <c r="O229" s="13"/>
      <c r="P229" s="1">
        <f>SUM(OSRRefP22_6x_0)</f>
        <v>195281.84999999998</v>
      </c>
      <c r="Q229" s="1"/>
      <c r="R229" s="5">
        <f t="shared" ref="R229:R231" si="61">IF(P$12=0,0,P229/P$12)</f>
        <v>1.2133520302101217E-2</v>
      </c>
      <c r="S229" s="1"/>
      <c r="T229" s="1">
        <f>SUM(OSRRefT22_6x_0)</f>
        <v>201332.77000000002</v>
      </c>
      <c r="U229" s="1"/>
      <c r="V229" s="5">
        <f t="shared" ref="V229:V231" si="62">IF(T$12=0,0,T229/T$12)</f>
        <v>1.2633761323673266E-2</v>
      </c>
      <c r="W229" s="1"/>
      <c r="X229" s="1">
        <f t="shared" ref="X229:X231" si="63">+P229-T229</f>
        <v>-6050.9200000000419</v>
      </c>
      <c r="Y229" s="1"/>
      <c r="Z229" s="5">
        <f t="shared" ref="Z229:Z231" si="64">IF(T229=0,0,X229/T229)</f>
        <v>-3.0054322502988666E-2</v>
      </c>
    </row>
    <row r="230" spans="1:26" s="24" customFormat="1" hidden="1" outlineLevel="2" x14ac:dyDescent="0.25">
      <c r="A230" s="26"/>
      <c r="B230" s="11" t="str">
        <f>CONCATENATE("          ", "6382", " - ", "DISCOUNTS/MARK DOWNS")</f>
        <v xml:space="preserve">          6382 - DISCOUNTS/MARK DOWNS</v>
      </c>
      <c r="C230" s="11"/>
      <c r="D230" s="6">
        <v>29301.27</v>
      </c>
      <c r="E230" s="2"/>
      <c r="F230" s="7">
        <f t="shared" si="57"/>
        <v>1.1111562211713914E-2</v>
      </c>
      <c r="G230" s="2"/>
      <c r="H230" s="6">
        <v>36966.659999999996</v>
      </c>
      <c r="I230" s="2"/>
      <c r="J230" s="7">
        <f t="shared" si="58"/>
        <v>1.6782909675185587E-2</v>
      </c>
      <c r="K230" s="2"/>
      <c r="L230" s="6">
        <f t="shared" si="59"/>
        <v>-7665.3899999999958</v>
      </c>
      <c r="M230" s="2"/>
      <c r="N230" s="7">
        <f t="shared" si="60"/>
        <v>-0.20735955047061316</v>
      </c>
      <c r="O230" s="11"/>
      <c r="P230" s="6">
        <v>197647.09999999998</v>
      </c>
      <c r="Q230" s="2"/>
      <c r="R230" s="7">
        <f t="shared" si="61"/>
        <v>1.2280481265931419E-2</v>
      </c>
      <c r="S230" s="2"/>
      <c r="T230" s="6">
        <v>204011.76</v>
      </c>
      <c r="U230" s="2"/>
      <c r="V230" s="7">
        <f t="shared" si="62"/>
        <v>1.2801869676071671E-2</v>
      </c>
      <c r="W230" s="2"/>
      <c r="X230" s="6">
        <f t="shared" si="63"/>
        <v>-6364.6600000000326</v>
      </c>
      <c r="Y230" s="2"/>
      <c r="Z230" s="7">
        <f t="shared" si="64"/>
        <v>-3.1197515280491833E-2</v>
      </c>
    </row>
    <row r="231" spans="1:26" s="24" customFormat="1" hidden="1" outlineLevel="2" x14ac:dyDescent="0.25">
      <c r="A231" s="26"/>
      <c r="B231" s="11" t="str">
        <f>CONCATENATE("          ", "9175", " - ", "EARNED DISCOUNTS")</f>
        <v xml:space="preserve">          9175 - EARNED DISCOUNTS</v>
      </c>
      <c r="C231" s="11"/>
      <c r="D231" s="6">
        <v>-247.5</v>
      </c>
      <c r="E231" s="2"/>
      <c r="F231" s="7">
        <f t="shared" si="57"/>
        <v>-9.3856397603216292E-5</v>
      </c>
      <c r="G231" s="2"/>
      <c r="H231" s="6">
        <v>-151.97</v>
      </c>
      <c r="I231" s="2"/>
      <c r="J231" s="7">
        <f t="shared" si="58"/>
        <v>-6.8994569250723596E-5</v>
      </c>
      <c r="K231" s="2"/>
      <c r="L231" s="6">
        <f t="shared" si="59"/>
        <v>-95.53</v>
      </c>
      <c r="M231" s="2"/>
      <c r="N231" s="7">
        <f t="shared" si="60"/>
        <v>0.62861091004803582</v>
      </c>
      <c r="O231" s="11"/>
      <c r="P231" s="6">
        <v>-2365.25</v>
      </c>
      <c r="Q231" s="2"/>
      <c r="R231" s="7">
        <f t="shared" si="61"/>
        <v>-1.4696096383020186E-4</v>
      </c>
      <c r="S231" s="2"/>
      <c r="T231" s="6">
        <v>-2678.99</v>
      </c>
      <c r="U231" s="2"/>
      <c r="V231" s="7">
        <f t="shared" si="62"/>
        <v>-1.6810835239840704E-4</v>
      </c>
      <c r="W231" s="2"/>
      <c r="X231" s="6">
        <f t="shared" si="63"/>
        <v>313.73999999999978</v>
      </c>
      <c r="Y231" s="2"/>
      <c r="Z231" s="7">
        <f t="shared" si="64"/>
        <v>-0.1171112994076125</v>
      </c>
    </row>
    <row r="232" spans="1:26" s="25" customFormat="1" outlineLevel="1" collapsed="1" x14ac:dyDescent="0.25">
      <c r="A232" s="27"/>
      <c r="B232" s="13" t="str">
        <f>CONCATENATE("     ","Donations                                         ")</f>
        <v xml:space="preserve">     Donations                                         </v>
      </c>
      <c r="C232" s="13"/>
      <c r="D232" s="1">
        <f>SUM(OSRRefD22_7x_0)</f>
        <v>19543.89</v>
      </c>
      <c r="E232" s="1"/>
      <c r="F232" s="5">
        <f t="shared" ref="F232:F240" si="65">IF(D$12=0,0,D232/D$12)</f>
        <v>7.4113903456707996E-3</v>
      </c>
      <c r="G232" s="1"/>
      <c r="H232" s="1">
        <f>SUM(OSRRefH22_7x_0)</f>
        <v>12064.02</v>
      </c>
      <c r="I232" s="1"/>
      <c r="J232" s="5">
        <f t="shared" ref="J232:J240" si="66">IF(H$12=0,0,H232/H$12)</f>
        <v>5.4770801035211852E-3</v>
      </c>
      <c r="K232" s="1"/>
      <c r="L232" s="1">
        <f t="shared" ref="L232:L240" si="67">+D232-H232</f>
        <v>7479.869999999999</v>
      </c>
      <c r="M232" s="1"/>
      <c r="N232" s="5">
        <f t="shared" ref="N232:N240" si="68">IF(H232=0,0,L232/H232)</f>
        <v>0.62001472146100545</v>
      </c>
      <c r="O232" s="13"/>
      <c r="P232" s="1">
        <f>SUM(OSRRefP22_7x_0)</f>
        <v>76054.8</v>
      </c>
      <c r="Q232" s="1"/>
      <c r="R232" s="5">
        <f t="shared" ref="R232:R240" si="69">IF(P$12=0,0,P232/P$12)</f>
        <v>4.7255413643011255E-3</v>
      </c>
      <c r="S232" s="1"/>
      <c r="T232" s="1">
        <f>SUM(OSRRefT22_7x_0)</f>
        <v>61946.27</v>
      </c>
      <c r="U232" s="1"/>
      <c r="V232" s="5">
        <f t="shared" ref="V232:V240" si="70">IF(T$12=0,0,T232/T$12)</f>
        <v>3.8871684429306833E-3</v>
      </c>
      <c r="W232" s="1"/>
      <c r="X232" s="1">
        <f t="shared" ref="X232:X240" si="71">+P232-T232</f>
        <v>14108.530000000006</v>
      </c>
      <c r="Y232" s="1"/>
      <c r="Z232" s="5">
        <f t="shared" ref="Z232:Z240" si="72">IF(T232=0,0,X232/T232)</f>
        <v>0.22775431030794924</v>
      </c>
    </row>
    <row r="233" spans="1:26" s="24" customFormat="1" hidden="1" outlineLevel="2" x14ac:dyDescent="0.25">
      <c r="A233" s="26"/>
      <c r="B233" s="11" t="str">
        <f>CONCATENATE("          ", "6399", " - ", "DONATION-ON CAMPUS")</f>
        <v xml:space="preserve">          6399 - DONATION-ON CAMPUS</v>
      </c>
      <c r="C233" s="11"/>
      <c r="D233" s="6">
        <v>19543.89</v>
      </c>
      <c r="E233" s="2"/>
      <c r="F233" s="7">
        <f t="shared" si="65"/>
        <v>7.4113903456707996E-3</v>
      </c>
      <c r="G233" s="2"/>
      <c r="H233" s="6">
        <v>12064.02</v>
      </c>
      <c r="I233" s="2"/>
      <c r="J233" s="7">
        <f t="shared" si="66"/>
        <v>5.4770801035211852E-3</v>
      </c>
      <c r="K233" s="2"/>
      <c r="L233" s="6">
        <f t="shared" si="67"/>
        <v>7479.869999999999</v>
      </c>
      <c r="M233" s="2"/>
      <c r="N233" s="7">
        <f t="shared" si="68"/>
        <v>0.62001472146100545</v>
      </c>
      <c r="O233" s="11"/>
      <c r="P233" s="6">
        <v>76054.8</v>
      </c>
      <c r="Q233" s="2"/>
      <c r="R233" s="7">
        <f t="shared" si="69"/>
        <v>4.7255413643011255E-3</v>
      </c>
      <c r="S233" s="2"/>
      <c r="T233" s="6">
        <v>61946.27</v>
      </c>
      <c r="U233" s="2"/>
      <c r="V233" s="7">
        <f t="shared" si="70"/>
        <v>3.8871684429306833E-3</v>
      </c>
      <c r="W233" s="2"/>
      <c r="X233" s="6">
        <f t="shared" si="71"/>
        <v>14108.530000000006</v>
      </c>
      <c r="Y233" s="2"/>
      <c r="Z233" s="7">
        <f t="shared" si="72"/>
        <v>0.22775431030794924</v>
      </c>
    </row>
    <row r="234" spans="1:26" s="25" customFormat="1" outlineLevel="1" collapsed="1" x14ac:dyDescent="0.25">
      <c r="A234" s="27"/>
      <c r="B234" s="13" t="str">
        <f>CONCATENATE("     ","Employees' Appreciation                           ")</f>
        <v xml:space="preserve">     Employees' Appreciation                           </v>
      </c>
      <c r="C234" s="13"/>
      <c r="D234" s="1">
        <f>SUM(OSRRefD22_8x_0)</f>
        <v>1097.23</v>
      </c>
      <c r="E234" s="1"/>
      <c r="F234" s="5">
        <f t="shared" si="65"/>
        <v>4.160891116855637E-4</v>
      </c>
      <c r="G234" s="1"/>
      <c r="H234" s="1">
        <f>SUM(OSRRefH22_8x_0)</f>
        <v>998.7</v>
      </c>
      <c r="I234" s="1"/>
      <c r="J234" s="5">
        <f t="shared" si="66"/>
        <v>4.5341104369742488E-4</v>
      </c>
      <c r="K234" s="1"/>
      <c r="L234" s="1">
        <f t="shared" si="67"/>
        <v>98.529999999999973</v>
      </c>
      <c r="M234" s="1"/>
      <c r="N234" s="5">
        <f t="shared" si="68"/>
        <v>9.8658255732452155E-2</v>
      </c>
      <c r="O234" s="13"/>
      <c r="P234" s="1">
        <f>SUM(OSRRefP22_8x_0)</f>
        <v>3175.38</v>
      </c>
      <c r="Q234" s="1"/>
      <c r="R234" s="5">
        <f t="shared" si="69"/>
        <v>1.9729707444335543E-4</v>
      </c>
      <c r="S234" s="1"/>
      <c r="T234" s="1">
        <f>SUM(OSRRefT22_8x_0)</f>
        <v>4575.6000000000004</v>
      </c>
      <c r="U234" s="1"/>
      <c r="V234" s="5">
        <f t="shared" si="70"/>
        <v>2.8712185459227226E-4</v>
      </c>
      <c r="W234" s="1"/>
      <c r="X234" s="1">
        <f t="shared" si="71"/>
        <v>-1400.2200000000003</v>
      </c>
      <c r="Y234" s="1"/>
      <c r="Z234" s="5">
        <f t="shared" si="72"/>
        <v>-0.30601888276947287</v>
      </c>
    </row>
    <row r="235" spans="1:26" s="24" customFormat="1" hidden="1" outlineLevel="2" x14ac:dyDescent="0.25">
      <c r="A235" s="26"/>
      <c r="B235" s="11" t="str">
        <f>CONCATENATE("          ", "6277", " - ", "EMPLOYEE APPRECIATION")</f>
        <v xml:space="preserve">          6277 - EMPLOYEE APPRECIATION</v>
      </c>
      <c r="C235" s="11"/>
      <c r="D235" s="6">
        <v>1097.23</v>
      </c>
      <c r="E235" s="2"/>
      <c r="F235" s="7">
        <f t="shared" si="65"/>
        <v>4.160891116855637E-4</v>
      </c>
      <c r="G235" s="2"/>
      <c r="H235" s="6">
        <v>998.7</v>
      </c>
      <c r="I235" s="2"/>
      <c r="J235" s="7">
        <f t="shared" si="66"/>
        <v>4.5341104369742488E-4</v>
      </c>
      <c r="K235" s="2"/>
      <c r="L235" s="6">
        <f t="shared" si="67"/>
        <v>98.529999999999973</v>
      </c>
      <c r="M235" s="2"/>
      <c r="N235" s="7">
        <f t="shared" si="68"/>
        <v>9.8658255732452155E-2</v>
      </c>
      <c r="O235" s="11"/>
      <c r="P235" s="6">
        <v>3175.38</v>
      </c>
      <c r="Q235" s="2"/>
      <c r="R235" s="7">
        <f t="shared" si="69"/>
        <v>1.9729707444335543E-4</v>
      </c>
      <c r="S235" s="2"/>
      <c r="T235" s="6">
        <v>4575.6000000000004</v>
      </c>
      <c r="U235" s="2"/>
      <c r="V235" s="7">
        <f t="shared" si="70"/>
        <v>2.8712185459227226E-4</v>
      </c>
      <c r="W235" s="2"/>
      <c r="X235" s="6">
        <f t="shared" si="71"/>
        <v>-1400.2200000000003</v>
      </c>
      <c r="Y235" s="2"/>
      <c r="Z235" s="7">
        <f t="shared" si="72"/>
        <v>-0.30601888276947287</v>
      </c>
    </row>
    <row r="236" spans="1:26" s="25" customFormat="1" outlineLevel="1" collapsed="1" x14ac:dyDescent="0.25">
      <c r="A236" s="27"/>
      <c r="B236" s="13" t="str">
        <f>CONCATENATE("     ","Equipment Rental                                  ")</f>
        <v xml:space="preserve">     Equipment Rental                                  </v>
      </c>
      <c r="C236" s="13"/>
      <c r="D236" s="1">
        <f>SUM(OSRRefD22_9x_0)</f>
        <v>4233.76</v>
      </c>
      <c r="E236" s="1"/>
      <c r="F236" s="5">
        <f t="shared" si="65"/>
        <v>1.6055170178448203E-3</v>
      </c>
      <c r="G236" s="1"/>
      <c r="H236" s="1">
        <f>SUM(OSRRefH22_9x_0)</f>
        <v>6582.58</v>
      </c>
      <c r="I236" s="1"/>
      <c r="J236" s="5">
        <f t="shared" si="66"/>
        <v>2.9884995173944076E-3</v>
      </c>
      <c r="K236" s="1"/>
      <c r="L236" s="1">
        <f t="shared" si="67"/>
        <v>-2348.8199999999997</v>
      </c>
      <c r="M236" s="1"/>
      <c r="N236" s="5">
        <f t="shared" si="68"/>
        <v>-0.35682361627203918</v>
      </c>
      <c r="O236" s="13"/>
      <c r="P236" s="1">
        <f>SUM(OSRRefP22_9x_0)</f>
        <v>26426.75</v>
      </c>
      <c r="Q236" s="1"/>
      <c r="R236" s="5">
        <f t="shared" si="69"/>
        <v>1.6419831522671122E-3</v>
      </c>
      <c r="S236" s="1"/>
      <c r="T236" s="1">
        <f>SUM(OSRRefT22_9x_0)</f>
        <v>28464.47</v>
      </c>
      <c r="U236" s="1"/>
      <c r="V236" s="5">
        <f t="shared" si="70"/>
        <v>1.7861638728005277E-3</v>
      </c>
      <c r="W236" s="1"/>
      <c r="X236" s="1">
        <f t="shared" si="71"/>
        <v>-2037.7200000000012</v>
      </c>
      <c r="Y236" s="1"/>
      <c r="Z236" s="5">
        <f t="shared" si="72"/>
        <v>-7.1588193983587289E-2</v>
      </c>
    </row>
    <row r="237" spans="1:26" s="24" customFormat="1" hidden="1" outlineLevel="2" x14ac:dyDescent="0.25">
      <c r="A237" s="26"/>
      <c r="B237" s="11" t="str">
        <f>CONCATENATE("          ", "6351", " - ", "EQUIPMENT RENTAL")</f>
        <v xml:space="preserve">          6351 - EQUIPMENT RENTAL</v>
      </c>
      <c r="C237" s="11"/>
      <c r="D237" s="6">
        <v>4233.76</v>
      </c>
      <c r="E237" s="2"/>
      <c r="F237" s="7">
        <f t="shared" si="65"/>
        <v>1.6055170178448203E-3</v>
      </c>
      <c r="G237" s="2"/>
      <c r="H237" s="6">
        <v>6582.58</v>
      </c>
      <c r="I237" s="2"/>
      <c r="J237" s="7">
        <f t="shared" si="66"/>
        <v>2.9884995173944076E-3</v>
      </c>
      <c r="K237" s="2"/>
      <c r="L237" s="6">
        <f t="shared" si="67"/>
        <v>-2348.8199999999997</v>
      </c>
      <c r="M237" s="2"/>
      <c r="N237" s="7">
        <f t="shared" si="68"/>
        <v>-0.35682361627203918</v>
      </c>
      <c r="O237" s="11"/>
      <c r="P237" s="6">
        <v>26426.75</v>
      </c>
      <c r="Q237" s="2"/>
      <c r="R237" s="7">
        <f t="shared" si="69"/>
        <v>1.6419831522671122E-3</v>
      </c>
      <c r="S237" s="2"/>
      <c r="T237" s="6">
        <v>28464.47</v>
      </c>
      <c r="U237" s="2"/>
      <c r="V237" s="7">
        <f t="shared" si="70"/>
        <v>1.7861638728005277E-3</v>
      </c>
      <c r="W237" s="2"/>
      <c r="X237" s="6">
        <f t="shared" si="71"/>
        <v>-2037.7200000000012</v>
      </c>
      <c r="Y237" s="2"/>
      <c r="Z237" s="7">
        <f t="shared" si="72"/>
        <v>-7.1588193983587289E-2</v>
      </c>
    </row>
    <row r="238" spans="1:26" s="25" customFormat="1" outlineLevel="1" collapsed="1" x14ac:dyDescent="0.25">
      <c r="A238" s="27"/>
      <c r="B238" s="13" t="str">
        <f>CONCATENATE("     ","Freight out/Postage                               ")</f>
        <v xml:space="preserve">     Freight out/Postage                               </v>
      </c>
      <c r="C238" s="13"/>
      <c r="D238" s="1">
        <f>SUM(OSRRefD22_10x_0)</f>
        <v>8800.91</v>
      </c>
      <c r="E238" s="1"/>
      <c r="F238" s="5">
        <f t="shared" si="65"/>
        <v>3.3374614473944335E-3</v>
      </c>
      <c r="G238" s="1"/>
      <c r="H238" s="1">
        <f>SUM(OSRRefH22_10x_0)</f>
        <v>2361.5400000000004</v>
      </c>
      <c r="I238" s="1"/>
      <c r="J238" s="5">
        <f t="shared" si="66"/>
        <v>1.0721421008643404E-3</v>
      </c>
      <c r="K238" s="1"/>
      <c r="L238" s="1">
        <f t="shared" si="67"/>
        <v>6439.369999999999</v>
      </c>
      <c r="M238" s="1"/>
      <c r="N238" s="5">
        <f t="shared" si="68"/>
        <v>2.7267672789789703</v>
      </c>
      <c r="O238" s="13"/>
      <c r="P238" s="1">
        <f>SUM(OSRRefP22_10x_0)</f>
        <v>4904.5400000000009</v>
      </c>
      <c r="Q238" s="1"/>
      <c r="R238" s="5">
        <f t="shared" si="69"/>
        <v>3.0473562014323151E-4</v>
      </c>
      <c r="S238" s="1"/>
      <c r="T238" s="1">
        <f>SUM(OSRRefT22_10x_0)</f>
        <v>10197.640000000003</v>
      </c>
      <c r="U238" s="1"/>
      <c r="V238" s="5">
        <f t="shared" si="70"/>
        <v>6.3990849489997811E-4</v>
      </c>
      <c r="W238" s="1"/>
      <c r="X238" s="1">
        <f t="shared" si="71"/>
        <v>-5293.1000000000022</v>
      </c>
      <c r="Y238" s="1"/>
      <c r="Z238" s="5">
        <f t="shared" si="72"/>
        <v>-0.51905146680996783</v>
      </c>
    </row>
    <row r="239" spans="1:26" s="24" customFormat="1" hidden="1" outlineLevel="2" x14ac:dyDescent="0.25">
      <c r="A239" s="26"/>
      <c r="B239" s="11" t="str">
        <f>CONCATENATE("          ", "6305", " - ", "FREIGHT OUT")</f>
        <v xml:space="preserve">          6305 - FREIGHT OUT</v>
      </c>
      <c r="C239" s="11"/>
      <c r="D239" s="6">
        <v>9260.2800000000007</v>
      </c>
      <c r="E239" s="2"/>
      <c r="F239" s="7">
        <f t="shared" si="65"/>
        <v>3.5116627135236842E-3</v>
      </c>
      <c r="G239" s="2"/>
      <c r="H239" s="6">
        <v>5377.18</v>
      </c>
      <c r="I239" s="2"/>
      <c r="J239" s="7">
        <f t="shared" si="66"/>
        <v>2.4412464162900964E-3</v>
      </c>
      <c r="K239" s="2"/>
      <c r="L239" s="6">
        <f t="shared" si="67"/>
        <v>3883.1000000000004</v>
      </c>
      <c r="M239" s="2"/>
      <c r="N239" s="7">
        <f t="shared" si="68"/>
        <v>0.72214432100097081</v>
      </c>
      <c r="O239" s="11"/>
      <c r="P239" s="6">
        <v>28952.14</v>
      </c>
      <c r="Q239" s="2"/>
      <c r="R239" s="7">
        <f t="shared" si="69"/>
        <v>1.798894154675802E-3</v>
      </c>
      <c r="S239" s="2"/>
      <c r="T239" s="6">
        <v>33344.990000000005</v>
      </c>
      <c r="U239" s="2"/>
      <c r="V239" s="7">
        <f t="shared" si="70"/>
        <v>2.0924196542881309E-3</v>
      </c>
      <c r="W239" s="2"/>
      <c r="X239" s="6">
        <f t="shared" si="71"/>
        <v>-4392.8500000000058</v>
      </c>
      <c r="Y239" s="2"/>
      <c r="Z239" s="7">
        <f t="shared" si="72"/>
        <v>-0.13173943072107699</v>
      </c>
    </row>
    <row r="240" spans="1:26" s="24" customFormat="1" hidden="1" outlineLevel="2" x14ac:dyDescent="0.25">
      <c r="A240" s="26"/>
      <c r="B240" s="11" t="str">
        <f>CONCATENATE("          ", "6307", " - ", "POSTAGE")</f>
        <v xml:space="preserve">          6307 - POSTAGE</v>
      </c>
      <c r="C240" s="11"/>
      <c r="D240" s="6">
        <v>-459.37</v>
      </c>
      <c r="E240" s="2"/>
      <c r="F240" s="7">
        <f t="shared" si="65"/>
        <v>-1.7420126612925039E-4</v>
      </c>
      <c r="G240" s="2"/>
      <c r="H240" s="6">
        <v>-3015.64</v>
      </c>
      <c r="I240" s="2"/>
      <c r="J240" s="7">
        <f t="shared" si="66"/>
        <v>-1.3691043154257557E-3</v>
      </c>
      <c r="K240" s="2"/>
      <c r="L240" s="6">
        <f t="shared" si="67"/>
        <v>2556.27</v>
      </c>
      <c r="M240" s="2"/>
      <c r="N240" s="7">
        <f t="shared" si="68"/>
        <v>-0.84767080951307183</v>
      </c>
      <c r="O240" s="11"/>
      <c r="P240" s="6">
        <v>-24047.599999999999</v>
      </c>
      <c r="Q240" s="2"/>
      <c r="R240" s="7">
        <f t="shared" si="69"/>
        <v>-1.4941585345325705E-3</v>
      </c>
      <c r="S240" s="2"/>
      <c r="T240" s="6">
        <v>-23147.350000000002</v>
      </c>
      <c r="U240" s="2"/>
      <c r="V240" s="7">
        <f t="shared" si="70"/>
        <v>-1.4525111593881529E-3</v>
      </c>
      <c r="W240" s="2"/>
      <c r="X240" s="6">
        <f t="shared" si="71"/>
        <v>-900.24999999999636</v>
      </c>
      <c r="Y240" s="2"/>
      <c r="Z240" s="7">
        <f t="shared" si="72"/>
        <v>3.8892141001021556E-2</v>
      </c>
    </row>
    <row r="241" spans="1:26" s="25" customFormat="1" outlineLevel="1" collapsed="1" x14ac:dyDescent="0.25">
      <c r="A241" s="27"/>
      <c r="B241" s="13" t="str">
        <f>CONCATENATE("     ","General                                           ")</f>
        <v xml:space="preserve">     General                                           </v>
      </c>
      <c r="C241" s="13"/>
      <c r="D241" s="1">
        <f>SUM(OSRRefD22_11x_0)</f>
        <v>34662.35</v>
      </c>
      <c r="E241" s="1"/>
      <c r="F241" s="5">
        <f t="shared" ref="F241:F243" si="73">IF(D$12=0,0,D241/D$12)</f>
        <v>1.314457900388624E-2</v>
      </c>
      <c r="G241" s="1"/>
      <c r="H241" s="1">
        <f>SUM(OSRRefH22_11x_0)</f>
        <v>15635.329999999998</v>
      </c>
      <c r="I241" s="1"/>
      <c r="J241" s="5">
        <f t="shared" ref="J241:J243" si="74">IF(H$12=0,0,H241/H$12)</f>
        <v>7.0984592909318685E-3</v>
      </c>
      <c r="K241" s="1"/>
      <c r="L241" s="1">
        <f t="shared" ref="L241:L243" si="75">+D241-H241</f>
        <v>19027.02</v>
      </c>
      <c r="M241" s="1"/>
      <c r="N241" s="5">
        <f t="shared" ref="N241:N243" si="76">IF(H241=0,0,L241/H241)</f>
        <v>1.2169247467114543</v>
      </c>
      <c r="O241" s="13"/>
      <c r="P241" s="1">
        <f>SUM(OSRRefP22_11x_0)</f>
        <v>70512.290000000008</v>
      </c>
      <c r="Q241" s="1"/>
      <c r="R241" s="5">
        <f t="shared" ref="R241:R243" si="77">IF(P$12=0,0,P241/P$12)</f>
        <v>4.3811665152836722E-3</v>
      </c>
      <c r="S241" s="1"/>
      <c r="T241" s="1">
        <f>SUM(OSRRefT22_11x_0)</f>
        <v>56316.82</v>
      </c>
      <c r="U241" s="1"/>
      <c r="V241" s="5">
        <f t="shared" ref="V241:V243" si="78">IF(T$12=0,0,T241/T$12)</f>
        <v>3.5339168203381345E-3</v>
      </c>
      <c r="W241" s="1"/>
      <c r="X241" s="1">
        <f t="shared" ref="X241:X243" si="79">+P241-T241</f>
        <v>14195.470000000008</v>
      </c>
      <c r="Y241" s="1"/>
      <c r="Z241" s="5">
        <f t="shared" ref="Z241:Z243" si="80">IF(T241=0,0,X241/T241)</f>
        <v>0.25206448091351763</v>
      </c>
    </row>
    <row r="242" spans="1:26" s="24" customFormat="1" hidden="1" outlineLevel="2" x14ac:dyDescent="0.25">
      <c r="A242" s="26"/>
      <c r="B242" s="11" t="str">
        <f>CONCATENATE("          ", "6269", " - ", "ENTERTAINMENT")</f>
        <v xml:space="preserve">          6269 - ENTERTAINMENT</v>
      </c>
      <c r="C242" s="11"/>
      <c r="D242" s="6">
        <v>600</v>
      </c>
      <c r="E242" s="2"/>
      <c r="F242" s="7">
        <f t="shared" si="73"/>
        <v>2.2753066085628193E-4</v>
      </c>
      <c r="G242" s="2"/>
      <c r="H242" s="6">
        <v>300</v>
      </c>
      <c r="I242" s="2"/>
      <c r="J242" s="7">
        <f t="shared" si="74"/>
        <v>1.3620037359490081E-4</v>
      </c>
      <c r="K242" s="2"/>
      <c r="L242" s="6">
        <f t="shared" si="75"/>
        <v>300</v>
      </c>
      <c r="M242" s="2"/>
      <c r="N242" s="7">
        <f t="shared" si="76"/>
        <v>1</v>
      </c>
      <c r="O242" s="11"/>
      <c r="P242" s="6">
        <v>6100</v>
      </c>
      <c r="Q242" s="2"/>
      <c r="R242" s="7">
        <f t="shared" si="77"/>
        <v>3.7901358391892248E-4</v>
      </c>
      <c r="S242" s="2"/>
      <c r="T242" s="6">
        <v>4360</v>
      </c>
      <c r="U242" s="2"/>
      <c r="V242" s="7">
        <f t="shared" si="78"/>
        <v>2.7359281537335143E-4</v>
      </c>
      <c r="W242" s="2"/>
      <c r="X242" s="6">
        <f t="shared" si="79"/>
        <v>1740</v>
      </c>
      <c r="Y242" s="2"/>
      <c r="Z242" s="7">
        <f t="shared" si="80"/>
        <v>0.39908256880733944</v>
      </c>
    </row>
    <row r="243" spans="1:26" s="24" customFormat="1" hidden="1" outlineLevel="2" x14ac:dyDescent="0.25">
      <c r="A243" s="26"/>
      <c r="B243" s="11" t="str">
        <f>CONCATENATE("          ", "6279", " - ", "GENERAL EXPENSE")</f>
        <v xml:space="preserve">          6279 - GENERAL EXPENSE</v>
      </c>
      <c r="C243" s="11"/>
      <c r="D243" s="6">
        <v>34062.35</v>
      </c>
      <c r="E243" s="2"/>
      <c r="F243" s="7">
        <f t="shared" si="73"/>
        <v>1.2917048343029957E-2</v>
      </c>
      <c r="G243" s="2"/>
      <c r="H243" s="6">
        <v>15335.329999999998</v>
      </c>
      <c r="I243" s="2"/>
      <c r="J243" s="7">
        <f t="shared" si="74"/>
        <v>6.9622589173369675E-3</v>
      </c>
      <c r="K243" s="2"/>
      <c r="L243" s="6">
        <f t="shared" si="75"/>
        <v>18727.02</v>
      </c>
      <c r="M243" s="2"/>
      <c r="N243" s="7">
        <f t="shared" si="76"/>
        <v>1.2211683739443495</v>
      </c>
      <c r="O243" s="11"/>
      <c r="P243" s="6">
        <v>64412.290000000008</v>
      </c>
      <c r="Q243" s="2"/>
      <c r="R243" s="7">
        <f t="shared" si="77"/>
        <v>4.0021529313647502E-3</v>
      </c>
      <c r="S243" s="2"/>
      <c r="T243" s="6">
        <v>51956.82</v>
      </c>
      <c r="U243" s="2"/>
      <c r="V243" s="7">
        <f t="shared" si="78"/>
        <v>3.2603240049647831E-3</v>
      </c>
      <c r="W243" s="2"/>
      <c r="X243" s="6">
        <f t="shared" si="79"/>
        <v>12455.470000000008</v>
      </c>
      <c r="Y243" s="2"/>
      <c r="Z243" s="7">
        <f t="shared" si="80"/>
        <v>0.23972733512174163</v>
      </c>
    </row>
    <row r="244" spans="1:26" s="25" customFormat="1" outlineLevel="1" collapsed="1" x14ac:dyDescent="0.25">
      <c r="A244" s="27"/>
      <c r="B244" s="13" t="str">
        <f>CONCATENATE("     ","Insurance                                         ")</f>
        <v xml:space="preserve">     Insurance                                         </v>
      </c>
      <c r="C244" s="13"/>
      <c r="D244" s="1">
        <f>SUM(OSRRefD22_12x_0)</f>
        <v>8563.32</v>
      </c>
      <c r="E244" s="1"/>
      <c r="F244" s="5">
        <f t="shared" ref="F244:F259" si="81">IF(D$12=0,0,D244/D$12)</f>
        <v>3.247363097873027E-3</v>
      </c>
      <c r="G244" s="1"/>
      <c r="H244" s="1">
        <f>SUM(OSRRefH22_12x_0)</f>
        <v>8064.85</v>
      </c>
      <c r="I244" s="1"/>
      <c r="J244" s="5">
        <f t="shared" ref="J244:J259" si="82">IF(H$12=0,0,H244/H$12)</f>
        <v>3.6614519432894531E-3</v>
      </c>
      <c r="K244" s="1"/>
      <c r="L244" s="1">
        <f t="shared" ref="L244:L259" si="83">+D244-H244</f>
        <v>498.46999999999935</v>
      </c>
      <c r="M244" s="1"/>
      <c r="N244" s="5">
        <f t="shared" ref="N244:N259" si="84">IF(H244=0,0,L244/H244)</f>
        <v>6.180772116034388E-2</v>
      </c>
      <c r="O244" s="13"/>
      <c r="P244" s="1">
        <f>SUM(OSRRefP22_12x_0)</f>
        <v>42816.6</v>
      </c>
      <c r="Q244" s="1"/>
      <c r="R244" s="5">
        <f t="shared" ref="R244:R259" si="85">IF(P$12=0,0,P244/P$12)</f>
        <v>2.6603398388890058E-3</v>
      </c>
      <c r="S244" s="1"/>
      <c r="T244" s="1">
        <f>SUM(OSRRefT22_12x_0)</f>
        <v>44912.25</v>
      </c>
      <c r="U244" s="1"/>
      <c r="V244" s="5">
        <f t="shared" ref="V244:V259" si="86">IF(T$12=0,0,T244/T$12)</f>
        <v>2.8182726885898632E-3</v>
      </c>
      <c r="W244" s="1"/>
      <c r="X244" s="1">
        <f t="shared" ref="X244:X259" si="87">+P244-T244</f>
        <v>-2095.6500000000015</v>
      </c>
      <c r="Y244" s="1"/>
      <c r="Z244" s="5">
        <f t="shared" ref="Z244:Z259" si="88">IF(T244=0,0,X244/T244)</f>
        <v>-4.6660988928410432E-2</v>
      </c>
    </row>
    <row r="245" spans="1:26" s="24" customFormat="1" hidden="1" outlineLevel="2" x14ac:dyDescent="0.25">
      <c r="A245" s="26"/>
      <c r="B245" s="11" t="str">
        <f>CONCATENATE("          ", "6314", " - ", "LIABILITY INSURANCE")</f>
        <v xml:space="preserve">          6314 - LIABILITY INSURANCE</v>
      </c>
      <c r="C245" s="11"/>
      <c r="D245" s="6">
        <v>8563.32</v>
      </c>
      <c r="E245" s="2"/>
      <c r="F245" s="7">
        <f t="shared" si="81"/>
        <v>3.247363097873027E-3</v>
      </c>
      <c r="G245" s="2"/>
      <c r="H245" s="6">
        <v>8064.85</v>
      </c>
      <c r="I245" s="2"/>
      <c r="J245" s="7">
        <f t="shared" si="82"/>
        <v>3.6614519432894531E-3</v>
      </c>
      <c r="K245" s="2"/>
      <c r="L245" s="6">
        <f t="shared" si="83"/>
        <v>498.46999999999935</v>
      </c>
      <c r="M245" s="2"/>
      <c r="N245" s="7">
        <f t="shared" si="84"/>
        <v>6.180772116034388E-2</v>
      </c>
      <c r="O245" s="11"/>
      <c r="P245" s="6">
        <v>42816.6</v>
      </c>
      <c r="Q245" s="2"/>
      <c r="R245" s="7">
        <f t="shared" si="85"/>
        <v>2.6603398388890058E-3</v>
      </c>
      <c r="S245" s="2"/>
      <c r="T245" s="6">
        <v>44912.25</v>
      </c>
      <c r="U245" s="2"/>
      <c r="V245" s="7">
        <f t="shared" si="86"/>
        <v>2.8182726885898632E-3</v>
      </c>
      <c r="W245" s="2"/>
      <c r="X245" s="6">
        <f t="shared" si="87"/>
        <v>-2095.6500000000015</v>
      </c>
      <c r="Y245" s="2"/>
      <c r="Z245" s="7">
        <f t="shared" si="88"/>
        <v>-4.6660988928410432E-2</v>
      </c>
    </row>
    <row r="246" spans="1:26" s="25" customFormat="1" outlineLevel="1" collapsed="1" x14ac:dyDescent="0.25">
      <c r="A246" s="27"/>
      <c r="B246" s="13" t="str">
        <f>CONCATENATE("     ","Interest                                          ")</f>
        <v xml:space="preserve">     Interest                                          </v>
      </c>
      <c r="C246" s="13"/>
      <c r="D246" s="1">
        <f>SUM(OSRRefD22_13x_0)</f>
        <v>11929</v>
      </c>
      <c r="E246" s="1"/>
      <c r="F246" s="5">
        <f t="shared" si="81"/>
        <v>4.5236887555909783E-3</v>
      </c>
      <c r="G246" s="1"/>
      <c r="H246" s="1">
        <f>SUM(OSRRefH22_13x_0)</f>
        <v>12229</v>
      </c>
      <c r="I246" s="1"/>
      <c r="J246" s="5">
        <f t="shared" si="82"/>
        <v>5.551981228973474E-3</v>
      </c>
      <c r="K246" s="1"/>
      <c r="L246" s="1">
        <f t="shared" si="83"/>
        <v>-300</v>
      </c>
      <c r="M246" s="1"/>
      <c r="N246" s="5">
        <f t="shared" si="84"/>
        <v>-2.4531850519257502E-2</v>
      </c>
      <c r="O246" s="13"/>
      <c r="P246" s="1">
        <f>SUM(OSRRefP22_13x_0)</f>
        <v>59046</v>
      </c>
      <c r="Q246" s="1"/>
      <c r="R246" s="5">
        <f t="shared" si="85"/>
        <v>3.6687272255863435E-3</v>
      </c>
      <c r="S246" s="1"/>
      <c r="T246" s="1">
        <f>SUM(OSRRefT22_13x_0)</f>
        <v>60530</v>
      </c>
      <c r="U246" s="1"/>
      <c r="V246" s="5">
        <f t="shared" si="86"/>
        <v>3.7982965859057255E-3</v>
      </c>
      <c r="W246" s="1"/>
      <c r="X246" s="1">
        <f t="shared" si="87"/>
        <v>-1484</v>
      </c>
      <c r="Y246" s="1"/>
      <c r="Z246" s="5">
        <f t="shared" si="88"/>
        <v>-2.4516768544523376E-2</v>
      </c>
    </row>
    <row r="247" spans="1:26" s="24" customFormat="1" hidden="1" outlineLevel="2" x14ac:dyDescent="0.25">
      <c r="A247" s="26"/>
      <c r="B247" s="11" t="str">
        <f>CONCATENATE("          ", "6401", " - ", "INTEREST EXPENSE")</f>
        <v xml:space="preserve">          6401 - INTEREST EXPENSE</v>
      </c>
      <c r="C247" s="11"/>
      <c r="D247" s="6">
        <v>11929</v>
      </c>
      <c r="E247" s="2"/>
      <c r="F247" s="7">
        <f t="shared" si="81"/>
        <v>4.5236887555909783E-3</v>
      </c>
      <c r="G247" s="2"/>
      <c r="H247" s="6">
        <v>12229</v>
      </c>
      <c r="I247" s="2"/>
      <c r="J247" s="7">
        <f t="shared" si="82"/>
        <v>5.551981228973474E-3</v>
      </c>
      <c r="K247" s="2"/>
      <c r="L247" s="6">
        <f t="shared" si="83"/>
        <v>-300</v>
      </c>
      <c r="M247" s="2"/>
      <c r="N247" s="7">
        <f t="shared" si="84"/>
        <v>-2.4531850519257502E-2</v>
      </c>
      <c r="O247" s="11"/>
      <c r="P247" s="6">
        <v>59046</v>
      </c>
      <c r="Q247" s="2"/>
      <c r="R247" s="7">
        <f t="shared" si="85"/>
        <v>3.6687272255863435E-3</v>
      </c>
      <c r="S247" s="2"/>
      <c r="T247" s="6">
        <v>60530</v>
      </c>
      <c r="U247" s="2"/>
      <c r="V247" s="7">
        <f t="shared" si="86"/>
        <v>3.7982965859057255E-3</v>
      </c>
      <c r="W247" s="2"/>
      <c r="X247" s="6">
        <f t="shared" si="87"/>
        <v>-1484</v>
      </c>
      <c r="Y247" s="2"/>
      <c r="Z247" s="7">
        <f t="shared" si="88"/>
        <v>-2.4516768544523376E-2</v>
      </c>
    </row>
    <row r="248" spans="1:26" s="25" customFormat="1" outlineLevel="1" collapsed="1" x14ac:dyDescent="0.25">
      <c r="A248" s="27"/>
      <c r="B248" s="13" t="str">
        <f>CONCATENATE("     ","Inventory Adjustment                              ")</f>
        <v xml:space="preserve">     Inventory Adjustment                              </v>
      </c>
      <c r="C248" s="13"/>
      <c r="D248" s="1">
        <f>SUM(OSRRefD22_14x_0)</f>
        <v>4250</v>
      </c>
      <c r="E248" s="1"/>
      <c r="F248" s="5">
        <f t="shared" si="81"/>
        <v>1.6116755143986638E-3</v>
      </c>
      <c r="G248" s="1"/>
      <c r="H248" s="1">
        <f>SUM(OSRRefH22_14x_0)</f>
        <v>10000</v>
      </c>
      <c r="I248" s="1"/>
      <c r="J248" s="5">
        <f t="shared" si="82"/>
        <v>4.5400124531633605E-3</v>
      </c>
      <c r="K248" s="1"/>
      <c r="L248" s="1">
        <f t="shared" si="83"/>
        <v>-5750</v>
      </c>
      <c r="M248" s="1"/>
      <c r="N248" s="5">
        <f t="shared" si="84"/>
        <v>-0.57499999999999996</v>
      </c>
      <c r="O248" s="13"/>
      <c r="P248" s="1">
        <f>SUM(OSRRefP22_14x_0)</f>
        <v>21150</v>
      </c>
      <c r="Q248" s="1"/>
      <c r="R248" s="5">
        <f t="shared" si="85"/>
        <v>1.3141208688336411E-3</v>
      </c>
      <c r="S248" s="1"/>
      <c r="T248" s="1">
        <f>SUM(OSRRefT22_14x_0)</f>
        <v>50000</v>
      </c>
      <c r="U248" s="1"/>
      <c r="V248" s="5">
        <f t="shared" si="86"/>
        <v>3.1375322863916449E-3</v>
      </c>
      <c r="W248" s="1"/>
      <c r="X248" s="1">
        <f t="shared" si="87"/>
        <v>-28850</v>
      </c>
      <c r="Y248" s="1"/>
      <c r="Z248" s="5">
        <f t="shared" si="88"/>
        <v>-0.57699999999999996</v>
      </c>
    </row>
    <row r="249" spans="1:26" s="24" customFormat="1" hidden="1" outlineLevel="2" x14ac:dyDescent="0.25">
      <c r="A249" s="26"/>
      <c r="B249" s="11" t="str">
        <f>CONCATENATE("          ", "6408", " - ", "INVENTORY ADJUSTMENT")</f>
        <v xml:space="preserve">          6408 - INVENTORY ADJUSTMENT</v>
      </c>
      <c r="C249" s="11"/>
      <c r="D249" s="6">
        <v>4250</v>
      </c>
      <c r="E249" s="2"/>
      <c r="F249" s="7">
        <f t="shared" si="81"/>
        <v>1.6116755143986638E-3</v>
      </c>
      <c r="G249" s="2"/>
      <c r="H249" s="6">
        <v>10000</v>
      </c>
      <c r="I249" s="2"/>
      <c r="J249" s="7">
        <f t="shared" si="82"/>
        <v>4.5400124531633605E-3</v>
      </c>
      <c r="K249" s="2"/>
      <c r="L249" s="6">
        <f t="shared" si="83"/>
        <v>-5750</v>
      </c>
      <c r="M249" s="2"/>
      <c r="N249" s="7">
        <f t="shared" si="84"/>
        <v>-0.57499999999999996</v>
      </c>
      <c r="O249" s="11"/>
      <c r="P249" s="6">
        <v>21150</v>
      </c>
      <c r="Q249" s="2"/>
      <c r="R249" s="7">
        <f t="shared" si="85"/>
        <v>1.3141208688336411E-3</v>
      </c>
      <c r="S249" s="2"/>
      <c r="T249" s="6">
        <v>50000</v>
      </c>
      <c r="U249" s="2"/>
      <c r="V249" s="7">
        <f t="shared" si="86"/>
        <v>3.1375322863916449E-3</v>
      </c>
      <c r="W249" s="2"/>
      <c r="X249" s="6">
        <f t="shared" si="87"/>
        <v>-28850</v>
      </c>
      <c r="Y249" s="2"/>
      <c r="Z249" s="7">
        <f t="shared" si="88"/>
        <v>-0.57699999999999996</v>
      </c>
    </row>
    <row r="250" spans="1:26" s="25" customFormat="1" outlineLevel="1" collapsed="1" x14ac:dyDescent="0.25">
      <c r="A250" s="27"/>
      <c r="B250" s="13" t="str">
        <f>CONCATENATE("     ","Professional Services                             ")</f>
        <v xml:space="preserve">     Professional Services                             </v>
      </c>
      <c r="C250" s="13"/>
      <c r="D250" s="1">
        <f>SUM(OSRRefD22_15x_0)</f>
        <v>0</v>
      </c>
      <c r="E250" s="1"/>
      <c r="F250" s="5">
        <f t="shared" si="81"/>
        <v>0</v>
      </c>
      <c r="G250" s="1"/>
      <c r="H250" s="1">
        <f>SUM(OSRRefH22_15x_0)</f>
        <v>0</v>
      </c>
      <c r="I250" s="1"/>
      <c r="J250" s="5">
        <f t="shared" si="82"/>
        <v>0</v>
      </c>
      <c r="K250" s="1"/>
      <c r="L250" s="1">
        <f t="shared" si="83"/>
        <v>0</v>
      </c>
      <c r="M250" s="1"/>
      <c r="N250" s="5">
        <f t="shared" si="84"/>
        <v>0</v>
      </c>
      <c r="O250" s="13"/>
      <c r="P250" s="1">
        <f>SUM(OSRRefP22_15x_0)</f>
        <v>6283.41</v>
      </c>
      <c r="Q250" s="1"/>
      <c r="R250" s="5">
        <f t="shared" si="85"/>
        <v>3.9040946611999946E-4</v>
      </c>
      <c r="S250" s="1"/>
      <c r="T250" s="1">
        <f>SUM(OSRRefT22_15x_0)</f>
        <v>9956.43</v>
      </c>
      <c r="U250" s="1"/>
      <c r="V250" s="5">
        <f t="shared" si="86"/>
        <v>6.2477241164396729E-4</v>
      </c>
      <c r="W250" s="1"/>
      <c r="X250" s="1">
        <f t="shared" si="87"/>
        <v>-3673.0200000000004</v>
      </c>
      <c r="Y250" s="1"/>
      <c r="Z250" s="5">
        <f t="shared" si="88"/>
        <v>-0.36890933798560333</v>
      </c>
    </row>
    <row r="251" spans="1:26" s="24" customFormat="1" hidden="1" outlineLevel="2" x14ac:dyDescent="0.25">
      <c r="A251" s="26"/>
      <c r="B251" s="11" t="str">
        <f>CONCATENATE("          ", "6336", " - ", "PROFESSIONAL SERVICES")</f>
        <v xml:space="preserve">          6336 - PROFESSIONAL SERVICES</v>
      </c>
      <c r="C251" s="11"/>
      <c r="D251" s="6"/>
      <c r="E251" s="2"/>
      <c r="F251" s="7">
        <f t="shared" si="81"/>
        <v>0</v>
      </c>
      <c r="G251" s="2"/>
      <c r="H251" s="6"/>
      <c r="I251" s="2"/>
      <c r="J251" s="7">
        <f t="shared" si="82"/>
        <v>0</v>
      </c>
      <c r="K251" s="2"/>
      <c r="L251" s="6">
        <f t="shared" si="83"/>
        <v>0</v>
      </c>
      <c r="M251" s="2"/>
      <c r="N251" s="7">
        <f t="shared" si="84"/>
        <v>0</v>
      </c>
      <c r="O251" s="11"/>
      <c r="P251" s="6">
        <v>6283.41</v>
      </c>
      <c r="Q251" s="2"/>
      <c r="R251" s="7">
        <f t="shared" si="85"/>
        <v>3.9040946611999946E-4</v>
      </c>
      <c r="S251" s="2"/>
      <c r="T251" s="6">
        <v>9956.43</v>
      </c>
      <c r="U251" s="2"/>
      <c r="V251" s="7">
        <f t="shared" si="86"/>
        <v>6.2477241164396729E-4</v>
      </c>
      <c r="W251" s="2"/>
      <c r="X251" s="6">
        <f t="shared" si="87"/>
        <v>-3673.0200000000004</v>
      </c>
      <c r="Y251" s="2"/>
      <c r="Z251" s="7">
        <f t="shared" si="88"/>
        <v>-0.36890933798560333</v>
      </c>
    </row>
    <row r="252" spans="1:26" s="25" customFormat="1" outlineLevel="1" collapsed="1" x14ac:dyDescent="0.25">
      <c r="A252" s="27"/>
      <c r="B252" s="13" t="str">
        <f>CONCATENATE("     ","R/H Commissions                                   ")</f>
        <v xml:space="preserve">     R/H Commissions                                   </v>
      </c>
      <c r="C252" s="13"/>
      <c r="D252" s="1">
        <f>SUM(OSRRefD22_16x_0)</f>
        <v>88207.73000000001</v>
      </c>
      <c r="E252" s="1"/>
      <c r="F252" s="5">
        <f t="shared" si="81"/>
        <v>3.3449938499220816E-2</v>
      </c>
      <c r="G252" s="1"/>
      <c r="H252" s="1">
        <f>SUM(OSRRefH22_16x_0)</f>
        <v>64000.460000000006</v>
      </c>
      <c r="I252" s="1"/>
      <c r="J252" s="5">
        <f t="shared" si="82"/>
        <v>2.9056288540818358E-2</v>
      </c>
      <c r="K252" s="1"/>
      <c r="L252" s="1">
        <f t="shared" si="83"/>
        <v>24207.270000000004</v>
      </c>
      <c r="M252" s="1"/>
      <c r="N252" s="5">
        <f t="shared" si="84"/>
        <v>0.37823587517964719</v>
      </c>
      <c r="O252" s="13"/>
      <c r="P252" s="1">
        <f>SUM(OSRRefP22_16x_0)</f>
        <v>406895.16</v>
      </c>
      <c r="Q252" s="1"/>
      <c r="R252" s="5">
        <f t="shared" si="85"/>
        <v>2.5281769323092357E-2</v>
      </c>
      <c r="S252" s="1"/>
      <c r="T252" s="1">
        <f>SUM(OSRRefT22_16x_0)</f>
        <v>377282.20999999996</v>
      </c>
      <c r="U252" s="1"/>
      <c r="V252" s="5">
        <f t="shared" si="86"/>
        <v>2.3674702299123853E-2</v>
      </c>
      <c r="W252" s="1"/>
      <c r="X252" s="1">
        <f t="shared" si="87"/>
        <v>29612.950000000012</v>
      </c>
      <c r="Y252" s="1"/>
      <c r="Z252" s="5">
        <f t="shared" si="88"/>
        <v>7.8490183780465059E-2</v>
      </c>
    </row>
    <row r="253" spans="1:26" s="24" customFormat="1" hidden="1" outlineLevel="2" x14ac:dyDescent="0.25">
      <c r="A253" s="26"/>
      <c r="B253" s="11" t="str">
        <f>CONCATENATE("          ", "6387", " - ", "COMMISSION DUE HOUSING")</f>
        <v xml:space="preserve">          6387 - COMMISSION DUE HOUSING</v>
      </c>
      <c r="C253" s="11"/>
      <c r="D253" s="6">
        <v>88207.73000000001</v>
      </c>
      <c r="E253" s="2"/>
      <c r="F253" s="7">
        <f t="shared" si="81"/>
        <v>3.3449938499220816E-2</v>
      </c>
      <c r="G253" s="2"/>
      <c r="H253" s="6">
        <v>64000.460000000006</v>
      </c>
      <c r="I253" s="2"/>
      <c r="J253" s="7">
        <f t="shared" si="82"/>
        <v>2.9056288540818358E-2</v>
      </c>
      <c r="K253" s="2"/>
      <c r="L253" s="6">
        <f t="shared" si="83"/>
        <v>24207.270000000004</v>
      </c>
      <c r="M253" s="2"/>
      <c r="N253" s="7">
        <f t="shared" si="84"/>
        <v>0.37823587517964719</v>
      </c>
      <c r="O253" s="11"/>
      <c r="P253" s="6">
        <v>406895.16</v>
      </c>
      <c r="Q253" s="2"/>
      <c r="R253" s="7">
        <f t="shared" si="85"/>
        <v>2.5281769323092357E-2</v>
      </c>
      <c r="S253" s="2"/>
      <c r="T253" s="6">
        <v>377282.20999999996</v>
      </c>
      <c r="U253" s="2"/>
      <c r="V253" s="7">
        <f t="shared" si="86"/>
        <v>2.3674702299123853E-2</v>
      </c>
      <c r="W253" s="2"/>
      <c r="X253" s="6">
        <f t="shared" si="87"/>
        <v>29612.950000000012</v>
      </c>
      <c r="Y253" s="2"/>
      <c r="Z253" s="7">
        <f t="shared" si="88"/>
        <v>7.8490183780465059E-2</v>
      </c>
    </row>
    <row r="254" spans="1:26" s="25" customFormat="1" outlineLevel="1" collapsed="1" x14ac:dyDescent="0.25">
      <c r="A254" s="27"/>
      <c r="B254" s="13" t="str">
        <f>CONCATENATE("     ","Rent                                              ")</f>
        <v xml:space="preserve">     Rent                                              </v>
      </c>
      <c r="C254" s="13"/>
      <c r="D254" s="1">
        <f>SUM(OSRRefD22_17x_0)</f>
        <v>9900</v>
      </c>
      <c r="E254" s="1"/>
      <c r="F254" s="5">
        <f t="shared" si="81"/>
        <v>3.7542559041286519E-3</v>
      </c>
      <c r="G254" s="1"/>
      <c r="H254" s="1">
        <f>SUM(OSRRefH22_17x_0)</f>
        <v>9899.77</v>
      </c>
      <c r="I254" s="1"/>
      <c r="J254" s="5">
        <f t="shared" si="82"/>
        <v>4.4945079083453044E-3</v>
      </c>
      <c r="K254" s="1"/>
      <c r="L254" s="1">
        <f t="shared" si="83"/>
        <v>0.22999999999956344</v>
      </c>
      <c r="M254" s="1"/>
      <c r="N254" s="5">
        <f t="shared" si="84"/>
        <v>2.3232862985661631E-5</v>
      </c>
      <c r="O254" s="13"/>
      <c r="P254" s="1">
        <f>SUM(OSRRefP22_17x_0)</f>
        <v>49500</v>
      </c>
      <c r="Q254" s="1"/>
      <c r="R254" s="5">
        <f t="shared" si="85"/>
        <v>3.0756020334404364E-3</v>
      </c>
      <c r="S254" s="1"/>
      <c r="T254" s="1">
        <f>SUM(OSRRefT22_17x_0)</f>
        <v>49600.85</v>
      </c>
      <c r="U254" s="1"/>
      <c r="V254" s="5">
        <f t="shared" si="86"/>
        <v>3.1124853661493803E-3</v>
      </c>
      <c r="W254" s="1"/>
      <c r="X254" s="1">
        <f t="shared" si="87"/>
        <v>-100.84999999999854</v>
      </c>
      <c r="Y254" s="1"/>
      <c r="Z254" s="5">
        <f t="shared" si="88"/>
        <v>-2.0332312853509273E-3</v>
      </c>
    </row>
    <row r="255" spans="1:26" s="24" customFormat="1" hidden="1" outlineLevel="2" x14ac:dyDescent="0.25">
      <c r="A255" s="26"/>
      <c r="B255" s="11" t="str">
        <f>CONCATENATE("          ", "6273", " - ", "RENT")</f>
        <v xml:space="preserve">          6273 - RENT</v>
      </c>
      <c r="C255" s="11"/>
      <c r="D255" s="6">
        <v>9900</v>
      </c>
      <c r="E255" s="2"/>
      <c r="F255" s="7">
        <f t="shared" si="81"/>
        <v>3.7542559041286519E-3</v>
      </c>
      <c r="G255" s="2"/>
      <c r="H255" s="6">
        <v>9899.77</v>
      </c>
      <c r="I255" s="2"/>
      <c r="J255" s="7">
        <f t="shared" si="82"/>
        <v>4.4945079083453044E-3</v>
      </c>
      <c r="K255" s="2"/>
      <c r="L255" s="6">
        <f t="shared" si="83"/>
        <v>0.22999999999956344</v>
      </c>
      <c r="M255" s="2"/>
      <c r="N255" s="7">
        <f t="shared" si="84"/>
        <v>2.3232862985661631E-5</v>
      </c>
      <c r="O255" s="11"/>
      <c r="P255" s="6">
        <v>49500</v>
      </c>
      <c r="Q255" s="2"/>
      <c r="R255" s="7">
        <f t="shared" si="85"/>
        <v>3.0756020334404364E-3</v>
      </c>
      <c r="S255" s="2"/>
      <c r="T255" s="6">
        <v>49600.85</v>
      </c>
      <c r="U255" s="2"/>
      <c r="V255" s="7">
        <f t="shared" si="86"/>
        <v>3.1124853661493803E-3</v>
      </c>
      <c r="W255" s="2"/>
      <c r="X255" s="6">
        <f t="shared" si="87"/>
        <v>-100.84999999999854</v>
      </c>
      <c r="Y255" s="2"/>
      <c r="Z255" s="7">
        <f t="shared" si="88"/>
        <v>-2.0332312853509273E-3</v>
      </c>
    </row>
    <row r="256" spans="1:26" s="25" customFormat="1" outlineLevel="1" collapsed="1" x14ac:dyDescent="0.25">
      <c r="A256" s="27"/>
      <c r="B256" s="13" t="str">
        <f>CONCATENATE("     ","Repair and Maintenance                            ")</f>
        <v xml:space="preserve">     Repair and Maintenance                            </v>
      </c>
      <c r="C256" s="13"/>
      <c r="D256" s="1">
        <f>SUM(OSRRefD22_18x_0)</f>
        <v>35790.089999999997</v>
      </c>
      <c r="E256" s="1"/>
      <c r="F256" s="5">
        <f t="shared" si="81"/>
        <v>1.3572238049676345E-2</v>
      </c>
      <c r="G256" s="1"/>
      <c r="H256" s="1">
        <f>SUM(OSRRefH22_18x_0)</f>
        <v>76947.459999999992</v>
      </c>
      <c r="I256" s="1"/>
      <c r="J256" s="5">
        <f t="shared" si="82"/>
        <v>3.4934242663928958E-2</v>
      </c>
      <c r="K256" s="1"/>
      <c r="L256" s="1">
        <f t="shared" si="83"/>
        <v>-41157.369999999995</v>
      </c>
      <c r="M256" s="1"/>
      <c r="N256" s="5">
        <f t="shared" si="84"/>
        <v>-0.53487626492154516</v>
      </c>
      <c r="O256" s="13"/>
      <c r="P256" s="1">
        <f>SUM(OSRRefP22_18x_0)</f>
        <v>223923.03</v>
      </c>
      <c r="Q256" s="1"/>
      <c r="R256" s="5">
        <f t="shared" si="85"/>
        <v>1.3913093462669572E-2</v>
      </c>
      <c r="S256" s="1"/>
      <c r="T256" s="1">
        <f>SUM(OSRRefT22_18x_0)</f>
        <v>272330.3</v>
      </c>
      <c r="U256" s="1"/>
      <c r="V256" s="5">
        <f t="shared" si="86"/>
        <v>1.7088902176254452E-2</v>
      </c>
      <c r="W256" s="1"/>
      <c r="X256" s="1">
        <f t="shared" si="87"/>
        <v>-48407.26999999999</v>
      </c>
      <c r="Y256" s="1"/>
      <c r="Z256" s="5">
        <f t="shared" si="88"/>
        <v>-0.17775205329704405</v>
      </c>
    </row>
    <row r="257" spans="1:26" s="24" customFormat="1" hidden="1" outlineLevel="2" x14ac:dyDescent="0.25">
      <c r="A257" s="26"/>
      <c r="B257" s="11" t="str">
        <f>CONCATENATE("          ", "6371", " - ", "COMPUTER SOFTWARE MAINTENANCE")</f>
        <v xml:space="preserve">          6371 - COMPUTER SOFTWARE MAINTENANCE</v>
      </c>
      <c r="C257" s="11"/>
      <c r="D257" s="6">
        <v>17078.5</v>
      </c>
      <c r="E257" s="2"/>
      <c r="F257" s="7">
        <f t="shared" si="81"/>
        <v>6.4764706523900185E-3</v>
      </c>
      <c r="G257" s="2"/>
      <c r="H257" s="6">
        <v>18282.009999999998</v>
      </c>
      <c r="I257" s="2"/>
      <c r="J257" s="7">
        <f t="shared" si="82"/>
        <v>8.3000553068857084E-3</v>
      </c>
      <c r="K257" s="2"/>
      <c r="L257" s="6">
        <f t="shared" si="83"/>
        <v>-1203.5099999999984</v>
      </c>
      <c r="M257" s="2"/>
      <c r="N257" s="7">
        <f t="shared" si="84"/>
        <v>-6.5830288901493797E-2</v>
      </c>
      <c r="O257" s="11"/>
      <c r="P257" s="6">
        <v>48852.259999999995</v>
      </c>
      <c r="Q257" s="2"/>
      <c r="R257" s="7">
        <f t="shared" si="85"/>
        <v>3.0353557614981996E-3</v>
      </c>
      <c r="S257" s="2"/>
      <c r="T257" s="6">
        <v>73592.33</v>
      </c>
      <c r="U257" s="2"/>
      <c r="V257" s="7">
        <f t="shared" si="86"/>
        <v>4.6179662281157687E-3</v>
      </c>
      <c r="W257" s="2"/>
      <c r="X257" s="6">
        <f t="shared" si="87"/>
        <v>-24740.070000000007</v>
      </c>
      <c r="Y257" s="2"/>
      <c r="Z257" s="7">
        <f t="shared" si="88"/>
        <v>-0.33617728912782086</v>
      </c>
    </row>
    <row r="258" spans="1:26" s="24" customFormat="1" hidden="1" outlineLevel="2" x14ac:dyDescent="0.25">
      <c r="A258" s="26"/>
      <c r="B258" s="11" t="str">
        <f>CONCATENATE("          ", "6373", " - ", "MAINTENANCE CONTRACTS")</f>
        <v xml:space="preserve">          6373 - MAINTENANCE CONTRACTS</v>
      </c>
      <c r="C258" s="11"/>
      <c r="D258" s="6">
        <v>10092.61</v>
      </c>
      <c r="E258" s="2"/>
      <c r="F258" s="7">
        <f t="shared" si="81"/>
        <v>3.8272970384411993E-3</v>
      </c>
      <c r="G258" s="2"/>
      <c r="H258" s="6">
        <v>40502.36</v>
      </c>
      <c r="I258" s="2"/>
      <c r="J258" s="7">
        <f t="shared" si="82"/>
        <v>1.8388121878250559E-2</v>
      </c>
      <c r="K258" s="2"/>
      <c r="L258" s="6">
        <f t="shared" si="83"/>
        <v>-30409.75</v>
      </c>
      <c r="M258" s="2"/>
      <c r="N258" s="7">
        <f t="shared" si="84"/>
        <v>-0.7508142735386284</v>
      </c>
      <c r="O258" s="11"/>
      <c r="P258" s="6">
        <v>73450.16</v>
      </c>
      <c r="Q258" s="2"/>
      <c r="R258" s="7">
        <f t="shared" si="85"/>
        <v>4.5637062919702109E-3</v>
      </c>
      <c r="S258" s="2"/>
      <c r="T258" s="6">
        <v>110958.12</v>
      </c>
      <c r="U258" s="2"/>
      <c r="V258" s="7">
        <f t="shared" si="86"/>
        <v>6.9626936787463697E-3</v>
      </c>
      <c r="W258" s="2"/>
      <c r="X258" s="6">
        <f t="shared" si="87"/>
        <v>-37507.959999999992</v>
      </c>
      <c r="Y258" s="2"/>
      <c r="Z258" s="7">
        <f t="shared" si="88"/>
        <v>-0.33803709003000404</v>
      </c>
    </row>
    <row r="259" spans="1:26" s="24" customFormat="1" hidden="1" outlineLevel="2" x14ac:dyDescent="0.25">
      <c r="A259" s="26"/>
      <c r="B259" s="11" t="str">
        <f>CONCATENATE("          ", "6375", " - ", "OUTSIDE REPAIRS &amp; MAINTENANCE")</f>
        <v xml:space="preserve">          6375 - OUTSIDE REPAIRS &amp; MAINTENANCE</v>
      </c>
      <c r="C259" s="11"/>
      <c r="D259" s="6">
        <v>8618.98</v>
      </c>
      <c r="E259" s="2"/>
      <c r="F259" s="7">
        <f t="shared" si="81"/>
        <v>3.268470358845128E-3</v>
      </c>
      <c r="G259" s="2"/>
      <c r="H259" s="6">
        <v>18163.09</v>
      </c>
      <c r="I259" s="2"/>
      <c r="J259" s="7">
        <f t="shared" si="82"/>
        <v>8.2460654787926916E-3</v>
      </c>
      <c r="K259" s="2"/>
      <c r="L259" s="6">
        <f t="shared" si="83"/>
        <v>-9544.11</v>
      </c>
      <c r="M259" s="2"/>
      <c r="N259" s="7">
        <f t="shared" si="84"/>
        <v>-0.52546730760019356</v>
      </c>
      <c r="O259" s="11"/>
      <c r="P259" s="6">
        <v>101620.61</v>
      </c>
      <c r="Q259" s="2"/>
      <c r="R259" s="7">
        <f t="shared" si="85"/>
        <v>6.3140314092011629E-3</v>
      </c>
      <c r="S259" s="2"/>
      <c r="T259" s="6">
        <v>87779.849999999991</v>
      </c>
      <c r="U259" s="2"/>
      <c r="V259" s="7">
        <f t="shared" si="86"/>
        <v>5.5082422693923123E-3</v>
      </c>
      <c r="W259" s="2"/>
      <c r="X259" s="6">
        <f t="shared" si="87"/>
        <v>13840.760000000009</v>
      </c>
      <c r="Y259" s="2"/>
      <c r="Z259" s="7">
        <f t="shared" si="88"/>
        <v>0.15767582195686153</v>
      </c>
    </row>
    <row r="260" spans="1:26" s="25" customFormat="1" outlineLevel="1" collapsed="1" x14ac:dyDescent="0.25">
      <c r="A260" s="27"/>
      <c r="B260" s="13" t="str">
        <f>CONCATENATE("     ","Royalty &amp; Commissions                             ")</f>
        <v xml:space="preserve">     Royalty &amp; Commissions                             </v>
      </c>
      <c r="C260" s="13"/>
      <c r="D260" s="1">
        <f>SUM(OSRRefD22_19x_0)</f>
        <v>40827.380000000005</v>
      </c>
      <c r="E260" s="1"/>
      <c r="F260" s="5">
        <f t="shared" ref="F260:F263" si="89">IF(D$12=0,0,D260/D$12)</f>
        <v>1.5482467920717582E-2</v>
      </c>
      <c r="G260" s="1"/>
      <c r="H260" s="1">
        <f>SUM(OSRRefH22_19x_0)</f>
        <v>40734.25</v>
      </c>
      <c r="I260" s="1"/>
      <c r="J260" s="5">
        <f t="shared" ref="J260:J263" si="90">IF(H$12=0,0,H260/H$12)</f>
        <v>1.8493400227026963E-2</v>
      </c>
      <c r="K260" s="1"/>
      <c r="L260" s="1">
        <f t="shared" ref="L260:L263" si="91">+D260-H260</f>
        <v>93.130000000004657</v>
      </c>
      <c r="M260" s="1"/>
      <c r="N260" s="5">
        <f t="shared" ref="N260:N263" si="92">IF(H260=0,0,L260/H260)</f>
        <v>2.2862824281778761E-3</v>
      </c>
      <c r="O260" s="13"/>
      <c r="P260" s="1">
        <f>SUM(OSRRefP22_19x_0)</f>
        <v>170928.8</v>
      </c>
      <c r="Q260" s="1"/>
      <c r="R260" s="5">
        <f t="shared" ref="R260:R263" si="93">IF(P$12=0,0,P260/P$12)</f>
        <v>1.0620383128354215E-2</v>
      </c>
      <c r="S260" s="1"/>
      <c r="T260" s="1">
        <f>SUM(OSRRefT22_19x_0)</f>
        <v>193290.28</v>
      </c>
      <c r="U260" s="1"/>
      <c r="V260" s="5">
        <f t="shared" ref="V260:V263" si="94">IF(T$12=0,0,T260/T$12)</f>
        <v>1.2129089882913625E-2</v>
      </c>
      <c r="W260" s="1"/>
      <c r="X260" s="1">
        <f t="shared" ref="X260:X263" si="95">+P260-T260</f>
        <v>-22361.48000000001</v>
      </c>
      <c r="Y260" s="1"/>
      <c r="Z260" s="5">
        <f t="shared" ref="Z260:Z263" si="96">IF(T260=0,0,X260/T260)</f>
        <v>-0.11568859023847454</v>
      </c>
    </row>
    <row r="261" spans="1:26" s="24" customFormat="1" hidden="1" outlineLevel="2" x14ac:dyDescent="0.25">
      <c r="A261" s="26"/>
      <c r="B261" s="11" t="str">
        <f>CONCATENATE("          ", "6253", " - ", "ROYALTY DUE ATHLETICS-LRG")</f>
        <v xml:space="preserve">          6253 - ROYALTY DUE ATHLETICS-LRG</v>
      </c>
      <c r="C261" s="11"/>
      <c r="D261" s="6"/>
      <c r="E261" s="2"/>
      <c r="F261" s="7">
        <f t="shared" si="89"/>
        <v>0</v>
      </c>
      <c r="G261" s="2"/>
      <c r="H261" s="6"/>
      <c r="I261" s="2"/>
      <c r="J261" s="7">
        <f t="shared" si="90"/>
        <v>0</v>
      </c>
      <c r="K261" s="2"/>
      <c r="L261" s="6">
        <f t="shared" si="91"/>
        <v>0</v>
      </c>
      <c r="M261" s="2"/>
      <c r="N261" s="7">
        <f t="shared" si="92"/>
        <v>0</v>
      </c>
      <c r="O261" s="11"/>
      <c r="P261" s="6">
        <v>4366.95</v>
      </c>
      <c r="Q261" s="2"/>
      <c r="R261" s="7">
        <f t="shared" si="93"/>
        <v>2.7133333939258008E-4</v>
      </c>
      <c r="S261" s="2"/>
      <c r="T261" s="6">
        <v>22994.42</v>
      </c>
      <c r="U261" s="2"/>
      <c r="V261" s="7">
        <f t="shared" si="94"/>
        <v>1.4429147031369952E-3</v>
      </c>
      <c r="W261" s="2"/>
      <c r="X261" s="6">
        <f t="shared" si="95"/>
        <v>-18627.469999999998</v>
      </c>
      <c r="Y261" s="2"/>
      <c r="Z261" s="7">
        <f t="shared" si="96"/>
        <v>-0.81008653403738817</v>
      </c>
    </row>
    <row r="262" spans="1:26" s="24" customFormat="1" hidden="1" outlineLevel="2" x14ac:dyDescent="0.25">
      <c r="A262" s="26"/>
      <c r="B262" s="11" t="str">
        <f>CONCATENATE("          ", "6254", " - ", "ROYALTY &amp; COMMISSIONS")</f>
        <v xml:space="preserve">          6254 - ROYALTY &amp; COMMISSIONS</v>
      </c>
      <c r="C262" s="11"/>
      <c r="D262" s="6">
        <v>8810.44</v>
      </c>
      <c r="E262" s="2"/>
      <c r="F262" s="7">
        <f t="shared" si="89"/>
        <v>3.341075392724368E-3</v>
      </c>
      <c r="G262" s="2"/>
      <c r="H262" s="6">
        <v>8554.57</v>
      </c>
      <c r="I262" s="2"/>
      <c r="J262" s="7">
        <f t="shared" si="90"/>
        <v>3.8837854331457691E-3</v>
      </c>
      <c r="K262" s="2"/>
      <c r="L262" s="6">
        <f t="shared" si="91"/>
        <v>255.8700000000008</v>
      </c>
      <c r="M262" s="2"/>
      <c r="N262" s="7">
        <f t="shared" si="92"/>
        <v>2.9910328631363215E-2</v>
      </c>
      <c r="O262" s="11"/>
      <c r="P262" s="6">
        <v>60961.29</v>
      </c>
      <c r="Q262" s="2"/>
      <c r="R262" s="7">
        <f t="shared" si="93"/>
        <v>3.7877306562657002E-3</v>
      </c>
      <c r="S262" s="2"/>
      <c r="T262" s="6">
        <v>64135.16</v>
      </c>
      <c r="U262" s="2"/>
      <c r="V262" s="7">
        <f t="shared" si="94"/>
        <v>4.02452270385788E-3</v>
      </c>
      <c r="W262" s="2"/>
      <c r="X262" s="6">
        <f t="shared" si="95"/>
        <v>-3173.8700000000026</v>
      </c>
      <c r="Y262" s="2"/>
      <c r="Z262" s="7">
        <f t="shared" si="96"/>
        <v>-4.948720795270492E-2</v>
      </c>
    </row>
    <row r="263" spans="1:26" s="24" customFormat="1" hidden="1" outlineLevel="2" x14ac:dyDescent="0.25">
      <c r="A263" s="26"/>
      <c r="B263" s="11" t="str">
        <f>CONCATENATE("          ", "6259", " - ", "ROYALTY &amp; COMMISSIONS")</f>
        <v xml:space="preserve">          6259 - ROYALTY &amp; COMMISSIONS</v>
      </c>
      <c r="C263" s="11"/>
      <c r="D263" s="6">
        <v>32016.940000000002</v>
      </c>
      <c r="E263" s="2"/>
      <c r="F263" s="7">
        <f t="shared" si="89"/>
        <v>1.2141392527993213E-2</v>
      </c>
      <c r="G263" s="2"/>
      <c r="H263" s="6">
        <v>32179.68</v>
      </c>
      <c r="I263" s="2"/>
      <c r="J263" s="7">
        <f t="shared" si="90"/>
        <v>1.4609614793881195E-2</v>
      </c>
      <c r="K263" s="2"/>
      <c r="L263" s="6">
        <f t="shared" si="91"/>
        <v>-162.73999999999796</v>
      </c>
      <c r="M263" s="2"/>
      <c r="N263" s="7">
        <f t="shared" si="92"/>
        <v>-5.0572286610680393E-3</v>
      </c>
      <c r="O263" s="11"/>
      <c r="P263" s="6">
        <v>105600.56</v>
      </c>
      <c r="Q263" s="2"/>
      <c r="R263" s="7">
        <f t="shared" si="93"/>
        <v>6.5613191326959353E-3</v>
      </c>
      <c r="S263" s="2"/>
      <c r="T263" s="6">
        <v>106160.7</v>
      </c>
      <c r="U263" s="2"/>
      <c r="V263" s="7">
        <f t="shared" si="94"/>
        <v>6.6616524759187503E-3</v>
      </c>
      <c r="W263" s="2"/>
      <c r="X263" s="6">
        <f t="shared" si="95"/>
        <v>-560.13999999999942</v>
      </c>
      <c r="Y263" s="2"/>
      <c r="Z263" s="7">
        <f t="shared" si="96"/>
        <v>-5.2763404913494299E-3</v>
      </c>
    </row>
    <row r="264" spans="1:26" s="25" customFormat="1" outlineLevel="1" collapsed="1" x14ac:dyDescent="0.25">
      <c r="A264" s="27"/>
      <c r="B264" s="13" t="str">
        <f>CONCATENATE("     ","Services                                          ")</f>
        <v xml:space="preserve">     Services                                          </v>
      </c>
      <c r="C264" s="13"/>
      <c r="D264" s="1">
        <f>SUM(OSRRefD22_20x_0)</f>
        <v>44379.14</v>
      </c>
      <c r="E264" s="1"/>
      <c r="F264" s="5">
        <f t="shared" ref="F264:F269" si="97">IF(D$12=0,0,D264/D$12)</f>
        <v>1.6829358420722425E-2</v>
      </c>
      <c r="G264" s="1"/>
      <c r="H264" s="1">
        <f>SUM(OSRRefH22_20x_0)</f>
        <v>37855.630000000005</v>
      </c>
      <c r="I264" s="1"/>
      <c r="J264" s="5">
        <f t="shared" ref="J264:J269" si="98">IF(H$12=0,0,H264/H$12)</f>
        <v>1.7186503162234454E-2</v>
      </c>
      <c r="K264" s="1"/>
      <c r="L264" s="1">
        <f t="shared" ref="L264:L269" si="99">+D264-H264</f>
        <v>6523.5099999999948</v>
      </c>
      <c r="M264" s="1"/>
      <c r="N264" s="5">
        <f t="shared" ref="N264:N269" si="100">IF(H264=0,0,L264/H264)</f>
        <v>0.17232601861334745</v>
      </c>
      <c r="O264" s="13"/>
      <c r="P264" s="1">
        <f>SUM(OSRRefP22_20x_0)</f>
        <v>229559.25</v>
      </c>
      <c r="Q264" s="1"/>
      <c r="R264" s="5">
        <f t="shared" ref="R264:R269" si="101">IF(P$12=0,0,P264/P$12)</f>
        <v>1.4263290830203263E-2</v>
      </c>
      <c r="S264" s="1"/>
      <c r="T264" s="1">
        <f>SUM(OSRRefT22_20x_0)</f>
        <v>217990.95999999996</v>
      </c>
      <c r="U264" s="1"/>
      <c r="V264" s="5">
        <f t="shared" ref="V264:V269" si="102">IF(T$12=0,0,T264/T$12)</f>
        <v>1.3679073502830191E-2</v>
      </c>
      <c r="W264" s="1"/>
      <c r="X264" s="1">
        <f t="shared" ref="X264:X269" si="103">+P264-T264</f>
        <v>11568.290000000037</v>
      </c>
      <c r="Y264" s="1"/>
      <c r="Z264" s="5">
        <f t="shared" ref="Z264:Z269" si="104">IF(T264=0,0,X264/T264)</f>
        <v>5.3067751066374673E-2</v>
      </c>
    </row>
    <row r="265" spans="1:26" s="24" customFormat="1" hidden="1" outlineLevel="2" x14ac:dyDescent="0.25">
      <c r="A265" s="26"/>
      <c r="B265" s="11" t="str">
        <f>CONCATENATE("          ", "6282", " - ", "JANITORIAL/EXTERMINATOR EXPENS")</f>
        <v xml:space="preserve">          6282 - JANITORIAL/EXTERMINATOR EXPENS</v>
      </c>
      <c r="C265" s="11"/>
      <c r="D265" s="6">
        <v>3352.11</v>
      </c>
      <c r="E265" s="2"/>
      <c r="F265" s="7">
        <f t="shared" si="97"/>
        <v>1.2711796726049187E-3</v>
      </c>
      <c r="G265" s="2"/>
      <c r="H265" s="6">
        <v>3727.37</v>
      </c>
      <c r="I265" s="2"/>
      <c r="J265" s="7">
        <f t="shared" si="98"/>
        <v>1.6922306217547517E-3</v>
      </c>
      <c r="K265" s="2"/>
      <c r="L265" s="6">
        <f t="shared" si="99"/>
        <v>-375.25999999999976</v>
      </c>
      <c r="M265" s="2"/>
      <c r="N265" s="7">
        <f t="shared" si="100"/>
        <v>-0.10067688477398266</v>
      </c>
      <c r="O265" s="11"/>
      <c r="P265" s="6">
        <v>18410.990000000002</v>
      </c>
      <c r="Q265" s="2"/>
      <c r="R265" s="7">
        <f t="shared" si="101"/>
        <v>1.1439369349828595E-3</v>
      </c>
      <c r="S265" s="2"/>
      <c r="T265" s="6">
        <v>18022.289999999997</v>
      </c>
      <c r="U265" s="2"/>
      <c r="V265" s="7">
        <f t="shared" si="102"/>
        <v>1.1309103349942653E-3</v>
      </c>
      <c r="W265" s="2"/>
      <c r="X265" s="6">
        <f t="shared" si="103"/>
        <v>388.70000000000437</v>
      </c>
      <c r="Y265" s="2"/>
      <c r="Z265" s="7">
        <f t="shared" si="104"/>
        <v>2.1567736397539072E-2</v>
      </c>
    </row>
    <row r="266" spans="1:26" s="24" customFormat="1" hidden="1" outlineLevel="2" x14ac:dyDescent="0.25">
      <c r="A266" s="26"/>
      <c r="B266" s="11" t="str">
        <f>CONCATENATE("          ", "6283", " - ", "PLANT SERVICE")</f>
        <v xml:space="preserve">          6283 - PLANT SERVICE</v>
      </c>
      <c r="C266" s="11"/>
      <c r="D266" s="6">
        <v>199.78</v>
      </c>
      <c r="E266" s="2"/>
      <c r="F266" s="7">
        <f t="shared" si="97"/>
        <v>7.5760125709780008E-5</v>
      </c>
      <c r="G266" s="2"/>
      <c r="H266" s="6">
        <v>349</v>
      </c>
      <c r="I266" s="2"/>
      <c r="J266" s="7">
        <f t="shared" si="98"/>
        <v>1.5844643461540131E-4</v>
      </c>
      <c r="K266" s="2"/>
      <c r="L266" s="6">
        <f t="shared" si="99"/>
        <v>-149.22</v>
      </c>
      <c r="M266" s="2"/>
      <c r="N266" s="7">
        <f t="shared" si="100"/>
        <v>-0.42756446991404012</v>
      </c>
      <c r="O266" s="11"/>
      <c r="P266" s="6">
        <v>1341.1</v>
      </c>
      <c r="Q266" s="2"/>
      <c r="R266" s="7">
        <f t="shared" si="101"/>
        <v>8.3327068425191291E-5</v>
      </c>
      <c r="S266" s="2"/>
      <c r="T266" s="6">
        <v>1867.5</v>
      </c>
      <c r="U266" s="2"/>
      <c r="V266" s="7">
        <f t="shared" si="102"/>
        <v>1.1718683089672794E-4</v>
      </c>
      <c r="W266" s="2"/>
      <c r="X266" s="6">
        <f t="shared" si="103"/>
        <v>-526.40000000000009</v>
      </c>
      <c r="Y266" s="2"/>
      <c r="Z266" s="7">
        <f t="shared" si="104"/>
        <v>-0.28187416331994652</v>
      </c>
    </row>
    <row r="267" spans="1:26" s="24" customFormat="1" hidden="1" outlineLevel="2" x14ac:dyDescent="0.25">
      <c r="A267" s="26"/>
      <c r="B267" s="11" t="str">
        <f>CONCATENATE("          ", "6284", " - ", "TRASH REMOVAL EXPENSE")</f>
        <v xml:space="preserve">          6284 - TRASH REMOVAL EXPENSE</v>
      </c>
      <c r="C267" s="11"/>
      <c r="D267" s="6">
        <v>4570.82</v>
      </c>
      <c r="E267" s="2"/>
      <c r="F267" s="7">
        <f t="shared" si="97"/>
        <v>1.7333361587585174E-3</v>
      </c>
      <c r="G267" s="2"/>
      <c r="H267" s="6">
        <v>4557.46</v>
      </c>
      <c r="I267" s="2"/>
      <c r="J267" s="7">
        <f t="shared" si="98"/>
        <v>2.069092515479389E-3</v>
      </c>
      <c r="K267" s="2"/>
      <c r="L267" s="6">
        <f t="shared" si="99"/>
        <v>13.359999999999673</v>
      </c>
      <c r="M267" s="2"/>
      <c r="N267" s="7">
        <f t="shared" si="100"/>
        <v>2.9314574346236003E-3</v>
      </c>
      <c r="O267" s="11"/>
      <c r="P267" s="6">
        <v>14842.1</v>
      </c>
      <c r="Q267" s="2"/>
      <c r="R267" s="7">
        <f t="shared" si="101"/>
        <v>9.2218975637426879E-4</v>
      </c>
      <c r="S267" s="2"/>
      <c r="T267" s="6">
        <v>32864.300000000003</v>
      </c>
      <c r="U267" s="2"/>
      <c r="V267" s="7">
        <f t="shared" si="102"/>
        <v>2.0622560463932189E-3</v>
      </c>
      <c r="W267" s="2"/>
      <c r="X267" s="6">
        <f t="shared" si="103"/>
        <v>-18022.200000000004</v>
      </c>
      <c r="Y267" s="2"/>
      <c r="Z267" s="7">
        <f t="shared" si="104"/>
        <v>-0.5483822871626659</v>
      </c>
    </row>
    <row r="268" spans="1:26" s="24" customFormat="1" hidden="1" outlineLevel="2" x14ac:dyDescent="0.25">
      <c r="A268" s="26"/>
      <c r="B268" s="11" t="str">
        <f>CONCATENATE("          ", "6285", " - ", "JANITORIAL SERVICES")</f>
        <v xml:space="preserve">          6285 - JANITORIAL SERVICES</v>
      </c>
      <c r="C268" s="11"/>
      <c r="D268" s="6">
        <v>28975.550000000003</v>
      </c>
      <c r="E268" s="2"/>
      <c r="F268" s="7">
        <f t="shared" si="97"/>
        <v>1.0988043400290401E-2</v>
      </c>
      <c r="G268" s="2"/>
      <c r="H268" s="6">
        <v>21647.18</v>
      </c>
      <c r="I268" s="2"/>
      <c r="J268" s="7">
        <f t="shared" si="98"/>
        <v>9.8278466775868836E-3</v>
      </c>
      <c r="K268" s="2"/>
      <c r="L268" s="6">
        <f t="shared" si="99"/>
        <v>7328.3700000000026</v>
      </c>
      <c r="M268" s="2"/>
      <c r="N268" s="7">
        <f t="shared" si="100"/>
        <v>0.33853693645084498</v>
      </c>
      <c r="O268" s="11"/>
      <c r="P268" s="6">
        <v>149818.35</v>
      </c>
      <c r="Q268" s="2"/>
      <c r="R268" s="7">
        <f t="shared" si="101"/>
        <v>9.3087196344786068E-3</v>
      </c>
      <c r="S268" s="2"/>
      <c r="T268" s="6">
        <v>124804.56999999999</v>
      </c>
      <c r="U268" s="2"/>
      <c r="V268" s="7">
        <f t="shared" si="102"/>
        <v>7.8315673572845225E-3</v>
      </c>
      <c r="W268" s="2"/>
      <c r="X268" s="6">
        <f t="shared" si="103"/>
        <v>25013.780000000013</v>
      </c>
      <c r="Y268" s="2"/>
      <c r="Z268" s="7">
        <f t="shared" si="104"/>
        <v>0.200423590257953</v>
      </c>
    </row>
    <row r="269" spans="1:26" s="24" customFormat="1" hidden="1" outlineLevel="2" x14ac:dyDescent="0.25">
      <c r="A269" s="26"/>
      <c r="B269" s="11" t="str">
        <f>CONCATENATE("          ", "6286", " - ", "LAUNDRY EXPENSE")</f>
        <v xml:space="preserve">          6286 - LAUNDRY EXPENSE</v>
      </c>
      <c r="C269" s="11"/>
      <c r="D269" s="6">
        <v>7280.88</v>
      </c>
      <c r="E269" s="2"/>
      <c r="F269" s="7">
        <f t="shared" si="97"/>
        <v>2.7610390633588102E-3</v>
      </c>
      <c r="G269" s="2"/>
      <c r="H269" s="6">
        <v>7574.62</v>
      </c>
      <c r="I269" s="2"/>
      <c r="J269" s="7">
        <f t="shared" si="98"/>
        <v>3.4388869127980255E-3</v>
      </c>
      <c r="K269" s="2"/>
      <c r="L269" s="6">
        <f t="shared" si="99"/>
        <v>-293.73999999999978</v>
      </c>
      <c r="M269" s="2"/>
      <c r="N269" s="7">
        <f t="shared" si="100"/>
        <v>-3.8779503130190005E-2</v>
      </c>
      <c r="O269" s="11"/>
      <c r="P269" s="6">
        <v>45146.71</v>
      </c>
      <c r="Q269" s="2"/>
      <c r="R269" s="7">
        <f t="shared" si="101"/>
        <v>2.8051174359423371E-3</v>
      </c>
      <c r="S269" s="2"/>
      <c r="T269" s="6">
        <v>40432.300000000003</v>
      </c>
      <c r="U269" s="2"/>
      <c r="V269" s="7">
        <f t="shared" si="102"/>
        <v>2.5371529332614585E-3</v>
      </c>
      <c r="W269" s="2"/>
      <c r="X269" s="6">
        <f t="shared" si="103"/>
        <v>4714.4099999999962</v>
      </c>
      <c r="Y269" s="2"/>
      <c r="Z269" s="7">
        <f t="shared" si="104"/>
        <v>0.11660009447891898</v>
      </c>
    </row>
    <row r="270" spans="1:26" s="25" customFormat="1" outlineLevel="1" collapsed="1" x14ac:dyDescent="0.25">
      <c r="A270" s="27"/>
      <c r="B270" s="13" t="str">
        <f>CONCATENATE("     ","Subscriptions &amp; Dues                              ")</f>
        <v xml:space="preserve">     Subscriptions &amp; Dues                              </v>
      </c>
      <c r="C270" s="13"/>
      <c r="D270" s="1">
        <f>SUM(OSRRefD22_21x_0)</f>
        <v>630.14</v>
      </c>
      <c r="E270" s="1"/>
      <c r="F270" s="5">
        <f t="shared" ref="F270:F272" si="105">IF(D$12=0,0,D270/D$12)</f>
        <v>2.3896028438662916E-4</v>
      </c>
      <c r="G270" s="1"/>
      <c r="H270" s="1">
        <f>SUM(OSRRefH22_21x_0)</f>
        <v>4404.79</v>
      </c>
      <c r="I270" s="1"/>
      <c r="J270" s="5">
        <f t="shared" ref="J270:J272" si="106">IF(H$12=0,0,H270/H$12)</f>
        <v>1.999780145356944E-3</v>
      </c>
      <c r="K270" s="1"/>
      <c r="L270" s="1">
        <f t="shared" ref="L270:L272" si="107">+D270-H270</f>
        <v>-3774.65</v>
      </c>
      <c r="M270" s="1"/>
      <c r="N270" s="5">
        <f t="shared" ref="N270:N272" si="108">IF(H270=0,0,L270/H270)</f>
        <v>-0.85694210166659479</v>
      </c>
      <c r="O270" s="13"/>
      <c r="P270" s="1">
        <f>SUM(OSRRefP22_21x_0)</f>
        <v>74.539999999999964</v>
      </c>
      <c r="Q270" s="1"/>
      <c r="R270" s="5">
        <f t="shared" ref="R270:R272" si="109">IF(P$12=0,0,P270/P$12)</f>
        <v>4.6314217287404045E-6</v>
      </c>
      <c r="S270" s="1"/>
      <c r="T270" s="1">
        <f>SUM(OSRRefT22_21x_0)</f>
        <v>8948.4700000000012</v>
      </c>
      <c r="U270" s="1"/>
      <c r="V270" s="5">
        <f t="shared" ref="V270:V272" si="110">IF(T$12=0,0,T270/T$12)</f>
        <v>5.6152227077614094E-4</v>
      </c>
      <c r="W270" s="1"/>
      <c r="X270" s="1">
        <f t="shared" ref="X270:X272" si="111">+P270-T270</f>
        <v>-8873.93</v>
      </c>
      <c r="Y270" s="1"/>
      <c r="Z270" s="5">
        <f t="shared" ref="Z270:Z272" si="112">IF(T270=0,0,X270/T270)</f>
        <v>-0.9916700843831403</v>
      </c>
    </row>
    <row r="271" spans="1:26" s="24" customFormat="1" hidden="1" outlineLevel="2" x14ac:dyDescent="0.25">
      <c r="A271" s="26"/>
      <c r="B271" s="11" t="str">
        <f>CONCATENATE("          ", "6258", " - ", "MEMBERSHIP DUES")</f>
        <v xml:space="preserve">          6258 - MEMBERSHIP DUES</v>
      </c>
      <c r="C271" s="11"/>
      <c r="D271" s="6">
        <v>250</v>
      </c>
      <c r="E271" s="2"/>
      <c r="F271" s="7">
        <f t="shared" si="105"/>
        <v>9.480444202345081E-5</v>
      </c>
      <c r="G271" s="2"/>
      <c r="H271" s="6">
        <v>3566.01</v>
      </c>
      <c r="I271" s="2"/>
      <c r="J271" s="7">
        <f t="shared" si="106"/>
        <v>1.6189729808105077E-3</v>
      </c>
      <c r="K271" s="2"/>
      <c r="L271" s="6">
        <f t="shared" si="107"/>
        <v>-3316.01</v>
      </c>
      <c r="M271" s="2"/>
      <c r="N271" s="7">
        <f t="shared" si="108"/>
        <v>-0.92989363462244923</v>
      </c>
      <c r="O271" s="11"/>
      <c r="P271" s="6">
        <v>-3572.6</v>
      </c>
      <c r="Q271" s="2"/>
      <c r="R271" s="7">
        <f t="shared" si="109"/>
        <v>-2.2197769342766269E-4</v>
      </c>
      <c r="S271" s="2"/>
      <c r="T271" s="6">
        <v>5281.93</v>
      </c>
      <c r="U271" s="2"/>
      <c r="V271" s="7">
        <f t="shared" si="110"/>
        <v>3.3144451818921243E-4</v>
      </c>
      <c r="W271" s="2"/>
      <c r="X271" s="6">
        <f t="shared" si="111"/>
        <v>-8854.5300000000007</v>
      </c>
      <c r="Y271" s="2"/>
      <c r="Z271" s="7">
        <f t="shared" si="112"/>
        <v>-1.6763815499258794</v>
      </c>
    </row>
    <row r="272" spans="1:26" s="24" customFormat="1" hidden="1" outlineLevel="2" x14ac:dyDescent="0.25">
      <c r="A272" s="26"/>
      <c r="B272" s="11" t="str">
        <f>CONCATENATE("          ", "6275", " - ", "SUBSCRIPTIONS")</f>
        <v xml:space="preserve">          6275 - SUBSCRIPTIONS</v>
      </c>
      <c r="C272" s="11"/>
      <c r="D272" s="6">
        <v>380.14</v>
      </c>
      <c r="E272" s="2"/>
      <c r="F272" s="7">
        <f t="shared" si="105"/>
        <v>1.4415584236317835E-4</v>
      </c>
      <c r="G272" s="2"/>
      <c r="H272" s="6">
        <v>838.78</v>
      </c>
      <c r="I272" s="2"/>
      <c r="J272" s="7">
        <f t="shared" si="106"/>
        <v>3.8080716454643636E-4</v>
      </c>
      <c r="K272" s="2"/>
      <c r="L272" s="6">
        <f t="shared" si="107"/>
        <v>-458.64</v>
      </c>
      <c r="M272" s="2"/>
      <c r="N272" s="7">
        <f t="shared" si="108"/>
        <v>-0.54679415341329074</v>
      </c>
      <c r="O272" s="11"/>
      <c r="P272" s="6">
        <v>3647.14</v>
      </c>
      <c r="Q272" s="2"/>
      <c r="R272" s="7">
        <f t="shared" si="109"/>
        <v>2.2660911515640309E-4</v>
      </c>
      <c r="S272" s="2"/>
      <c r="T272" s="6">
        <v>3666.54</v>
      </c>
      <c r="U272" s="2"/>
      <c r="V272" s="7">
        <f t="shared" si="110"/>
        <v>2.3007775258692843E-4</v>
      </c>
      <c r="W272" s="2"/>
      <c r="X272" s="6">
        <f t="shared" si="111"/>
        <v>-19.400000000000091</v>
      </c>
      <c r="Y272" s="2"/>
      <c r="Z272" s="7">
        <f t="shared" si="112"/>
        <v>-5.2910918740829479E-3</v>
      </c>
    </row>
    <row r="273" spans="1:26" s="25" customFormat="1" outlineLevel="1" collapsed="1" x14ac:dyDescent="0.25">
      <c r="A273" s="27"/>
      <c r="B273" s="13" t="str">
        <f>CONCATENATE("     ","Supplies                                          ")</f>
        <v xml:space="preserve">     Supplies                                          </v>
      </c>
      <c r="C273" s="13"/>
      <c r="D273" s="1">
        <f>SUM(OSRRefD22_22x_0)</f>
        <v>40617.73000000001</v>
      </c>
      <c r="E273" s="1"/>
      <c r="F273" s="5">
        <f t="shared" ref="F273:F281" si="113">IF(D$12=0,0,D273/D$12)</f>
        <v>1.5402964915636717E-2</v>
      </c>
      <c r="G273" s="1"/>
      <c r="H273" s="1">
        <f>SUM(OSRRefH22_22x_0)</f>
        <v>56117.95</v>
      </c>
      <c r="I273" s="1"/>
      <c r="J273" s="5">
        <f t="shared" ref="J273:J281" si="114">IF(H$12=0,0,H273/H$12)</f>
        <v>2.547761918459988E-2</v>
      </c>
      <c r="K273" s="1"/>
      <c r="L273" s="1">
        <f t="shared" ref="L273:L281" si="115">+D273-H273</f>
        <v>-15500.219999999987</v>
      </c>
      <c r="M273" s="1"/>
      <c r="N273" s="5">
        <f t="shared" ref="N273:N281" si="116">IF(H273=0,0,L273/H273)</f>
        <v>-0.27620788000987184</v>
      </c>
      <c r="O273" s="13"/>
      <c r="P273" s="1">
        <f>SUM(OSRRefP22_22x_0)</f>
        <v>327445.94000000006</v>
      </c>
      <c r="Q273" s="1"/>
      <c r="R273" s="5">
        <f t="shared" ref="R273:R281" si="117">IF(P$12=0,0,P273/P$12)</f>
        <v>2.0345321190016471E-2</v>
      </c>
      <c r="S273" s="1"/>
      <c r="T273" s="1">
        <f>SUM(OSRRefT22_22x_0)</f>
        <v>350872.93000000005</v>
      </c>
      <c r="U273" s="1"/>
      <c r="V273" s="5">
        <f t="shared" ref="V273:V281" si="118">IF(T$12=0,0,T273/T$12)</f>
        <v>2.2017502925916716E-2</v>
      </c>
      <c r="W273" s="1"/>
      <c r="X273" s="1">
        <f t="shared" ref="X273:X281" si="119">+P273-T273</f>
        <v>-23426.989999999991</v>
      </c>
      <c r="Y273" s="1"/>
      <c r="Z273" s="5">
        <f t="shared" ref="Z273:Z281" si="120">IF(T273=0,0,X273/T273)</f>
        <v>-6.676773269456833E-2</v>
      </c>
    </row>
    <row r="274" spans="1:26" s="24" customFormat="1" hidden="1" outlineLevel="2" x14ac:dyDescent="0.25">
      <c r="A274" s="26"/>
      <c r="B274" s="11" t="str">
        <f>CONCATENATE("          ", "6234", " - ", "EXPENDABLE SUPPLIES &amp; EQUIPMEN")</f>
        <v xml:space="preserve">          6234 - EXPENDABLE SUPPLIES &amp; EQUIPMEN</v>
      </c>
      <c r="C274" s="11"/>
      <c r="D274" s="6">
        <v>690.7</v>
      </c>
      <c r="E274" s="2"/>
      <c r="F274" s="7">
        <f t="shared" si="113"/>
        <v>2.6192571242238989E-4</v>
      </c>
      <c r="G274" s="2"/>
      <c r="H274" s="6">
        <v>718.67</v>
      </c>
      <c r="I274" s="2"/>
      <c r="J274" s="7">
        <f t="shared" si="114"/>
        <v>3.2627707497149123E-4</v>
      </c>
      <c r="K274" s="2"/>
      <c r="L274" s="6">
        <f t="shared" si="115"/>
        <v>-27.969999999999914</v>
      </c>
      <c r="M274" s="2"/>
      <c r="N274" s="7">
        <f t="shared" si="116"/>
        <v>-3.8919114475350181E-2</v>
      </c>
      <c r="O274" s="11"/>
      <c r="P274" s="6">
        <v>15631.2</v>
      </c>
      <c r="Q274" s="2"/>
      <c r="R274" s="7">
        <f t="shared" si="117"/>
        <v>9.7121920212351828E-4</v>
      </c>
      <c r="S274" s="2"/>
      <c r="T274" s="6">
        <v>11277.86</v>
      </c>
      <c r="U274" s="2"/>
      <c r="V274" s="7">
        <f t="shared" si="118"/>
        <v>7.0769299742809758E-4</v>
      </c>
      <c r="W274" s="2"/>
      <c r="X274" s="6">
        <f t="shared" si="119"/>
        <v>4353.34</v>
      </c>
      <c r="Y274" s="2"/>
      <c r="Z274" s="7">
        <f t="shared" si="120"/>
        <v>0.38600762910694048</v>
      </c>
    </row>
    <row r="275" spans="1:26" s="24" customFormat="1" hidden="1" outlineLevel="2" x14ac:dyDescent="0.25">
      <c r="A275" s="26"/>
      <c r="B275" s="11" t="str">
        <f>CONCATENATE("          ", "6237", " - ", "JANITORIAL SUPPLIES")</f>
        <v xml:space="preserve">          6237 - JANITORIAL SUPPLIES</v>
      </c>
      <c r="C275" s="11"/>
      <c r="D275" s="6">
        <v>14764.729999999998</v>
      </c>
      <c r="E275" s="2"/>
      <c r="F275" s="7">
        <f t="shared" si="113"/>
        <v>5.5990479571076182E-3</v>
      </c>
      <c r="G275" s="2"/>
      <c r="H275" s="6">
        <v>12539.87</v>
      </c>
      <c r="I275" s="2"/>
      <c r="J275" s="7">
        <f t="shared" si="114"/>
        <v>5.6931165961049638E-3</v>
      </c>
      <c r="K275" s="2"/>
      <c r="L275" s="6">
        <f t="shared" si="115"/>
        <v>2224.8599999999969</v>
      </c>
      <c r="M275" s="2"/>
      <c r="N275" s="7">
        <f t="shared" si="116"/>
        <v>0.17742289194385563</v>
      </c>
      <c r="O275" s="11"/>
      <c r="P275" s="6">
        <v>75283.090000000011</v>
      </c>
      <c r="Q275" s="2"/>
      <c r="R275" s="7">
        <f t="shared" si="117"/>
        <v>4.6775924179329178E-3</v>
      </c>
      <c r="S275" s="2"/>
      <c r="T275" s="6">
        <v>78121.820000000007</v>
      </c>
      <c r="U275" s="2"/>
      <c r="V275" s="7">
        <f t="shared" si="118"/>
        <v>4.9021946504335312E-3</v>
      </c>
      <c r="W275" s="2"/>
      <c r="X275" s="6">
        <f t="shared" si="119"/>
        <v>-2838.7299999999959</v>
      </c>
      <c r="Y275" s="2"/>
      <c r="Z275" s="7">
        <f t="shared" si="120"/>
        <v>-3.6337223070327801E-2</v>
      </c>
    </row>
    <row r="276" spans="1:26" s="24" customFormat="1" hidden="1" outlineLevel="2" x14ac:dyDescent="0.25">
      <c r="A276" s="26"/>
      <c r="B276" s="11" t="str">
        <f>CONCATENATE("          ", "6239", " - ", "KITCHEN SUPPLIES")</f>
        <v xml:space="preserve">          6239 - KITCHEN SUPPLIES</v>
      </c>
      <c r="C276" s="11"/>
      <c r="D276" s="6">
        <v>4934.26</v>
      </c>
      <c r="E276" s="2"/>
      <c r="F276" s="7">
        <f t="shared" si="113"/>
        <v>1.8711590643945295E-3</v>
      </c>
      <c r="G276" s="2"/>
      <c r="H276" s="6">
        <v>4987.75</v>
      </c>
      <c r="I276" s="2"/>
      <c r="J276" s="7">
        <f t="shared" si="114"/>
        <v>2.2644447113265554E-3</v>
      </c>
      <c r="K276" s="2"/>
      <c r="L276" s="6">
        <f t="shared" si="115"/>
        <v>-53.489999999999782</v>
      </c>
      <c r="M276" s="2"/>
      <c r="N276" s="7">
        <f t="shared" si="116"/>
        <v>-1.0724274472457477E-2</v>
      </c>
      <c r="O276" s="11"/>
      <c r="P276" s="6">
        <v>51806.23</v>
      </c>
      <c r="Q276" s="2"/>
      <c r="R276" s="7">
        <f t="shared" si="117"/>
        <v>3.2188958855127871E-3</v>
      </c>
      <c r="S276" s="2"/>
      <c r="T276" s="6">
        <v>28190.57</v>
      </c>
      <c r="U276" s="2"/>
      <c r="V276" s="7">
        <f t="shared" si="118"/>
        <v>1.7689764709356744E-3</v>
      </c>
      <c r="W276" s="2"/>
      <c r="X276" s="6">
        <f t="shared" si="119"/>
        <v>23615.660000000003</v>
      </c>
      <c r="Y276" s="2"/>
      <c r="Z276" s="7">
        <f t="shared" si="120"/>
        <v>0.83771488125284466</v>
      </c>
    </row>
    <row r="277" spans="1:26" s="24" customFormat="1" hidden="1" outlineLevel="2" x14ac:dyDescent="0.25">
      <c r="A277" s="26"/>
      <c r="B277" s="11" t="str">
        <f>CONCATENATE("          ", "6241", " - ", "OFFICE EXPENSE")</f>
        <v xml:space="preserve">          6241 - OFFICE EXPENSE</v>
      </c>
      <c r="C277" s="11"/>
      <c r="D277" s="6">
        <v>6264.1</v>
      </c>
      <c r="E277" s="2"/>
      <c r="F277" s="7">
        <f t="shared" si="113"/>
        <v>2.3754580211163929E-3</v>
      </c>
      <c r="G277" s="2"/>
      <c r="H277" s="6">
        <v>23453.91</v>
      </c>
      <c r="I277" s="2"/>
      <c r="J277" s="7">
        <f t="shared" si="114"/>
        <v>1.0648104347537268E-2</v>
      </c>
      <c r="K277" s="2"/>
      <c r="L277" s="6">
        <f t="shared" si="115"/>
        <v>-17189.809999999998</v>
      </c>
      <c r="M277" s="2"/>
      <c r="N277" s="7">
        <f t="shared" si="116"/>
        <v>-0.7329187329532687</v>
      </c>
      <c r="O277" s="11"/>
      <c r="P277" s="6">
        <v>74030.12</v>
      </c>
      <c r="Q277" s="2"/>
      <c r="R277" s="7">
        <f t="shared" si="117"/>
        <v>4.5997411637947374E-3</v>
      </c>
      <c r="S277" s="2"/>
      <c r="T277" s="6">
        <v>66472.710000000006</v>
      </c>
      <c r="U277" s="2"/>
      <c r="V277" s="7">
        <f t="shared" si="118"/>
        <v>4.171205475778976E-3</v>
      </c>
      <c r="W277" s="2"/>
      <c r="X277" s="6">
        <f t="shared" si="119"/>
        <v>7557.4099999999889</v>
      </c>
      <c r="Y277" s="2"/>
      <c r="Z277" s="7">
        <f t="shared" si="120"/>
        <v>0.11369191958624808</v>
      </c>
    </row>
    <row r="278" spans="1:26" s="24" customFormat="1" hidden="1" outlineLevel="2" x14ac:dyDescent="0.25">
      <c r="A278" s="26"/>
      <c r="B278" s="11" t="str">
        <f>CONCATENATE("          ", "6243", " - ", "PAPER SUPPLIES")</f>
        <v xml:space="preserve">          6243 - PAPER SUPPLIES</v>
      </c>
      <c r="C278" s="11"/>
      <c r="D278" s="6">
        <v>9102.98</v>
      </c>
      <c r="E278" s="2"/>
      <c r="F278" s="7">
        <f t="shared" si="113"/>
        <v>3.4520117586025285E-3</v>
      </c>
      <c r="G278" s="2"/>
      <c r="H278" s="6">
        <v>13015.72</v>
      </c>
      <c r="I278" s="2"/>
      <c r="J278" s="7">
        <f t="shared" si="114"/>
        <v>5.9091530886887416E-3</v>
      </c>
      <c r="K278" s="2"/>
      <c r="L278" s="6">
        <f t="shared" si="115"/>
        <v>-3912.74</v>
      </c>
      <c r="M278" s="2"/>
      <c r="N278" s="7">
        <f t="shared" si="116"/>
        <v>-0.3006164852962418</v>
      </c>
      <c r="O278" s="11"/>
      <c r="P278" s="6">
        <v>59433.219999999994</v>
      </c>
      <c r="Q278" s="2"/>
      <c r="R278" s="7">
        <f t="shared" si="117"/>
        <v>3.6927865108265213E-3</v>
      </c>
      <c r="S278" s="2"/>
      <c r="T278" s="6">
        <v>82907.079999999987</v>
      </c>
      <c r="U278" s="2"/>
      <c r="V278" s="7">
        <f t="shared" si="118"/>
        <v>5.2024728054090993E-3</v>
      </c>
      <c r="W278" s="2"/>
      <c r="X278" s="6">
        <f t="shared" si="119"/>
        <v>-23473.859999999993</v>
      </c>
      <c r="Y278" s="2"/>
      <c r="Z278" s="7">
        <f t="shared" si="120"/>
        <v>-0.2831345646234314</v>
      </c>
    </row>
    <row r="279" spans="1:26" s="24" customFormat="1" hidden="1" outlineLevel="2" x14ac:dyDescent="0.25">
      <c r="A279" s="26"/>
      <c r="B279" s="11" t="str">
        <f>CONCATENATE("          ", "6245", " - ", "PRINTING")</f>
        <v xml:space="preserve">          6245 - PRINTING</v>
      </c>
      <c r="C279" s="11"/>
      <c r="D279" s="6">
        <v>-348.77</v>
      </c>
      <c r="E279" s="2"/>
      <c r="F279" s="7">
        <f t="shared" si="113"/>
        <v>-1.3225978097807574E-4</v>
      </c>
      <c r="G279" s="2"/>
      <c r="H279" s="6">
        <v>182.57</v>
      </c>
      <c r="I279" s="2"/>
      <c r="J279" s="7">
        <f t="shared" si="114"/>
        <v>8.2887007357403472E-5</v>
      </c>
      <c r="K279" s="2"/>
      <c r="L279" s="6">
        <f t="shared" si="115"/>
        <v>-531.33999999999992</v>
      </c>
      <c r="M279" s="2"/>
      <c r="N279" s="7">
        <f t="shared" si="116"/>
        <v>-2.9103357616256775</v>
      </c>
      <c r="O279" s="11"/>
      <c r="P279" s="6">
        <v>6669.96</v>
      </c>
      <c r="Q279" s="2"/>
      <c r="R279" s="7">
        <f t="shared" si="117"/>
        <v>4.1442712199932067E-4</v>
      </c>
      <c r="S279" s="2"/>
      <c r="T279" s="6">
        <v>8863.07</v>
      </c>
      <c r="U279" s="2"/>
      <c r="V279" s="7">
        <f t="shared" si="118"/>
        <v>5.5616336563098397E-4</v>
      </c>
      <c r="W279" s="2"/>
      <c r="X279" s="6">
        <f t="shared" si="119"/>
        <v>-2193.1099999999997</v>
      </c>
      <c r="Y279" s="2"/>
      <c r="Z279" s="7">
        <f t="shared" si="120"/>
        <v>-0.24744360588374004</v>
      </c>
    </row>
    <row r="280" spans="1:26" s="24" customFormat="1" hidden="1" outlineLevel="2" x14ac:dyDescent="0.25">
      <c r="A280" s="26"/>
      <c r="B280" s="11" t="str">
        <f>CONCATENATE("          ", "6247", " - ", "STORE SUPPLIES")</f>
        <v xml:space="preserve">          6247 - STORE SUPPLIES</v>
      </c>
      <c r="C280" s="11"/>
      <c r="D280" s="6">
        <v>4388.82</v>
      </c>
      <c r="E280" s="2"/>
      <c r="F280" s="7">
        <f t="shared" si="113"/>
        <v>1.6643185249654454E-3</v>
      </c>
      <c r="G280" s="2"/>
      <c r="H280" s="6">
        <v>938.53</v>
      </c>
      <c r="I280" s="2"/>
      <c r="J280" s="7">
        <f t="shared" si="114"/>
        <v>4.2609378876674089E-4</v>
      </c>
      <c r="K280" s="2"/>
      <c r="L280" s="6">
        <f t="shared" si="115"/>
        <v>3450.29</v>
      </c>
      <c r="M280" s="2"/>
      <c r="N280" s="7">
        <f t="shared" si="116"/>
        <v>3.6762703376556956</v>
      </c>
      <c r="O280" s="11"/>
      <c r="P280" s="6">
        <v>44743.72</v>
      </c>
      <c r="Q280" s="2"/>
      <c r="R280" s="7">
        <f t="shared" si="117"/>
        <v>2.7800783073876675E-3</v>
      </c>
      <c r="S280" s="2"/>
      <c r="T280" s="6">
        <v>56645.14</v>
      </c>
      <c r="U280" s="2"/>
      <c r="V280" s="7">
        <f t="shared" si="118"/>
        <v>3.5545191123434964E-3</v>
      </c>
      <c r="W280" s="2"/>
      <c r="X280" s="6">
        <f t="shared" si="119"/>
        <v>-11901.419999999998</v>
      </c>
      <c r="Y280" s="2"/>
      <c r="Z280" s="7">
        <f t="shared" si="120"/>
        <v>-0.21010487395741273</v>
      </c>
    </row>
    <row r="281" spans="1:26" s="24" customFormat="1" hidden="1" outlineLevel="2" x14ac:dyDescent="0.25">
      <c r="A281" s="26"/>
      <c r="B281" s="11" t="str">
        <f>CONCATENATE("          ", "6248", " - ", "UNIFORMS")</f>
        <v xml:space="preserve">          6248 - UNIFORMS</v>
      </c>
      <c r="C281" s="11"/>
      <c r="D281" s="6">
        <v>820.91</v>
      </c>
      <c r="E281" s="2"/>
      <c r="F281" s="7">
        <f t="shared" si="113"/>
        <v>3.1130365800588402E-4</v>
      </c>
      <c r="G281" s="2"/>
      <c r="H281" s="6">
        <v>280.93</v>
      </c>
      <c r="I281" s="2"/>
      <c r="J281" s="7">
        <f t="shared" si="114"/>
        <v>1.2754256984671831E-4</v>
      </c>
      <c r="K281" s="2"/>
      <c r="L281" s="6">
        <f t="shared" si="115"/>
        <v>539.98</v>
      </c>
      <c r="M281" s="2"/>
      <c r="N281" s="7">
        <f t="shared" si="116"/>
        <v>1.9221158295660841</v>
      </c>
      <c r="O281" s="11"/>
      <c r="P281" s="6">
        <v>-151.6</v>
      </c>
      <c r="Q281" s="2"/>
      <c r="R281" s="7">
        <f t="shared" si="117"/>
        <v>-9.4194195610014172E-6</v>
      </c>
      <c r="S281" s="2"/>
      <c r="T281" s="6">
        <v>18394.68</v>
      </c>
      <c r="U281" s="2"/>
      <c r="V281" s="7">
        <f t="shared" si="118"/>
        <v>1.1542780479568532E-3</v>
      </c>
      <c r="W281" s="2"/>
      <c r="X281" s="6">
        <f t="shared" si="119"/>
        <v>-18546.28</v>
      </c>
      <c r="Y281" s="2"/>
      <c r="Z281" s="7">
        <f t="shared" si="120"/>
        <v>-1.0082415133071083</v>
      </c>
    </row>
    <row r="282" spans="1:26" s="25" customFormat="1" outlineLevel="1" collapsed="1" x14ac:dyDescent="0.25">
      <c r="A282" s="27"/>
      <c r="B282" s="13" t="str">
        <f>CONCATENATE("     ","Telephone/Data Lines                              ")</f>
        <v xml:space="preserve">     Telephone/Data Lines                              </v>
      </c>
      <c r="C282" s="13"/>
      <c r="D282" s="1">
        <f>SUM(OSRRefD22_23x_0)</f>
        <v>5340.43</v>
      </c>
      <c r="E282" s="1"/>
      <c r="F282" s="5">
        <f t="shared" ref="F282:F284" si="121">IF(D$12=0,0,D282/D$12)</f>
        <v>2.0251859452611897E-3</v>
      </c>
      <c r="G282" s="1"/>
      <c r="H282" s="1">
        <f>SUM(OSRRefH22_23x_0)</f>
        <v>6448.62</v>
      </c>
      <c r="I282" s="1"/>
      <c r="J282" s="5">
        <f t="shared" ref="J282:J284" si="122">IF(H$12=0,0,H282/H$12)</f>
        <v>2.927681510571831E-3</v>
      </c>
      <c r="K282" s="1"/>
      <c r="L282" s="1">
        <f t="shared" ref="L282:L284" si="123">+D282-H282</f>
        <v>-1108.1899999999996</v>
      </c>
      <c r="M282" s="1"/>
      <c r="N282" s="5">
        <f t="shared" ref="N282:N284" si="124">IF(H282=0,0,L282/H282)</f>
        <v>-0.17184917083034815</v>
      </c>
      <c r="O282" s="13"/>
      <c r="P282" s="1">
        <f>SUM(OSRRefP22_23x_0)</f>
        <v>28917.95</v>
      </c>
      <c r="Q282" s="1"/>
      <c r="R282" s="5">
        <f t="shared" ref="R282:R284" si="125">IF(P$12=0,0,P282/P$12)</f>
        <v>1.7967698146046237E-3</v>
      </c>
      <c r="S282" s="1"/>
      <c r="T282" s="1">
        <f>SUM(OSRRefT22_23x_0)</f>
        <v>32245.47</v>
      </c>
      <c r="U282" s="1"/>
      <c r="V282" s="5">
        <f t="shared" ref="V282:V284" si="126">IF(T$12=0,0,T282/T$12)</f>
        <v>2.0234240642974639E-3</v>
      </c>
      <c r="W282" s="1"/>
      <c r="X282" s="1">
        <f t="shared" ref="X282:X284" si="127">+P282-T282</f>
        <v>-3327.5200000000004</v>
      </c>
      <c r="Y282" s="1"/>
      <c r="Z282" s="5">
        <f t="shared" ref="Z282:Z284" si="128">IF(T282=0,0,X282/T282)</f>
        <v>-0.1031934098029894</v>
      </c>
    </row>
    <row r="283" spans="1:26" s="24" customFormat="1" hidden="1" outlineLevel="2" x14ac:dyDescent="0.25">
      <c r="A283" s="26"/>
      <c r="B283" s="11" t="str">
        <f>CONCATENATE("          ", "6303", " - ", "DATA PHONE LINES")</f>
        <v xml:space="preserve">          6303 - DATA PHONE LINES</v>
      </c>
      <c r="C283" s="11"/>
      <c r="D283" s="6">
        <v>295</v>
      </c>
      <c r="E283" s="2"/>
      <c r="F283" s="7">
        <f t="shared" si="121"/>
        <v>1.1186924158767196E-4</v>
      </c>
      <c r="G283" s="2"/>
      <c r="H283" s="6">
        <v>295</v>
      </c>
      <c r="I283" s="2"/>
      <c r="J283" s="7">
        <f t="shared" si="122"/>
        <v>1.3393036736831916E-4</v>
      </c>
      <c r="K283" s="2"/>
      <c r="L283" s="6">
        <f t="shared" si="123"/>
        <v>0</v>
      </c>
      <c r="M283" s="2"/>
      <c r="N283" s="7">
        <f t="shared" si="124"/>
        <v>0</v>
      </c>
      <c r="O283" s="11"/>
      <c r="P283" s="6">
        <v>1475</v>
      </c>
      <c r="Q283" s="2"/>
      <c r="R283" s="7">
        <f t="shared" si="125"/>
        <v>9.1646727259083707E-5</v>
      </c>
      <c r="S283" s="2"/>
      <c r="T283" s="6">
        <v>885</v>
      </c>
      <c r="U283" s="2"/>
      <c r="V283" s="7">
        <f t="shared" si="126"/>
        <v>5.5534321469132117E-5</v>
      </c>
      <c r="W283" s="2"/>
      <c r="X283" s="6">
        <f t="shared" si="127"/>
        <v>590</v>
      </c>
      <c r="Y283" s="2"/>
      <c r="Z283" s="7">
        <f t="shared" si="128"/>
        <v>0.66666666666666663</v>
      </c>
    </row>
    <row r="284" spans="1:26" s="24" customFormat="1" hidden="1" outlineLevel="2" x14ac:dyDescent="0.25">
      <c r="A284" s="26"/>
      <c r="B284" s="11" t="str">
        <f>CONCATENATE("          ", "6309", " - ", "TELEPHONE")</f>
        <v xml:space="preserve">          6309 - TELEPHONE</v>
      </c>
      <c r="C284" s="11"/>
      <c r="D284" s="6">
        <v>5045.43</v>
      </c>
      <c r="E284" s="2"/>
      <c r="F284" s="7">
        <f t="shared" si="121"/>
        <v>1.9133167036735177E-3</v>
      </c>
      <c r="G284" s="2"/>
      <c r="H284" s="6">
        <v>6153.62</v>
      </c>
      <c r="I284" s="2"/>
      <c r="J284" s="7">
        <f t="shared" si="122"/>
        <v>2.7937511432035121E-3</v>
      </c>
      <c r="K284" s="2"/>
      <c r="L284" s="6">
        <f t="shared" si="123"/>
        <v>-1108.1899999999996</v>
      </c>
      <c r="M284" s="2"/>
      <c r="N284" s="7">
        <f t="shared" si="124"/>
        <v>-0.18008749321537559</v>
      </c>
      <c r="O284" s="11"/>
      <c r="P284" s="6">
        <v>27442.95</v>
      </c>
      <c r="Q284" s="2"/>
      <c r="R284" s="7">
        <f t="shared" si="125"/>
        <v>1.7051230873455399E-3</v>
      </c>
      <c r="S284" s="2"/>
      <c r="T284" s="6">
        <v>31360.47</v>
      </c>
      <c r="U284" s="2"/>
      <c r="V284" s="7">
        <f t="shared" si="126"/>
        <v>1.9678897428283318E-3</v>
      </c>
      <c r="W284" s="2"/>
      <c r="X284" s="6">
        <f t="shared" si="127"/>
        <v>-3917.5200000000004</v>
      </c>
      <c r="Y284" s="2"/>
      <c r="Z284" s="7">
        <f t="shared" si="128"/>
        <v>-0.1249190461750095</v>
      </c>
    </row>
    <row r="285" spans="1:26" s="25" customFormat="1" outlineLevel="1" collapsed="1" x14ac:dyDescent="0.25">
      <c r="A285" s="27"/>
      <c r="B285" s="13" t="str">
        <f>CONCATENATE("     ","Training                                          ")</f>
        <v xml:space="preserve">     Training                                          </v>
      </c>
      <c r="C285" s="13"/>
      <c r="D285" s="1">
        <f>SUM(OSRRefD22_24x_0)</f>
        <v>3876.68</v>
      </c>
      <c r="E285" s="1"/>
      <c r="F285" s="5">
        <f t="shared" ref="F285:F290" si="129">IF(D$12=0,0,D285/D$12)</f>
        <v>1.470105937213885E-3</v>
      </c>
      <c r="G285" s="1"/>
      <c r="H285" s="1">
        <f>SUM(OSRRefH22_24x_0)</f>
        <v>3174.69</v>
      </c>
      <c r="I285" s="1"/>
      <c r="J285" s="5">
        <f t="shared" ref="J285:J290" si="130">IF(H$12=0,0,H285/H$12)</f>
        <v>1.441313213493319E-3</v>
      </c>
      <c r="K285" s="1"/>
      <c r="L285" s="1">
        <f t="shared" ref="L285:L290" si="131">+D285-H285</f>
        <v>701.98999999999978</v>
      </c>
      <c r="M285" s="1"/>
      <c r="N285" s="5">
        <f t="shared" ref="N285:N290" si="132">IF(H285=0,0,L285/H285)</f>
        <v>0.22112080234605577</v>
      </c>
      <c r="O285" s="13"/>
      <c r="P285" s="1">
        <f>SUM(OSRRefP22_24x_0)</f>
        <v>14733.21</v>
      </c>
      <c r="Q285" s="1"/>
      <c r="R285" s="5">
        <f t="shared" ref="R285:R290" si="133">IF(P$12=0,0,P285/P$12)</f>
        <v>9.1542405323444384E-4</v>
      </c>
      <c r="S285" s="1"/>
      <c r="T285" s="1">
        <f>SUM(OSRRefT22_24x_0)</f>
        <v>12202.35</v>
      </c>
      <c r="U285" s="1"/>
      <c r="V285" s="5">
        <f t="shared" ref="V285:V290" si="134">IF(T$12=0,0,T285/T$12)</f>
        <v>7.6570534189702186E-4</v>
      </c>
      <c r="W285" s="1"/>
      <c r="X285" s="1">
        <f t="shared" ref="X285:X290" si="135">+P285-T285</f>
        <v>2530.8599999999988</v>
      </c>
      <c r="Y285" s="1"/>
      <c r="Z285" s="5">
        <f t="shared" ref="Z285:Z290" si="136">IF(T285=0,0,X285/T285)</f>
        <v>0.20740758952169039</v>
      </c>
    </row>
    <row r="286" spans="1:26" s="24" customFormat="1" hidden="1" outlineLevel="2" x14ac:dyDescent="0.25">
      <c r="A286" s="26"/>
      <c r="B286" s="11" t="str">
        <f>CONCATENATE("          ", "6376", " - ", "TRAINING")</f>
        <v xml:space="preserve">          6376 - TRAINING</v>
      </c>
      <c r="C286" s="11"/>
      <c r="D286" s="6">
        <v>3876.68</v>
      </c>
      <c r="E286" s="2"/>
      <c r="F286" s="7">
        <f t="shared" si="129"/>
        <v>1.470105937213885E-3</v>
      </c>
      <c r="G286" s="2"/>
      <c r="H286" s="6">
        <v>3174.69</v>
      </c>
      <c r="I286" s="2"/>
      <c r="J286" s="7">
        <f t="shared" si="130"/>
        <v>1.441313213493319E-3</v>
      </c>
      <c r="K286" s="2"/>
      <c r="L286" s="6">
        <f t="shared" si="131"/>
        <v>701.98999999999978</v>
      </c>
      <c r="M286" s="2"/>
      <c r="N286" s="7">
        <f t="shared" si="132"/>
        <v>0.22112080234605577</v>
      </c>
      <c r="O286" s="11"/>
      <c r="P286" s="6">
        <v>14733.21</v>
      </c>
      <c r="Q286" s="2"/>
      <c r="R286" s="7">
        <f t="shared" si="133"/>
        <v>9.1542405323444384E-4</v>
      </c>
      <c r="S286" s="2"/>
      <c r="T286" s="6">
        <v>12202.35</v>
      </c>
      <c r="U286" s="2"/>
      <c r="V286" s="7">
        <f t="shared" si="134"/>
        <v>7.6570534189702186E-4</v>
      </c>
      <c r="W286" s="2"/>
      <c r="X286" s="6">
        <f t="shared" si="135"/>
        <v>2530.8599999999988</v>
      </c>
      <c r="Y286" s="2"/>
      <c r="Z286" s="7">
        <f t="shared" si="136"/>
        <v>0.20740758952169039</v>
      </c>
    </row>
    <row r="287" spans="1:26" s="25" customFormat="1" outlineLevel="1" collapsed="1" x14ac:dyDescent="0.25">
      <c r="A287" s="27"/>
      <c r="B287" s="13" t="str">
        <f>CONCATENATE("     ","Travel                                            ")</f>
        <v xml:space="preserve">     Travel                                            </v>
      </c>
      <c r="C287" s="13"/>
      <c r="D287" s="1">
        <f>SUM(OSRRefD22_25x_0)</f>
        <v>505.19999999999993</v>
      </c>
      <c r="E287" s="1"/>
      <c r="F287" s="5">
        <f t="shared" si="129"/>
        <v>1.9158081644098936E-4</v>
      </c>
      <c r="G287" s="1"/>
      <c r="H287" s="1">
        <f>SUM(OSRRefH22_25x_0)</f>
        <v>918.19</v>
      </c>
      <c r="I287" s="1"/>
      <c r="J287" s="5">
        <f t="shared" si="130"/>
        <v>4.1685940343700668E-4</v>
      </c>
      <c r="K287" s="1"/>
      <c r="L287" s="1">
        <f t="shared" si="131"/>
        <v>-412.99000000000012</v>
      </c>
      <c r="M287" s="1"/>
      <c r="N287" s="5">
        <f t="shared" si="132"/>
        <v>-0.44978708110521798</v>
      </c>
      <c r="O287" s="13"/>
      <c r="P287" s="1">
        <f>SUM(OSRRefP22_25x_0)</f>
        <v>4833.16</v>
      </c>
      <c r="Q287" s="1"/>
      <c r="R287" s="5">
        <f t="shared" si="133"/>
        <v>3.0030053987763596E-4</v>
      </c>
      <c r="S287" s="1"/>
      <c r="T287" s="1">
        <f>SUM(OSRRefT22_25x_0)</f>
        <v>5305.5</v>
      </c>
      <c r="U287" s="1"/>
      <c r="V287" s="5">
        <f t="shared" si="134"/>
        <v>3.3292355090901746E-4</v>
      </c>
      <c r="W287" s="1"/>
      <c r="X287" s="1">
        <f t="shared" si="135"/>
        <v>-472.34000000000015</v>
      </c>
      <c r="Y287" s="1"/>
      <c r="Z287" s="5">
        <f t="shared" si="136"/>
        <v>-8.9028366789181065E-2</v>
      </c>
    </row>
    <row r="288" spans="1:26" s="24" customFormat="1" hidden="1" outlineLevel="2" x14ac:dyDescent="0.25">
      <c r="A288" s="26"/>
      <c r="B288" s="11" t="str">
        <f>CONCATENATE("          ", "6292", " - ", "TRAVEL/CONFERENCE")</f>
        <v xml:space="preserve">          6292 - TRAVEL/CONFERENCE</v>
      </c>
      <c r="C288" s="11"/>
      <c r="D288" s="6">
        <v>50.47</v>
      </c>
      <c r="E288" s="2"/>
      <c r="F288" s="7">
        <f t="shared" si="129"/>
        <v>1.913912075569425E-5</v>
      </c>
      <c r="G288" s="2"/>
      <c r="H288" s="6">
        <v>557.38</v>
      </c>
      <c r="I288" s="2"/>
      <c r="J288" s="7">
        <f t="shared" si="130"/>
        <v>2.530512141144194E-4</v>
      </c>
      <c r="K288" s="2"/>
      <c r="L288" s="6">
        <f t="shared" si="131"/>
        <v>-506.90999999999997</v>
      </c>
      <c r="M288" s="2"/>
      <c r="N288" s="7">
        <f t="shared" si="132"/>
        <v>-0.90945136172808494</v>
      </c>
      <c r="O288" s="11"/>
      <c r="P288" s="6">
        <v>3216.48</v>
      </c>
      <c r="Q288" s="2"/>
      <c r="R288" s="7">
        <f t="shared" si="133"/>
        <v>1.9985075613172717E-4</v>
      </c>
      <c r="S288" s="2"/>
      <c r="T288" s="6">
        <v>2489.4499999999998</v>
      </c>
      <c r="U288" s="2"/>
      <c r="V288" s="7">
        <f t="shared" si="134"/>
        <v>1.5621459500715361E-4</v>
      </c>
      <c r="W288" s="2"/>
      <c r="X288" s="6">
        <f t="shared" si="135"/>
        <v>727.0300000000002</v>
      </c>
      <c r="Y288" s="2"/>
      <c r="Z288" s="7">
        <f t="shared" si="136"/>
        <v>0.29204442748398252</v>
      </c>
    </row>
    <row r="289" spans="1:26" s="24" customFormat="1" hidden="1" outlineLevel="2" x14ac:dyDescent="0.25">
      <c r="A289" s="26"/>
      <c r="B289" s="11" t="str">
        <f>CONCATENATE("          ", "6294", " - ", "TRAVEL OPERATIONAL")</f>
        <v xml:space="preserve">          6294 - TRAVEL OPERATIONAL</v>
      </c>
      <c r="C289" s="11"/>
      <c r="D289" s="6">
        <v>257.33</v>
      </c>
      <c r="E289" s="2"/>
      <c r="F289" s="7">
        <f t="shared" si="129"/>
        <v>9.7584108263578379E-5</v>
      </c>
      <c r="G289" s="2"/>
      <c r="H289" s="6">
        <v>175.85</v>
      </c>
      <c r="I289" s="2"/>
      <c r="J289" s="7">
        <f t="shared" si="130"/>
        <v>7.9836118988877697E-5</v>
      </c>
      <c r="K289" s="2"/>
      <c r="L289" s="6">
        <f t="shared" si="131"/>
        <v>81.47999999999999</v>
      </c>
      <c r="M289" s="2"/>
      <c r="N289" s="7">
        <f t="shared" si="132"/>
        <v>0.46334944555018476</v>
      </c>
      <c r="O289" s="11"/>
      <c r="P289" s="6">
        <v>739.29</v>
      </c>
      <c r="Q289" s="2"/>
      <c r="R289" s="7">
        <f t="shared" si="133"/>
        <v>4.5934582369741011E-5</v>
      </c>
      <c r="S289" s="2"/>
      <c r="T289" s="6">
        <v>2170.08</v>
      </c>
      <c r="U289" s="2"/>
      <c r="V289" s="7">
        <f t="shared" si="134"/>
        <v>1.3617392128105561E-4</v>
      </c>
      <c r="W289" s="2"/>
      <c r="X289" s="6">
        <f t="shared" si="135"/>
        <v>-1430.79</v>
      </c>
      <c r="Y289" s="2"/>
      <c r="Z289" s="7">
        <f t="shared" si="136"/>
        <v>-0.65932592346825925</v>
      </c>
    </row>
    <row r="290" spans="1:26" s="24" customFormat="1" hidden="1" outlineLevel="2" x14ac:dyDescent="0.25">
      <c r="A290" s="26"/>
      <c r="B290" s="11" t="str">
        <f>CONCATENATE("          ", "6298", " - ", "VEHICLE MILEAGE")</f>
        <v xml:space="preserve">          6298 - VEHICLE MILEAGE</v>
      </c>
      <c r="C290" s="11"/>
      <c r="D290" s="6">
        <v>197.4</v>
      </c>
      <c r="E290" s="2"/>
      <c r="F290" s="7">
        <f t="shared" si="129"/>
        <v>7.4857587421716756E-5</v>
      </c>
      <c r="G290" s="2"/>
      <c r="H290" s="6">
        <v>184.96</v>
      </c>
      <c r="I290" s="2"/>
      <c r="J290" s="7">
        <f t="shared" si="130"/>
        <v>8.3972070333709521E-5</v>
      </c>
      <c r="K290" s="2"/>
      <c r="L290" s="6">
        <f t="shared" si="131"/>
        <v>12.439999999999998</v>
      </c>
      <c r="M290" s="2"/>
      <c r="N290" s="7">
        <f t="shared" si="132"/>
        <v>6.7257785467128017E-2</v>
      </c>
      <c r="O290" s="11"/>
      <c r="P290" s="6">
        <v>877.39</v>
      </c>
      <c r="Q290" s="2"/>
      <c r="R290" s="7">
        <f t="shared" si="133"/>
        <v>5.4515201376167771E-5</v>
      </c>
      <c r="S290" s="2"/>
      <c r="T290" s="6">
        <v>645.97</v>
      </c>
      <c r="U290" s="2"/>
      <c r="V290" s="7">
        <f t="shared" si="134"/>
        <v>4.0535034620808218E-5</v>
      </c>
      <c r="W290" s="2"/>
      <c r="X290" s="6">
        <f t="shared" si="135"/>
        <v>231.41999999999996</v>
      </c>
      <c r="Y290" s="2"/>
      <c r="Z290" s="7">
        <f t="shared" si="136"/>
        <v>0.35825193120423543</v>
      </c>
    </row>
    <row r="291" spans="1:26" s="25" customFormat="1" outlineLevel="1" collapsed="1" x14ac:dyDescent="0.25">
      <c r="A291" s="27"/>
      <c r="B291" s="13" t="str">
        <f>CONCATENATE("     ","Utilities                                         ")</f>
        <v xml:space="preserve">     Utilities                                         </v>
      </c>
      <c r="C291" s="13"/>
      <c r="D291" s="1">
        <f>SUM(OSRRefD22_26x_0)</f>
        <v>20293.259999999998</v>
      </c>
      <c r="E291" s="1"/>
      <c r="F291" s="5">
        <f t="shared" ref="F291:F292" si="137">IF(D$12=0,0,D291/D$12)</f>
        <v>7.6955647645472521E-3</v>
      </c>
      <c r="G291" s="1"/>
      <c r="H291" s="1">
        <f>SUM(OSRRefH22_26x_0)</f>
        <v>20088.88</v>
      </c>
      <c r="I291" s="1"/>
      <c r="J291" s="5">
        <f t="shared" ref="J291:J292" si="138">IF(H$12=0,0,H291/H$12)</f>
        <v>9.1203765370104391E-3</v>
      </c>
      <c r="K291" s="1"/>
      <c r="L291" s="1">
        <f t="shared" ref="L291:L292" si="139">+D291-H291</f>
        <v>204.37999999999738</v>
      </c>
      <c r="M291" s="1"/>
      <c r="N291" s="5">
        <f t="shared" ref="N291:N292" si="140">IF(H291=0,0,L291/H291)</f>
        <v>1.0173787687516546E-2</v>
      </c>
      <c r="O291" s="13"/>
      <c r="P291" s="1">
        <f>SUM(OSRRefP22_26x_0)</f>
        <v>83977.04</v>
      </c>
      <c r="Q291" s="1"/>
      <c r="R291" s="5">
        <f t="shared" ref="R291:R292" si="141">IF(P$12=0,0,P291/P$12)</f>
        <v>5.2177768684102798E-3</v>
      </c>
      <c r="S291" s="1"/>
      <c r="T291" s="1">
        <f>SUM(OSRRefT22_26x_0)</f>
        <v>68600.349999999991</v>
      </c>
      <c r="U291" s="1"/>
      <c r="V291" s="5">
        <f t="shared" ref="V291:V292" si="142">IF(T$12=0,0,T291/T$12)</f>
        <v>4.3047162596553407E-3</v>
      </c>
      <c r="W291" s="1"/>
      <c r="X291" s="1">
        <f t="shared" ref="X291:X292" si="143">+P291-T291</f>
        <v>15376.690000000002</v>
      </c>
      <c r="Y291" s="1"/>
      <c r="Z291" s="5">
        <f t="shared" ref="Z291:Z292" si="144">IF(T291=0,0,X291/T291)</f>
        <v>0.22414885638338586</v>
      </c>
    </row>
    <row r="292" spans="1:26" s="24" customFormat="1" hidden="1" outlineLevel="2" x14ac:dyDescent="0.25">
      <c r="A292" s="26"/>
      <c r="B292" s="11" t="str">
        <f>CONCATENATE("          ", "6274", " - ", "UTILITIES")</f>
        <v xml:space="preserve">          6274 - UTILITIES</v>
      </c>
      <c r="C292" s="11"/>
      <c r="D292" s="6">
        <v>20293.259999999998</v>
      </c>
      <c r="E292" s="2"/>
      <c r="F292" s="7">
        <f t="shared" si="137"/>
        <v>7.6955647645472521E-3</v>
      </c>
      <c r="G292" s="2"/>
      <c r="H292" s="6">
        <v>20088.88</v>
      </c>
      <c r="I292" s="2"/>
      <c r="J292" s="7">
        <f t="shared" si="138"/>
        <v>9.1203765370104391E-3</v>
      </c>
      <c r="K292" s="2"/>
      <c r="L292" s="6">
        <f t="shared" si="139"/>
        <v>204.37999999999738</v>
      </c>
      <c r="M292" s="2"/>
      <c r="N292" s="7">
        <f t="shared" si="140"/>
        <v>1.0173787687516546E-2</v>
      </c>
      <c r="O292" s="11"/>
      <c r="P292" s="6">
        <v>83977.04</v>
      </c>
      <c r="Q292" s="2"/>
      <c r="R292" s="7">
        <f t="shared" si="141"/>
        <v>5.2177768684102798E-3</v>
      </c>
      <c r="S292" s="2"/>
      <c r="T292" s="6">
        <v>68600.349999999991</v>
      </c>
      <c r="U292" s="2"/>
      <c r="V292" s="7">
        <f t="shared" si="142"/>
        <v>4.3047162596553407E-3</v>
      </c>
      <c r="W292" s="2"/>
      <c r="X292" s="6">
        <f t="shared" si="143"/>
        <v>15376.690000000002</v>
      </c>
      <c r="Y292" s="2"/>
      <c r="Z292" s="7">
        <f t="shared" si="144"/>
        <v>0.22414885638338586</v>
      </c>
    </row>
    <row r="293" spans="1:26" s="53" customFormat="1" x14ac:dyDescent="0.25">
      <c r="A293" s="37"/>
      <c r="B293" s="37"/>
      <c r="C293" s="37"/>
      <c r="D293" s="1"/>
      <c r="E293" s="1"/>
      <c r="F293" s="5"/>
      <c r="G293" s="1"/>
      <c r="H293" s="1"/>
      <c r="I293" s="1"/>
      <c r="J293" s="5"/>
      <c r="K293" s="1"/>
      <c r="L293" s="1"/>
      <c r="M293" s="1"/>
      <c r="N293" s="5"/>
      <c r="O293" s="37"/>
      <c r="P293" s="1"/>
      <c r="Q293" s="1"/>
      <c r="R293" s="5"/>
      <c r="S293" s="1"/>
      <c r="T293" s="1"/>
      <c r="U293" s="1"/>
      <c r="V293" s="5"/>
      <c r="W293" s="1"/>
      <c r="X293" s="1"/>
      <c r="Y293" s="1"/>
      <c r="Z293" s="5"/>
    </row>
    <row r="294" spans="1:26" s="23" customFormat="1" collapsed="1" x14ac:dyDescent="0.25">
      <c r="A294" s="10"/>
      <c r="B294" s="28" t="s">
        <v>0</v>
      </c>
      <c r="C294" s="10"/>
      <c r="D294" s="4">
        <f>SUM(OSRRefD25x_0)</f>
        <v>90828.310000000012</v>
      </c>
      <c r="E294" s="4"/>
      <c r="F294" s="12">
        <f t="shared" ref="F294:F306" si="145">IF(D$12=0,0,D294/D$12)</f>
        <v>3.4443708997932074E-2</v>
      </c>
      <c r="G294" s="4"/>
      <c r="H294" s="4">
        <f>SUM(OSRRefH25x_0)</f>
        <v>145205.42000000001</v>
      </c>
      <c r="I294" s="4"/>
      <c r="J294" s="12">
        <f t="shared" ref="J294:J306" si="146">IF(H$12=0,0,H294/H$12)</f>
        <v>6.5923441506681627E-2</v>
      </c>
      <c r="K294" s="4"/>
      <c r="L294" s="4">
        <f t="shared" ref="L294:L306" si="147">+D294-H294</f>
        <v>-54377.11</v>
      </c>
      <c r="M294" s="4"/>
      <c r="N294" s="12">
        <f t="shared" ref="N294:N306" si="148">IF(H294=0,0,L294/H294)</f>
        <v>-0.37448402408119474</v>
      </c>
      <c r="O294" s="10"/>
      <c r="P294" s="4">
        <f>SUM(OSRRefP25x_0)</f>
        <v>912886.37000000011</v>
      </c>
      <c r="Q294" s="4"/>
      <c r="R294" s="12">
        <f t="shared" ref="R294:R306" si="149">IF(P$12=0,0,P294/P$12)</f>
        <v>5.6720710623677957E-2</v>
      </c>
      <c r="S294" s="4"/>
      <c r="T294" s="4">
        <f>SUM(OSRRefT25x_0)</f>
        <v>812866.05</v>
      </c>
      <c r="U294" s="4"/>
      <c r="V294" s="12">
        <f t="shared" ref="V294:V306" si="150">IF(T$12=0,0,T294/T$12)</f>
        <v>5.100786952773291E-2</v>
      </c>
      <c r="W294" s="4"/>
      <c r="X294" s="4">
        <f t="shared" ref="X294:X306" si="151">+P294-T294</f>
        <v>100020.32000000007</v>
      </c>
      <c r="Y294" s="4"/>
      <c r="Z294" s="12">
        <f t="shared" ref="Z294:Z306" si="152">IF(T294=0,0,X294/T294)</f>
        <v>0.12304649702124976</v>
      </c>
    </row>
    <row r="295" spans="1:26" s="24" customFormat="1" hidden="1" outlineLevel="1" x14ac:dyDescent="0.25">
      <c r="A295" s="44"/>
      <c r="B295" s="11" t="str">
        <f>CONCATENATE("          ", "4098", " - ", "TAXABLE SALES-GRAD RENTALS")</f>
        <v xml:space="preserve">          4098 - TAXABLE SALES-GRAD RENTALS</v>
      </c>
      <c r="C295" s="11"/>
      <c r="D295" s="2">
        <f>0</f>
        <v>0</v>
      </c>
      <c r="E295" s="2"/>
      <c r="F295" s="19">
        <f t="shared" si="145"/>
        <v>0</v>
      </c>
      <c r="G295" s="2"/>
      <c r="H295" s="2">
        <f>--980.5</f>
        <v>980.5</v>
      </c>
      <c r="I295" s="2"/>
      <c r="J295" s="19">
        <f t="shared" si="146"/>
        <v>4.4514822103266757E-4</v>
      </c>
      <c r="K295" s="2"/>
      <c r="L295" s="2">
        <f t="shared" si="147"/>
        <v>-980.5</v>
      </c>
      <c r="M295" s="2"/>
      <c r="N295" s="19">
        <f t="shared" si="148"/>
        <v>-1</v>
      </c>
      <c r="O295" s="11"/>
      <c r="P295" s="2">
        <f>--1626.85</f>
        <v>1626.85</v>
      </c>
      <c r="Q295" s="2"/>
      <c r="R295" s="19">
        <f t="shared" si="149"/>
        <v>1.0108168016368835E-4</v>
      </c>
      <c r="S295" s="2"/>
      <c r="T295" s="2">
        <f>--980.5</f>
        <v>980.5</v>
      </c>
      <c r="U295" s="2"/>
      <c r="V295" s="19">
        <f t="shared" si="150"/>
        <v>6.1527008136140154E-5</v>
      </c>
      <c r="W295" s="2"/>
      <c r="X295" s="2">
        <f t="shared" si="151"/>
        <v>646.34999999999991</v>
      </c>
      <c r="Y295" s="2"/>
      <c r="Z295" s="19">
        <f t="shared" si="152"/>
        <v>0.65920448750637417</v>
      </c>
    </row>
    <row r="296" spans="1:26" s="24" customFormat="1" hidden="1" outlineLevel="1" x14ac:dyDescent="0.25">
      <c r="A296" s="44"/>
      <c r="B296" s="11" t="str">
        <f>CONCATENATE("          ", "4187", " - ", "NON-TAXABLE SALES-COMPUTER REP")</f>
        <v xml:space="preserve">          4187 - NON-TAXABLE SALES-COMPUTER REP</v>
      </c>
      <c r="C296" s="11"/>
      <c r="D296" s="2">
        <f>--949.24</f>
        <v>949.24</v>
      </c>
      <c r="E296" s="2"/>
      <c r="F296" s="19">
        <f t="shared" si="145"/>
        <v>3.5996867418536179E-4</v>
      </c>
      <c r="G296" s="2"/>
      <c r="H296" s="2">
        <f>--701.66</f>
        <v>701.66</v>
      </c>
      <c r="I296" s="2"/>
      <c r="J296" s="19">
        <f t="shared" si="146"/>
        <v>3.1855451378866035E-4</v>
      </c>
      <c r="K296" s="2"/>
      <c r="L296" s="2">
        <f t="shared" si="147"/>
        <v>247.58000000000004</v>
      </c>
      <c r="M296" s="2"/>
      <c r="N296" s="19">
        <f t="shared" si="148"/>
        <v>0.35284895818487594</v>
      </c>
      <c r="O296" s="11"/>
      <c r="P296" s="2">
        <f>--12731.93</f>
        <v>12731.93</v>
      </c>
      <c r="Q296" s="2"/>
      <c r="R296" s="19">
        <f t="shared" si="149"/>
        <v>7.9107777368931916E-4</v>
      </c>
      <c r="S296" s="2"/>
      <c r="T296" s="2">
        <f>--4961.38</f>
        <v>4961.38</v>
      </c>
      <c r="U296" s="2"/>
      <c r="V296" s="19">
        <f t="shared" si="150"/>
        <v>3.1132979870115561E-4</v>
      </c>
      <c r="W296" s="2"/>
      <c r="X296" s="2">
        <f t="shared" si="151"/>
        <v>7770.55</v>
      </c>
      <c r="Y296" s="2"/>
      <c r="Z296" s="19">
        <f t="shared" si="152"/>
        <v>1.5662073858482921</v>
      </c>
    </row>
    <row r="297" spans="1:26" s="24" customFormat="1" hidden="1" outlineLevel="1" x14ac:dyDescent="0.25">
      <c r="A297" s="44"/>
      <c r="B297" s="11" t="str">
        <f>CONCATENATE("          ", "4197", " - ", "NON-TAXABLE SALES-RETURNED CHE")</f>
        <v xml:space="preserve">          4197 - NON-TAXABLE SALES-RETURNED CHE</v>
      </c>
      <c r="C297" s="11"/>
      <c r="D297" s="2">
        <f t="shared" ref="D297:D298" si="153">0</f>
        <v>0</v>
      </c>
      <c r="E297" s="2"/>
      <c r="F297" s="19">
        <f t="shared" si="145"/>
        <v>0</v>
      </c>
      <c r="G297" s="2"/>
      <c r="H297" s="2">
        <f>0</f>
        <v>0</v>
      </c>
      <c r="I297" s="2"/>
      <c r="J297" s="19">
        <f t="shared" si="146"/>
        <v>0</v>
      </c>
      <c r="K297" s="2"/>
      <c r="L297" s="2">
        <f t="shared" si="147"/>
        <v>0</v>
      </c>
      <c r="M297" s="2"/>
      <c r="N297" s="19">
        <f t="shared" si="148"/>
        <v>0</v>
      </c>
      <c r="O297" s="11"/>
      <c r="P297" s="2">
        <f>--30</f>
        <v>30</v>
      </c>
      <c r="Q297" s="2"/>
      <c r="R297" s="19">
        <f t="shared" si="149"/>
        <v>1.8640012323881434E-6</v>
      </c>
      <c r="S297" s="2"/>
      <c r="T297" s="2">
        <f>--260</f>
        <v>260</v>
      </c>
      <c r="U297" s="2"/>
      <c r="V297" s="19">
        <f t="shared" si="150"/>
        <v>1.6315167889236553E-5</v>
      </c>
      <c r="W297" s="2"/>
      <c r="X297" s="2">
        <f t="shared" si="151"/>
        <v>-230</v>
      </c>
      <c r="Y297" s="2"/>
      <c r="Z297" s="19">
        <f t="shared" si="152"/>
        <v>-0.88461538461538458</v>
      </c>
    </row>
    <row r="298" spans="1:26" s="24" customFormat="1" hidden="1" outlineLevel="1" x14ac:dyDescent="0.25">
      <c r="A298" s="44"/>
      <c r="B298" s="11" t="str">
        <f>CONCATENATE("          ", "4198", " - ", "NON-TAXABLE SALES-GRAD RENTALS")</f>
        <v xml:space="preserve">          4198 - NON-TAXABLE SALES-GRAD RENTALS</v>
      </c>
      <c r="C298" s="11"/>
      <c r="D298" s="2">
        <f t="shared" si="153"/>
        <v>0</v>
      </c>
      <c r="E298" s="2"/>
      <c r="F298" s="19">
        <f t="shared" si="145"/>
        <v>0</v>
      </c>
      <c r="G298" s="2"/>
      <c r="H298" s="2">
        <f>--15</f>
        <v>15</v>
      </c>
      <c r="I298" s="2"/>
      <c r="J298" s="19">
        <f t="shared" si="146"/>
        <v>6.8100186797450414E-6</v>
      </c>
      <c r="K298" s="2"/>
      <c r="L298" s="2">
        <f t="shared" si="147"/>
        <v>-15</v>
      </c>
      <c r="M298" s="2"/>
      <c r="N298" s="19">
        <f t="shared" si="148"/>
        <v>-1</v>
      </c>
      <c r="O298" s="11"/>
      <c r="P298" s="2">
        <f>--495</f>
        <v>495</v>
      </c>
      <c r="Q298" s="2"/>
      <c r="R298" s="19">
        <f t="shared" si="149"/>
        <v>3.0756020334404362E-5</v>
      </c>
      <c r="S298" s="2"/>
      <c r="T298" s="2">
        <f>--450</f>
        <v>450</v>
      </c>
      <c r="U298" s="2"/>
      <c r="V298" s="19">
        <f t="shared" si="150"/>
        <v>2.8237790577524806E-5</v>
      </c>
      <c r="W298" s="2"/>
      <c r="X298" s="2">
        <f t="shared" si="151"/>
        <v>45</v>
      </c>
      <c r="Y298" s="2"/>
      <c r="Z298" s="19">
        <f t="shared" si="152"/>
        <v>0.1</v>
      </c>
    </row>
    <row r="299" spans="1:26" s="24" customFormat="1" hidden="1" outlineLevel="1" x14ac:dyDescent="0.25">
      <c r="A299" s="44"/>
      <c r="B299" s="11" t="str">
        <f>CONCATENATE("          ", "4387", " - ", "SALES RETURN NON TAXABLE-COMPU")</f>
        <v xml:space="preserve">          4387 - SALES RETURN NON TAXABLE-COMPU</v>
      </c>
      <c r="C299" s="11"/>
      <c r="D299" s="2">
        <f>-1098.25</f>
        <v>-1098.25</v>
      </c>
      <c r="E299" s="2"/>
      <c r="F299" s="19">
        <f t="shared" si="145"/>
        <v>-4.1647591380901937E-4</v>
      </c>
      <c r="G299" s="2"/>
      <c r="H299" s="2">
        <f>0</f>
        <v>0</v>
      </c>
      <c r="I299" s="2"/>
      <c r="J299" s="19">
        <f t="shared" si="146"/>
        <v>0</v>
      </c>
      <c r="K299" s="2"/>
      <c r="L299" s="2">
        <f t="shared" si="147"/>
        <v>-1098.25</v>
      </c>
      <c r="M299" s="2"/>
      <c r="N299" s="19">
        <f t="shared" si="148"/>
        <v>0</v>
      </c>
      <c r="O299" s="11"/>
      <c r="P299" s="2">
        <f>-7889</f>
        <v>-7889</v>
      </c>
      <c r="Q299" s="2"/>
      <c r="R299" s="19">
        <f t="shared" si="149"/>
        <v>-4.9017019074366875E-4</v>
      </c>
      <c r="S299" s="2"/>
      <c r="T299" s="2">
        <f>0</f>
        <v>0</v>
      </c>
      <c r="U299" s="2"/>
      <c r="V299" s="19">
        <f t="shared" si="150"/>
        <v>0</v>
      </c>
      <c r="W299" s="2"/>
      <c r="X299" s="2">
        <f t="shared" si="151"/>
        <v>-7889</v>
      </c>
      <c r="Y299" s="2"/>
      <c r="Z299" s="19">
        <f t="shared" si="152"/>
        <v>0</v>
      </c>
    </row>
    <row r="300" spans="1:26" s="24" customFormat="1" hidden="1" outlineLevel="1" x14ac:dyDescent="0.25">
      <c r="A300" s="44"/>
      <c r="B300" s="11" t="str">
        <f>CONCATENATE("          ", "9150", " - ", "MISC. INCOME")</f>
        <v xml:space="preserve">          9150 - MISC. INCOME</v>
      </c>
      <c r="C300" s="11"/>
      <c r="D300" s="2">
        <f>--70871.73</f>
        <v>70871.73</v>
      </c>
      <c r="E300" s="2"/>
      <c r="F300" s="19">
        <f t="shared" si="145"/>
        <v>2.6875819271546635E-2</v>
      </c>
      <c r="G300" s="2"/>
      <c r="H300" s="2">
        <f>--121769.58</f>
        <v>121769.58</v>
      </c>
      <c r="I300" s="2"/>
      <c r="J300" s="19">
        <f t="shared" si="146"/>
        <v>5.5283540961647212E-2</v>
      </c>
      <c r="K300" s="2"/>
      <c r="L300" s="2">
        <f t="shared" si="147"/>
        <v>-50897.850000000006</v>
      </c>
      <c r="M300" s="2"/>
      <c r="N300" s="19">
        <f t="shared" si="148"/>
        <v>-0.41798493515375518</v>
      </c>
      <c r="O300" s="11"/>
      <c r="P300" s="2">
        <f>--406363.13</f>
        <v>406363.13</v>
      </c>
      <c r="Q300" s="2"/>
      <c r="R300" s="19">
        <f t="shared" si="149"/>
        <v>2.5248712503903443E-2</v>
      </c>
      <c r="S300" s="2"/>
      <c r="T300" s="2">
        <f>--523532.47</f>
        <v>523532.47</v>
      </c>
      <c r="U300" s="2"/>
      <c r="V300" s="19">
        <f t="shared" si="150"/>
        <v>3.2852000551987302E-2</v>
      </c>
      <c r="W300" s="2"/>
      <c r="X300" s="2">
        <f t="shared" si="151"/>
        <v>-117169.33999999997</v>
      </c>
      <c r="Y300" s="2"/>
      <c r="Z300" s="19">
        <f t="shared" si="152"/>
        <v>-0.22380529711939351</v>
      </c>
    </row>
    <row r="301" spans="1:26" s="24" customFormat="1" hidden="1" outlineLevel="1" x14ac:dyDescent="0.25">
      <c r="A301" s="44"/>
      <c r="B301" s="11" t="str">
        <f>CONCATENATE("          ", "9151", " - ", "MISC. INCOME")</f>
        <v xml:space="preserve">          9151 - MISC. INCOME</v>
      </c>
      <c r="C301" s="11"/>
      <c r="D301" s="2">
        <f>0</f>
        <v>0</v>
      </c>
      <c r="E301" s="2"/>
      <c r="F301" s="19">
        <f t="shared" si="145"/>
        <v>0</v>
      </c>
      <c r="G301" s="2"/>
      <c r="H301" s="2">
        <f>0</f>
        <v>0</v>
      </c>
      <c r="I301" s="2"/>
      <c r="J301" s="19">
        <f t="shared" si="146"/>
        <v>0</v>
      </c>
      <c r="K301" s="2"/>
      <c r="L301" s="2">
        <f t="shared" si="147"/>
        <v>0</v>
      </c>
      <c r="M301" s="2"/>
      <c r="N301" s="19">
        <f t="shared" si="148"/>
        <v>0</v>
      </c>
      <c r="O301" s="11"/>
      <c r="P301" s="2">
        <f>--87224.27</f>
        <v>87224.27</v>
      </c>
      <c r="Q301" s="2"/>
      <c r="R301" s="19">
        <f t="shared" si="149"/>
        <v>5.4195382258052059E-3</v>
      </c>
      <c r="S301" s="2"/>
      <c r="T301" s="2">
        <f>--649.77</f>
        <v>649.77</v>
      </c>
      <c r="U301" s="2"/>
      <c r="V301" s="19">
        <f t="shared" si="150"/>
        <v>4.0773487074573983E-5</v>
      </c>
      <c r="W301" s="2"/>
      <c r="X301" s="2">
        <f t="shared" si="151"/>
        <v>86574.5</v>
      </c>
      <c r="Y301" s="2"/>
      <c r="Z301" s="19">
        <f t="shared" si="152"/>
        <v>133.23868445757731</v>
      </c>
    </row>
    <row r="302" spans="1:26" s="24" customFormat="1" hidden="1" outlineLevel="1" x14ac:dyDescent="0.25">
      <c r="A302" s="44"/>
      <c r="B302" s="11" t="str">
        <f>CONCATENATE("          ", "9152", " - ", "MISC. INCOME")</f>
        <v xml:space="preserve">          9152 - MISC. INCOME</v>
      </c>
      <c r="C302" s="11"/>
      <c r="D302" s="2">
        <f>--154.22</f>
        <v>154.22</v>
      </c>
      <c r="E302" s="2"/>
      <c r="F302" s="19">
        <f t="shared" si="145"/>
        <v>5.8482964195426334E-5</v>
      </c>
      <c r="G302" s="2"/>
      <c r="H302" s="2">
        <f>--37.79</f>
        <v>37.79</v>
      </c>
      <c r="I302" s="2"/>
      <c r="J302" s="19">
        <f t="shared" si="146"/>
        <v>1.715670706050434E-5</v>
      </c>
      <c r="K302" s="2"/>
      <c r="L302" s="2">
        <f t="shared" si="147"/>
        <v>116.43</v>
      </c>
      <c r="M302" s="2"/>
      <c r="N302" s="19">
        <f t="shared" si="148"/>
        <v>3.0809738025932787</v>
      </c>
      <c r="O302" s="11"/>
      <c r="P302" s="2">
        <f>--848.32</f>
        <v>848.32</v>
      </c>
      <c r="Q302" s="2"/>
      <c r="R302" s="19">
        <f t="shared" si="149"/>
        <v>5.2708984181983663E-5</v>
      </c>
      <c r="S302" s="2"/>
      <c r="T302" s="2">
        <f>--3254.91</f>
        <v>3254.91</v>
      </c>
      <c r="U302" s="2"/>
      <c r="V302" s="19">
        <f t="shared" si="150"/>
        <v>2.0424770428598057E-4</v>
      </c>
      <c r="W302" s="2"/>
      <c r="X302" s="2">
        <f t="shared" si="151"/>
        <v>-2406.5899999999997</v>
      </c>
      <c r="Y302" s="2"/>
      <c r="Z302" s="19">
        <f t="shared" si="152"/>
        <v>-0.73937220998430053</v>
      </c>
    </row>
    <row r="303" spans="1:26" s="24" customFormat="1" hidden="1" outlineLevel="1" x14ac:dyDescent="0.25">
      <c r="A303" s="44"/>
      <c r="B303" s="11" t="str">
        <f>CONCATENATE("          ", "9153", " - ", "MISC. INCOME")</f>
        <v xml:space="preserve">          9153 - MISC. INCOME</v>
      </c>
      <c r="C303" s="11"/>
      <c r="D303" s="2">
        <f>--450</f>
        <v>450</v>
      </c>
      <c r="E303" s="2"/>
      <c r="F303" s="19">
        <f t="shared" si="145"/>
        <v>1.7064799564221145E-4</v>
      </c>
      <c r="G303" s="2"/>
      <c r="H303" s="2">
        <f>0</f>
        <v>0</v>
      </c>
      <c r="I303" s="2"/>
      <c r="J303" s="19">
        <f t="shared" si="146"/>
        <v>0</v>
      </c>
      <c r="K303" s="2"/>
      <c r="L303" s="2">
        <f t="shared" si="147"/>
        <v>450</v>
      </c>
      <c r="M303" s="2"/>
      <c r="N303" s="19">
        <f t="shared" si="148"/>
        <v>0</v>
      </c>
      <c r="O303" s="11"/>
      <c r="P303" s="2">
        <f>--450</f>
        <v>450</v>
      </c>
      <c r="Q303" s="2"/>
      <c r="R303" s="19">
        <f t="shared" si="149"/>
        <v>2.796001848582215E-5</v>
      </c>
      <c r="S303" s="2"/>
      <c r="T303" s="2">
        <f>0</f>
        <v>0</v>
      </c>
      <c r="U303" s="2"/>
      <c r="V303" s="19">
        <f t="shared" si="150"/>
        <v>0</v>
      </c>
      <c r="W303" s="2"/>
      <c r="X303" s="2">
        <f t="shared" si="151"/>
        <v>450</v>
      </c>
      <c r="Y303" s="2"/>
      <c r="Z303" s="19">
        <f t="shared" si="152"/>
        <v>0</v>
      </c>
    </row>
    <row r="304" spans="1:26" s="24" customFormat="1" hidden="1" outlineLevel="1" x14ac:dyDescent="0.25">
      <c r="A304" s="44"/>
      <c r="B304" s="11" t="str">
        <f>CONCATENATE("          ", "9160", " - ", "MISC. INCOME")</f>
        <v xml:space="preserve">          9160 - MISC. INCOME</v>
      </c>
      <c r="C304" s="11"/>
      <c r="D304" s="2">
        <f>--8997.32</f>
        <v>8997.32</v>
      </c>
      <c r="E304" s="2"/>
      <c r="F304" s="19">
        <f t="shared" si="145"/>
        <v>3.4119436092257373E-3</v>
      </c>
      <c r="G304" s="2"/>
      <c r="H304" s="2">
        <f>--14981.17</f>
        <v>14981.17</v>
      </c>
      <c r="I304" s="2"/>
      <c r="J304" s="19">
        <f t="shared" si="146"/>
        <v>6.801469836295735E-3</v>
      </c>
      <c r="K304" s="2"/>
      <c r="L304" s="2">
        <f t="shared" si="147"/>
        <v>-5983.85</v>
      </c>
      <c r="M304" s="2"/>
      <c r="N304" s="19">
        <f t="shared" si="148"/>
        <v>-0.39942474452929916</v>
      </c>
      <c r="O304" s="11"/>
      <c r="P304" s="2">
        <f>--126525.2</f>
        <v>126525.2</v>
      </c>
      <c r="Q304" s="2"/>
      <c r="R304" s="19">
        <f t="shared" si="149"/>
        <v>7.8614376242718761E-3</v>
      </c>
      <c r="S304" s="2"/>
      <c r="T304" s="2">
        <f>--60846.02</f>
        <v>60846.02</v>
      </c>
      <c r="U304" s="2"/>
      <c r="V304" s="19">
        <f t="shared" si="150"/>
        <v>3.8181270449686349E-3</v>
      </c>
      <c r="W304" s="2"/>
      <c r="X304" s="2">
        <f t="shared" si="151"/>
        <v>65679.179999999993</v>
      </c>
      <c r="Y304" s="2"/>
      <c r="Z304" s="19">
        <f t="shared" si="152"/>
        <v>1.0794326399656049</v>
      </c>
    </row>
    <row r="305" spans="1:26" s="24" customFormat="1" hidden="1" outlineLevel="1" x14ac:dyDescent="0.25">
      <c r="A305" s="44"/>
      <c r="B305" s="11" t="str">
        <f>CONCATENATE("          ", "9163", " - ", "MISC. INCOME")</f>
        <v xml:space="preserve">          9163 - MISC. INCOME</v>
      </c>
      <c r="C305" s="11"/>
      <c r="D305" s="2">
        <f>0</f>
        <v>0</v>
      </c>
      <c r="E305" s="2"/>
      <c r="F305" s="19">
        <f t="shared" si="145"/>
        <v>0</v>
      </c>
      <c r="G305" s="2"/>
      <c r="H305" s="2">
        <f>0</f>
        <v>0</v>
      </c>
      <c r="I305" s="2"/>
      <c r="J305" s="19">
        <f t="shared" si="146"/>
        <v>0</v>
      </c>
      <c r="K305" s="2"/>
      <c r="L305" s="2">
        <f t="shared" si="147"/>
        <v>0</v>
      </c>
      <c r="M305" s="2"/>
      <c r="N305" s="19">
        <f t="shared" si="148"/>
        <v>0</v>
      </c>
      <c r="O305" s="11"/>
      <c r="P305" s="2">
        <f>--61106.55</f>
        <v>61106.55</v>
      </c>
      <c r="Q305" s="2"/>
      <c r="R305" s="19">
        <f t="shared" si="149"/>
        <v>3.7967561502329234E-3</v>
      </c>
      <c r="S305" s="2"/>
      <c r="T305" s="2">
        <f>0</f>
        <v>0</v>
      </c>
      <c r="U305" s="2"/>
      <c r="V305" s="19">
        <f t="shared" si="150"/>
        <v>0</v>
      </c>
      <c r="W305" s="2"/>
      <c r="X305" s="2">
        <f t="shared" si="151"/>
        <v>61106.55</v>
      </c>
      <c r="Y305" s="2"/>
      <c r="Z305" s="19">
        <f t="shared" si="152"/>
        <v>0</v>
      </c>
    </row>
    <row r="306" spans="1:26" s="24" customFormat="1" hidden="1" outlineLevel="1" x14ac:dyDescent="0.25">
      <c r="A306" s="44"/>
      <c r="B306" s="11" t="str">
        <f>CONCATENATE("          ", "9165", " - ", "OTHER INCOME")</f>
        <v xml:space="preserve">          9165 - OTHER INCOME</v>
      </c>
      <c r="C306" s="11"/>
      <c r="D306" s="2">
        <f>--10504.05</f>
        <v>10504.05</v>
      </c>
      <c r="E306" s="2"/>
      <c r="F306" s="19">
        <f t="shared" si="145"/>
        <v>3.9833223969457134E-3</v>
      </c>
      <c r="G306" s="2"/>
      <c r="H306" s="2">
        <f>--6719.72</f>
        <v>6719.72</v>
      </c>
      <c r="I306" s="2"/>
      <c r="J306" s="19">
        <f t="shared" si="146"/>
        <v>3.0507612481770899E-3</v>
      </c>
      <c r="K306" s="2"/>
      <c r="L306" s="2">
        <f t="shared" si="147"/>
        <v>3784.329999999999</v>
      </c>
      <c r="M306" s="2"/>
      <c r="N306" s="19">
        <f t="shared" si="148"/>
        <v>0.56316781056353526</v>
      </c>
      <c r="O306" s="11"/>
      <c r="P306" s="2">
        <f>--223374.12</f>
        <v>223374.12</v>
      </c>
      <c r="Q306" s="2"/>
      <c r="R306" s="19">
        <f t="shared" si="149"/>
        <v>1.3878987832120568E-2</v>
      </c>
      <c r="S306" s="2"/>
      <c r="T306" s="2">
        <f>--217931</f>
        <v>217931</v>
      </c>
      <c r="U306" s="2"/>
      <c r="V306" s="19">
        <f t="shared" si="150"/>
        <v>1.3675310974112351E-2</v>
      </c>
      <c r="W306" s="2"/>
      <c r="X306" s="2">
        <f t="shared" si="151"/>
        <v>5443.1199999999953</v>
      </c>
      <c r="Y306" s="2"/>
      <c r="Z306" s="19">
        <f t="shared" si="152"/>
        <v>2.4976345724105314E-2</v>
      </c>
    </row>
    <row r="307" spans="1:26" x14ac:dyDescent="0.25">
      <c r="A307" s="9"/>
      <c r="B307" s="10"/>
      <c r="C307" s="10"/>
      <c r="D307" s="3"/>
      <c r="E307" s="3"/>
      <c r="F307" s="8"/>
      <c r="G307" s="3"/>
      <c r="H307" s="3"/>
      <c r="I307" s="3"/>
      <c r="J307" s="8"/>
      <c r="K307" s="3"/>
      <c r="L307" s="3"/>
      <c r="M307" s="3"/>
      <c r="N307" s="8"/>
      <c r="O307" s="10"/>
      <c r="P307" s="3"/>
      <c r="Q307" s="3"/>
      <c r="R307" s="8"/>
      <c r="S307" s="3"/>
      <c r="T307" s="3"/>
      <c r="U307" s="3"/>
      <c r="V307" s="8"/>
      <c r="W307" s="3"/>
      <c r="X307" s="3"/>
      <c r="Y307" s="3"/>
      <c r="Z307" s="8"/>
    </row>
    <row r="308" spans="1:26" s="23" customFormat="1" x14ac:dyDescent="0.25">
      <c r="A308" s="10"/>
      <c r="B308" s="29" t="s">
        <v>3</v>
      </c>
      <c r="C308" s="29"/>
      <c r="D308" s="21">
        <f>+D197-D199+D294</f>
        <v>319480.62000000029</v>
      </c>
      <c r="E308" s="14"/>
      <c r="F308" s="20">
        <f>IF(D$12=0,0,D308/D$12)</f>
        <v>0.12115272766562458</v>
      </c>
      <c r="G308" s="14"/>
      <c r="H308" s="21">
        <f>+H197-H199+H294</f>
        <v>178153.53999999873</v>
      </c>
      <c r="I308" s="14"/>
      <c r="J308" s="20">
        <f>IF(H$12=0,0,H308/H$12)</f>
        <v>8.0881929017513121E-2</v>
      </c>
      <c r="K308" s="15"/>
      <c r="L308" s="21">
        <f>+D308-H308</f>
        <v>141327.08000000156</v>
      </c>
      <c r="M308" s="15"/>
      <c r="N308" s="20">
        <f>IF(H308=0,0,L308/H308)</f>
        <v>0.7932880817299649</v>
      </c>
      <c r="O308" s="28"/>
      <c r="P308" s="21">
        <f>+P197-P199+P294</f>
        <v>2206452.3399999952</v>
      </c>
      <c r="Q308" s="14"/>
      <c r="R308" s="20">
        <f>IF(P$12=0,0,P308/P$12)</f>
        <v>0.13709432936552313</v>
      </c>
      <c r="S308" s="14"/>
      <c r="T308" s="21">
        <f>+T197-T199+T294</f>
        <v>2281156.1300000027</v>
      </c>
      <c r="U308" s="14"/>
      <c r="V308" s="20">
        <f>IF(T$12=0,0,T308/T$12)</f>
        <v>0.1431440201635045</v>
      </c>
      <c r="W308" s="15"/>
      <c r="X308" s="21">
        <f>+P308-T308</f>
        <v>-74703.790000007488</v>
      </c>
      <c r="Y308" s="15"/>
      <c r="Z308" s="20">
        <f>IF(T308=0,0,X308/T308)</f>
        <v>-3.2748214388993793E-2</v>
      </c>
    </row>
    <row r="309" spans="1:26" x14ac:dyDescent="0.25">
      <c r="A309" s="9"/>
      <c r="B309" s="10"/>
      <c r="C309" s="9"/>
      <c r="D309" s="3"/>
      <c r="E309" s="3"/>
      <c r="F309" s="8"/>
      <c r="G309" s="3"/>
      <c r="H309" s="3"/>
      <c r="I309" s="3"/>
      <c r="J309" s="8"/>
      <c r="K309" s="3"/>
      <c r="L309" s="3"/>
      <c r="M309" s="3"/>
      <c r="N309" s="8"/>
      <c r="P309" s="3"/>
      <c r="Q309" s="3"/>
      <c r="R309" s="8"/>
      <c r="S309" s="3"/>
      <c r="T309" s="3"/>
      <c r="U309" s="3"/>
      <c r="V309" s="8"/>
      <c r="W309" s="3"/>
      <c r="X309" s="3"/>
      <c r="Y309" s="3"/>
      <c r="Z309" s="8"/>
    </row>
    <row r="310" spans="1:26" s="23" customFormat="1" x14ac:dyDescent="0.25">
      <c r="A310" s="51"/>
      <c r="B310" s="10" t="s">
        <v>13</v>
      </c>
      <c r="C310" s="10"/>
      <c r="D310" s="4">
        <v>349632.63</v>
      </c>
      <c r="E310" s="4"/>
      <c r="F310" s="12">
        <f>IF(D$12=0,0,D310/D$12)</f>
        <v>0.13258690560136652</v>
      </c>
      <c r="G310" s="4"/>
      <c r="H310" s="4">
        <v>415556.13</v>
      </c>
      <c r="I310" s="4"/>
      <c r="J310" s="12">
        <f>IF(H$12=0,0,H310/H$12)</f>
        <v>0.18866300051883725</v>
      </c>
      <c r="K310" s="4"/>
      <c r="L310" s="4">
        <f>+D310-H310</f>
        <v>-65923.5</v>
      </c>
      <c r="M310" s="4"/>
      <c r="N310" s="12">
        <f>IF(H310=0,0,L310/H310)</f>
        <v>-0.15863921920728255</v>
      </c>
      <c r="O310" s="10"/>
      <c r="P310" s="4">
        <v>1704289.1400000001</v>
      </c>
      <c r="Q310" s="4"/>
      <c r="R310" s="12">
        <f>IF(P$12=0,0,P310/P$12)</f>
        <v>0.1058932352435243</v>
      </c>
      <c r="S310" s="4"/>
      <c r="T310" s="4">
        <v>1676833.5899999999</v>
      </c>
      <c r="U310" s="4"/>
      <c r="V310" s="12">
        <f>IF(T$12=0,0,T310/T$12)</f>
        <v>0.1052223905506202</v>
      </c>
      <c r="W310" s="4"/>
      <c r="X310" s="4">
        <f>+P310-T310</f>
        <v>27455.550000000279</v>
      </c>
      <c r="Y310" s="4"/>
      <c r="Z310" s="12">
        <f>IF(T310=0,0,X310/T310)</f>
        <v>1.6373449436923721E-2</v>
      </c>
    </row>
    <row r="311" spans="1:26" x14ac:dyDescent="0.25">
      <c r="A311" s="9"/>
      <c r="B311" s="10"/>
      <c r="C311" s="10"/>
      <c r="D311" s="3"/>
      <c r="E311" s="3"/>
      <c r="F311" s="8"/>
      <c r="G311" s="3"/>
      <c r="H311" s="3"/>
      <c r="I311" s="3"/>
      <c r="J311" s="8"/>
      <c r="K311" s="3"/>
      <c r="L311" s="3"/>
      <c r="M311" s="3"/>
      <c r="N311" s="8"/>
      <c r="O311" s="10"/>
      <c r="P311" s="3"/>
      <c r="Q311" s="3"/>
      <c r="R311" s="8"/>
      <c r="S311" s="3"/>
      <c r="T311" s="3"/>
      <c r="U311" s="3"/>
      <c r="V311" s="8"/>
      <c r="W311" s="3"/>
      <c r="X311" s="3"/>
      <c r="Y311" s="3"/>
      <c r="Z311" s="8"/>
    </row>
    <row r="312" spans="1:26" s="23" customFormat="1" ht="15.75" thickBot="1" x14ac:dyDescent="0.3">
      <c r="A312" s="10"/>
      <c r="B312" s="29" t="s">
        <v>4</v>
      </c>
      <c r="C312" s="29"/>
      <c r="D312" s="31">
        <f>+D308-D310</f>
        <v>-30152.009999999718</v>
      </c>
      <c r="E312" s="14"/>
      <c r="F312" s="32">
        <f>IF(D$12=0,0,D312/D$12)</f>
        <v>-1.1434177935741929E-2</v>
      </c>
      <c r="G312" s="14"/>
      <c r="H312" s="31">
        <f>+H308-H310</f>
        <v>-237402.59000000128</v>
      </c>
      <c r="I312" s="14"/>
      <c r="J312" s="32">
        <f>IF(H$12=0,0,H312/H$12)</f>
        <v>-0.10778107150132414</v>
      </c>
      <c r="K312" s="15"/>
      <c r="L312" s="31">
        <f>D312-H312</f>
        <v>207250.58000000156</v>
      </c>
      <c r="M312" s="15"/>
      <c r="N312" s="32">
        <f>IF(H312=0,0,L312/H312)</f>
        <v>-0.87299207645544408</v>
      </c>
      <c r="O312" s="28"/>
      <c r="P312" s="31">
        <f>+P308-P310</f>
        <v>502163.19999999506</v>
      </c>
      <c r="Q312" s="14"/>
      <c r="R312" s="32">
        <f>IF(P$12=0,0,P312/P$12)</f>
        <v>3.1201094121998816E-2</v>
      </c>
      <c r="S312" s="14"/>
      <c r="T312" s="31">
        <f>+T308-T310</f>
        <v>604322.54000000283</v>
      </c>
      <c r="U312" s="14"/>
      <c r="V312" s="32">
        <f>IF(T$12=0,0,T312/T$12)</f>
        <v>3.7921629612884304E-2</v>
      </c>
      <c r="W312" s="15"/>
      <c r="X312" s="31">
        <f>P312-T312</f>
        <v>-102159.34000000777</v>
      </c>
      <c r="Y312" s="15"/>
      <c r="Z312" s="32">
        <f>IF(T312=0,0,X312/T312)</f>
        <v>-0.16904770753711634</v>
      </c>
    </row>
    <row r="313" spans="1:26" ht="15.75" thickTop="1" x14ac:dyDescent="0.25">
      <c r="A313" s="9"/>
      <c r="B313" s="9"/>
      <c r="C313" s="9"/>
      <c r="D313" s="3"/>
      <c r="E313" s="3"/>
      <c r="F313" s="8"/>
      <c r="G313" s="3"/>
      <c r="H313" s="3"/>
      <c r="I313" s="3"/>
      <c r="J313" s="8"/>
      <c r="K313" s="3"/>
      <c r="L313" s="3"/>
      <c r="M313" s="3"/>
      <c r="N313" s="8"/>
      <c r="P313" s="3"/>
      <c r="Q313" s="3"/>
      <c r="R313" s="8"/>
      <c r="S313" s="3"/>
      <c r="T313" s="3"/>
      <c r="U313" s="3"/>
      <c r="V313" s="8"/>
      <c r="W313" s="3"/>
      <c r="X313" s="3"/>
      <c r="Y313" s="3"/>
      <c r="Z313" s="8"/>
    </row>
    <row r="314" spans="1:26" s="23" customFormat="1" x14ac:dyDescent="0.25">
      <c r="A314" s="51"/>
      <c r="B314" s="10" t="s">
        <v>2</v>
      </c>
      <c r="C314" s="10"/>
      <c r="D314" s="4">
        <f>--198901.42</f>
        <v>198901.42</v>
      </c>
      <c r="E314" s="4"/>
      <c r="F314" s="12">
        <f t="shared" ref="F314:F315" si="154">IF(D$12=0,0,D314/D$12)</f>
        <v>7.5426952563088165E-2</v>
      </c>
      <c r="G314" s="4"/>
      <c r="H314" s="4">
        <f>--73191.27</f>
        <v>73191.27</v>
      </c>
      <c r="I314" s="4"/>
      <c r="J314" s="12">
        <f t="shared" ref="J314:J315" si="155">IF(H$12=0,0,H314/H$12)</f>
        <v>3.3228927726284191E-2</v>
      </c>
      <c r="K314" s="4"/>
      <c r="L314" s="4">
        <f t="shared" ref="L314:L315" si="156">+D314-H314</f>
        <v>125710.15000000001</v>
      </c>
      <c r="M314" s="4"/>
      <c r="N314" s="12">
        <f t="shared" ref="N314:N315" si="157">IF(H314=0,0,L314/H314)</f>
        <v>1.7175566157002058</v>
      </c>
      <c r="O314" s="10"/>
      <c r="P314" s="4">
        <f>--317204.67</f>
        <v>317204.67</v>
      </c>
      <c r="Q314" s="4"/>
      <c r="R314" s="12">
        <f t="shared" ref="R314:R315" si="158">IF(P$12=0,0,P314/P$12)</f>
        <v>1.9708996526642476E-2</v>
      </c>
      <c r="S314" s="4"/>
      <c r="T314" s="4">
        <f>-438332.56</f>
        <v>-438332.56</v>
      </c>
      <c r="U314" s="4"/>
      <c r="V314" s="12">
        <f t="shared" ref="V314:V315" si="159">IF(T$12=0,0,T314/T$12)</f>
        <v>-2.7505651183534058E-2</v>
      </c>
      <c r="W314" s="4"/>
      <c r="X314" s="4">
        <f t="shared" ref="X314:X315" si="160">+P314-T314</f>
        <v>755537.23</v>
      </c>
      <c r="Y314" s="4"/>
      <c r="Z314" s="12">
        <f t="shared" ref="Z314:Z315" si="161">IF(T314=0,0,X314/T314)</f>
        <v>-1.7236621208335516</v>
      </c>
    </row>
    <row r="315" spans="1:26" s="23" customFormat="1" x14ac:dyDescent="0.25">
      <c r="A315" s="51"/>
      <c r="B315" s="10" t="s">
        <v>1</v>
      </c>
      <c r="C315" s="10"/>
      <c r="D315" s="4">
        <f>--12962.29</f>
        <v>12962.29</v>
      </c>
      <c r="E315" s="4"/>
      <c r="F315" s="12">
        <f t="shared" si="154"/>
        <v>4.9155306831846247E-3</v>
      </c>
      <c r="G315" s="4"/>
      <c r="H315" s="4">
        <f>--11636.78</f>
        <v>11636.78</v>
      </c>
      <c r="I315" s="4"/>
      <c r="J315" s="12">
        <f t="shared" si="155"/>
        <v>5.2831126114722335E-3</v>
      </c>
      <c r="K315" s="4"/>
      <c r="L315" s="4">
        <f t="shared" si="156"/>
        <v>1325.5100000000002</v>
      </c>
      <c r="M315" s="4"/>
      <c r="N315" s="12">
        <f t="shared" si="157"/>
        <v>0.11390693989230699</v>
      </c>
      <c r="O315" s="10"/>
      <c r="P315" s="4">
        <f>--78175.3</f>
        <v>78175.3</v>
      </c>
      <c r="Q315" s="4"/>
      <c r="R315" s="12">
        <f t="shared" si="158"/>
        <v>4.8572951847437613E-3</v>
      </c>
      <c r="S315" s="4"/>
      <c r="T315" s="4">
        <f>--71441.85</f>
        <v>71441.850000000006</v>
      </c>
      <c r="U315" s="4"/>
      <c r="V315" s="12">
        <f t="shared" si="159"/>
        <v>4.4830222194909789E-3</v>
      </c>
      <c r="W315" s="4"/>
      <c r="X315" s="4">
        <f t="shared" si="160"/>
        <v>6733.4499999999971</v>
      </c>
      <c r="Y315" s="4"/>
      <c r="Z315" s="12">
        <f t="shared" si="161"/>
        <v>9.4250778780224712E-2</v>
      </c>
    </row>
    <row r="316" spans="1:26" x14ac:dyDescent="0.25">
      <c r="A316" s="9"/>
      <c r="B316" s="9"/>
      <c r="C316" s="9"/>
      <c r="D316" s="3"/>
      <c r="E316" s="3"/>
      <c r="F316" s="8"/>
      <c r="G316" s="3"/>
      <c r="H316" s="3"/>
      <c r="I316" s="3"/>
      <c r="J316" s="8"/>
      <c r="K316" s="3"/>
      <c r="L316" s="3"/>
      <c r="M316" s="3"/>
      <c r="N316" s="8"/>
      <c r="P316" s="3"/>
      <c r="Q316" s="3"/>
      <c r="R316" s="8"/>
      <c r="S316" s="3"/>
      <c r="T316" s="3"/>
      <c r="U316" s="3"/>
      <c r="V316" s="8"/>
      <c r="W316" s="3"/>
      <c r="X316" s="3"/>
      <c r="Y316" s="3"/>
      <c r="Z316" s="8"/>
    </row>
    <row r="317" spans="1:26" s="23" customFormat="1" ht="15.75" thickBot="1" x14ac:dyDescent="0.3">
      <c r="A317" s="10"/>
      <c r="B317" s="29" t="s">
        <v>5</v>
      </c>
      <c r="C317" s="29"/>
      <c r="D317" s="34">
        <f>SUM(D312:D316)</f>
        <v>181711.7000000003</v>
      </c>
      <c r="E317" s="14"/>
      <c r="F317" s="30">
        <f>IF(D$12=0,0,D317/D$12)</f>
        <v>6.8908305310530854E-2</v>
      </c>
      <c r="G317" s="14"/>
      <c r="H317" s="34">
        <f>SUM(H312:H316)</f>
        <v>-152574.54000000129</v>
      </c>
      <c r="I317" s="14"/>
      <c r="J317" s="30">
        <f>IF(H$12=0,0,H317/H$12)</f>
        <v>-6.9269031163567724E-2</v>
      </c>
      <c r="K317" s="15"/>
      <c r="L317" s="34">
        <f>+D317-H317</f>
        <v>334286.24000000162</v>
      </c>
      <c r="M317" s="15"/>
      <c r="N317" s="30">
        <f>IF(H317=0,0,L317/H317)</f>
        <v>-2.1909700006305037</v>
      </c>
      <c r="O317" s="28"/>
      <c r="P317" s="34">
        <f>SUM(P312:P316)</f>
        <v>897543.16999999504</v>
      </c>
      <c r="Q317" s="14"/>
      <c r="R317" s="30">
        <f>IF(P$12=0,0,P317/P$12)</f>
        <v>5.5767385833385051E-2</v>
      </c>
      <c r="S317" s="14"/>
      <c r="T317" s="34">
        <f>SUM(T312:T316)</f>
        <v>237431.83000000284</v>
      </c>
      <c r="U317" s="14"/>
      <c r="V317" s="30">
        <f>IF(T$12=0,0,T317/T$12)</f>
        <v>1.4899000648841226E-2</v>
      </c>
      <c r="W317" s="15"/>
      <c r="X317" s="34">
        <f>+P317-T317</f>
        <v>660111.33999999217</v>
      </c>
      <c r="Y317" s="15"/>
      <c r="Z317" s="30">
        <f>IF(T317=0,0,X317/T317)</f>
        <v>2.7802141776862195</v>
      </c>
    </row>
    <row r="318" spans="1:26" ht="15.75" thickTop="1" x14ac:dyDescent="0.25">
      <c r="A318" s="9"/>
      <c r="C318" s="9"/>
      <c r="D318" s="18"/>
      <c r="E318" s="18"/>
      <c r="G318" s="18"/>
      <c r="H318" s="18"/>
      <c r="I318" s="18"/>
      <c r="J318" s="43"/>
      <c r="K318" s="18"/>
      <c r="L318" s="18"/>
      <c r="M318" s="18"/>
      <c r="P318" s="18"/>
      <c r="Q318" s="18"/>
      <c r="R318" s="43"/>
      <c r="S318" s="18"/>
      <c r="T318" s="18"/>
      <c r="U318" s="18"/>
      <c r="V318" s="43"/>
      <c r="W318" s="18"/>
      <c r="X318" s="18"/>
    </row>
    <row r="319" spans="1:26" x14ac:dyDescent="0.25">
      <c r="A319" s="9"/>
      <c r="B319" s="59">
        <v>43815.491096874997</v>
      </c>
      <c r="D319" s="18"/>
      <c r="E319" s="18"/>
      <c r="G319" s="18"/>
      <c r="H319" s="18"/>
      <c r="I319" s="18"/>
      <c r="J319" s="43"/>
      <c r="K319" s="18"/>
      <c r="L319" s="18"/>
      <c r="M319" s="18"/>
      <c r="P319" s="18"/>
      <c r="Q319" s="18"/>
      <c r="R319" s="43"/>
      <c r="S319" s="18"/>
      <c r="T319" s="18"/>
      <c r="U319" s="18"/>
      <c r="V319" s="43"/>
      <c r="W319" s="18"/>
      <c r="X319" s="18"/>
    </row>
    <row r="320" spans="1:26" x14ac:dyDescent="0.25">
      <c r="A320" s="9"/>
      <c r="B320" s="62" t="s">
        <v>313</v>
      </c>
      <c r="D320" s="18"/>
      <c r="E320" s="18"/>
      <c r="G320" s="18"/>
      <c r="H320" s="18"/>
      <c r="I320" s="18"/>
      <c r="J320" s="43"/>
      <c r="K320" s="18"/>
      <c r="L320" s="18"/>
      <c r="M320" s="18"/>
      <c r="P320" s="18"/>
      <c r="Q320" s="18"/>
      <c r="R320" s="43"/>
      <c r="S320" s="18"/>
      <c r="T320" s="18"/>
      <c r="U320" s="18"/>
      <c r="V320" s="43"/>
      <c r="W320" s="18"/>
      <c r="X320" s="18"/>
    </row>
    <row r="321" spans="1:24" x14ac:dyDescent="0.25">
      <c r="A321" s="9"/>
      <c r="B321" s="61"/>
      <c r="D321" s="18"/>
      <c r="E321" s="18"/>
      <c r="G321" s="18"/>
      <c r="H321" s="18"/>
      <c r="I321" s="18"/>
      <c r="J321" s="43"/>
      <c r="K321" s="18"/>
      <c r="L321" s="18"/>
      <c r="M321" s="18"/>
      <c r="P321" s="18"/>
      <c r="Q321" s="18"/>
      <c r="R321" s="43"/>
      <c r="S321" s="18"/>
      <c r="T321" s="18"/>
      <c r="U321" s="18"/>
      <c r="V321" s="43"/>
      <c r="W321" s="18"/>
      <c r="X321" s="18"/>
    </row>
    <row r="322" spans="1:24" x14ac:dyDescent="0.25">
      <c r="D322" s="18"/>
      <c r="E322" s="18"/>
      <c r="G322" s="18"/>
      <c r="H322" s="18"/>
      <c r="I322" s="18"/>
      <c r="J322" s="43"/>
      <c r="K322" s="18"/>
      <c r="L322" s="18"/>
      <c r="M322" s="18"/>
      <c r="P322" s="18"/>
      <c r="Q322" s="18"/>
      <c r="R322" s="43"/>
      <c r="S322" s="18"/>
      <c r="T322" s="18"/>
      <c r="U322" s="18"/>
      <c r="V322" s="43"/>
      <c r="W322" s="18"/>
      <c r="X322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299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299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300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300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296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296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310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310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297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SUM(0)</f>
        <v>0</v>
      </c>
      <c r="E18" s="22"/>
      <c r="F18" s="33">
        <f>IF(D$12=0,0,D18/D$12)</f>
        <v>0</v>
      </c>
      <c r="G18" s="22"/>
      <c r="H18" s="22">
        <f>SUM(0)</f>
        <v>0</v>
      </c>
      <c r="I18" s="22"/>
      <c r="J18" s="33">
        <f>IF(H$12=0,0,H18/H$12)</f>
        <v>0</v>
      </c>
      <c r="K18" s="4"/>
      <c r="L18" s="22">
        <f>+D18-H18</f>
        <v>0</v>
      </c>
      <c r="M18" s="4"/>
      <c r="N18" s="33">
        <f>IF(H18=0,0,L18/H18)</f>
        <v>0</v>
      </c>
      <c r="O18" s="10"/>
      <c r="P18" s="22">
        <f>SUM(0)</f>
        <v>0</v>
      </c>
      <c r="Q18" s="22"/>
      <c r="R18" s="33">
        <f>IF(P$12=0,0,P18/P$12)</f>
        <v>0</v>
      </c>
      <c r="S18" s="22"/>
      <c r="T18" s="22">
        <f>SUM(0)</f>
        <v>0</v>
      </c>
      <c r="U18" s="22"/>
      <c r="V18" s="33">
        <f>IF(T$12=0,0,T18/T$12)</f>
        <v>0</v>
      </c>
      <c r="W18" s="4"/>
      <c r="X18" s="22">
        <f>+P18-T18</f>
        <v>0</v>
      </c>
      <c r="Y18" s="4"/>
      <c r="Z18" s="33">
        <f>IF(T18=0,0,X18/T18)</f>
        <v>0</v>
      </c>
    </row>
    <row r="19" spans="1:26" s="53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1">
        <f>+D16-D18+D20</f>
        <v>0</v>
      </c>
      <c r="E22" s="14"/>
      <c r="F22" s="20">
        <f>IF(D$12=0,0,D22/D$12)</f>
        <v>0</v>
      </c>
      <c r="G22" s="14"/>
      <c r="H22" s="21">
        <f>+H16-H18+H20</f>
        <v>0</v>
      </c>
      <c r="I22" s="14"/>
      <c r="J22" s="20">
        <f>IF(H$12=0,0,H22/H$12)</f>
        <v>0</v>
      </c>
      <c r="K22" s="15"/>
      <c r="L22" s="21">
        <f>+D22-H22</f>
        <v>0</v>
      </c>
      <c r="M22" s="15"/>
      <c r="N22" s="20">
        <f>IF(H22=0,0,L22/H22)</f>
        <v>0</v>
      </c>
      <c r="O22" s="28"/>
      <c r="P22" s="21">
        <f>+P16-P18+P20</f>
        <v>0</v>
      </c>
      <c r="Q22" s="14"/>
      <c r="R22" s="20">
        <f>IF(P$12=0,0,P22/P$12)</f>
        <v>0</v>
      </c>
      <c r="S22" s="14"/>
      <c r="T22" s="21">
        <f>+T16-T18+T20</f>
        <v>0</v>
      </c>
      <c r="U22" s="14"/>
      <c r="V22" s="20">
        <f>IF(T$12=0,0,T22/T$12)</f>
        <v>0</v>
      </c>
      <c r="W22" s="15"/>
      <c r="X22" s="21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1">
        <f>+D22-D24</f>
        <v>0</v>
      </c>
      <c r="E26" s="14"/>
      <c r="F26" s="32">
        <f>IF(D$12=0,0,D26/D$12)</f>
        <v>0</v>
      </c>
      <c r="G26" s="14"/>
      <c r="H26" s="31">
        <f>+H22-H24</f>
        <v>0</v>
      </c>
      <c r="I26" s="14"/>
      <c r="J26" s="32">
        <f>IF(H$12=0,0,H26/H$12)</f>
        <v>0</v>
      </c>
      <c r="K26" s="15"/>
      <c r="L26" s="31">
        <f>D26-H26</f>
        <v>0</v>
      </c>
      <c r="M26" s="15"/>
      <c r="N26" s="32">
        <f>IF(H26=0,0,L26/H26)</f>
        <v>0</v>
      </c>
      <c r="O26" s="28"/>
      <c r="P26" s="31">
        <f>+P22-P24</f>
        <v>0</v>
      </c>
      <c r="Q26" s="14"/>
      <c r="R26" s="32">
        <f>IF(P$12=0,0,P26/P$12)</f>
        <v>0</v>
      </c>
      <c r="S26" s="14"/>
      <c r="T26" s="31">
        <f>+T22-T24</f>
        <v>0</v>
      </c>
      <c r="U26" s="14"/>
      <c r="V26" s="32">
        <f>IF(T$12=0,0,T26/T$12)</f>
        <v>0</v>
      </c>
      <c r="W26" s="15"/>
      <c r="X26" s="31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--198901.42</f>
        <v>198901.42</v>
      </c>
      <c r="E28" s="4"/>
      <c r="F28" s="12">
        <f t="shared" ref="F28:F29" si="0">IF(D$12=0,0,D28/D$12)</f>
        <v>0</v>
      </c>
      <c r="G28" s="4"/>
      <c r="H28" s="4">
        <f>--73191.27</f>
        <v>73191.27</v>
      </c>
      <c r="I28" s="4"/>
      <c r="J28" s="12">
        <f t="shared" ref="J28:J29" si="1">IF(H$12=0,0,H28/H$12)</f>
        <v>0</v>
      </c>
      <c r="K28" s="4"/>
      <c r="L28" s="4">
        <f t="shared" ref="L28:L29" si="2">+D28-H28</f>
        <v>125710.15000000001</v>
      </c>
      <c r="M28" s="4"/>
      <c r="N28" s="12">
        <f t="shared" ref="N28:N29" si="3">IF(H28=0,0,L28/H28)</f>
        <v>1.7175566157002058</v>
      </c>
      <c r="O28" s="10"/>
      <c r="P28" s="4">
        <f>--317204.67</f>
        <v>317204.67</v>
      </c>
      <c r="Q28" s="4"/>
      <c r="R28" s="12">
        <f t="shared" ref="R28:R29" si="4">IF(P$12=0,0,P28/P$12)</f>
        <v>0</v>
      </c>
      <c r="S28" s="4"/>
      <c r="T28" s="4">
        <f>-438332.56</f>
        <v>-438332.56</v>
      </c>
      <c r="U28" s="4"/>
      <c r="V28" s="12">
        <f t="shared" ref="V28:V29" si="5">IF(T$12=0,0,T28/T$12)</f>
        <v>0</v>
      </c>
      <c r="W28" s="4"/>
      <c r="X28" s="4">
        <f t="shared" ref="X28:X29" si="6">+P28-T28</f>
        <v>755537.23</v>
      </c>
      <c r="Y28" s="4"/>
      <c r="Z28" s="12">
        <f t="shared" ref="Z28:Z29" si="7">IF(T28=0,0,X28/T28)</f>
        <v>-1.7236621208335516</v>
      </c>
    </row>
    <row r="29" spans="1:26" s="23" customFormat="1" x14ac:dyDescent="0.25">
      <c r="A29" s="51"/>
      <c r="B29" s="10" t="s">
        <v>1</v>
      </c>
      <c r="C29" s="10"/>
      <c r="D29" s="4">
        <f>--12962.29</f>
        <v>12962.29</v>
      </c>
      <c r="E29" s="4"/>
      <c r="F29" s="12">
        <f t="shared" si="0"/>
        <v>0</v>
      </c>
      <c r="G29" s="4"/>
      <c r="H29" s="4">
        <f>--11636.78</f>
        <v>11636.78</v>
      </c>
      <c r="I29" s="4"/>
      <c r="J29" s="12">
        <f t="shared" si="1"/>
        <v>0</v>
      </c>
      <c r="K29" s="4"/>
      <c r="L29" s="4">
        <f t="shared" si="2"/>
        <v>1325.5100000000002</v>
      </c>
      <c r="M29" s="4"/>
      <c r="N29" s="12">
        <f t="shared" si="3"/>
        <v>0.11390693989230699</v>
      </c>
      <c r="O29" s="10"/>
      <c r="P29" s="4">
        <f>--78175.3</f>
        <v>78175.3</v>
      </c>
      <c r="Q29" s="4"/>
      <c r="R29" s="12">
        <f t="shared" si="4"/>
        <v>0</v>
      </c>
      <c r="S29" s="4"/>
      <c r="T29" s="4">
        <f>--71441.85</f>
        <v>71441.850000000006</v>
      </c>
      <c r="U29" s="4"/>
      <c r="V29" s="12">
        <f t="shared" si="5"/>
        <v>0</v>
      </c>
      <c r="W29" s="4"/>
      <c r="X29" s="4">
        <f t="shared" si="6"/>
        <v>6733.4499999999971</v>
      </c>
      <c r="Y29" s="4"/>
      <c r="Z29" s="12">
        <f t="shared" si="7"/>
        <v>9.4250778780224712E-2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4">
        <f>SUM(D26:D30)</f>
        <v>211863.71000000002</v>
      </c>
      <c r="E31" s="14"/>
      <c r="F31" s="30">
        <f>IF(D$12=0,0,D31/D$12)</f>
        <v>0</v>
      </c>
      <c r="G31" s="14"/>
      <c r="H31" s="34">
        <f>SUM(H26:H30)</f>
        <v>84828.05</v>
      </c>
      <c r="I31" s="14"/>
      <c r="J31" s="30">
        <f>IF(H$12=0,0,H31/H$12)</f>
        <v>0</v>
      </c>
      <c r="K31" s="15"/>
      <c r="L31" s="34">
        <f>+D31-H31</f>
        <v>127035.66000000002</v>
      </c>
      <c r="M31" s="15"/>
      <c r="N31" s="30">
        <f>IF(H31=0,0,L31/H31)</f>
        <v>1.4975666657432301</v>
      </c>
      <c r="O31" s="28"/>
      <c r="P31" s="34">
        <f>SUM(P26:P30)</f>
        <v>395379.97</v>
      </c>
      <c r="Q31" s="14"/>
      <c r="R31" s="30">
        <f>IF(P$12=0,0,P31/P$12)</f>
        <v>0</v>
      </c>
      <c r="S31" s="14"/>
      <c r="T31" s="34">
        <f>SUM(T26:T30)</f>
        <v>-366890.70999999996</v>
      </c>
      <c r="U31" s="14"/>
      <c r="V31" s="30">
        <f>IF(T$12=0,0,T31/T$12)</f>
        <v>0</v>
      </c>
      <c r="W31" s="15"/>
      <c r="X31" s="34">
        <f>+P31-T31</f>
        <v>762270.67999999993</v>
      </c>
      <c r="Y31" s="15"/>
      <c r="Z31" s="30">
        <f>IF(T31=0,0,X31/T31)</f>
        <v>-2.0776505352234187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9">
        <v>43815.491153703704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2" t="s">
        <v>313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1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","100", " - ", "Corporate")</f>
        <v>Department 100 - Corporate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SUM(0)</f>
        <v>0</v>
      </c>
      <c r="E18" s="22"/>
      <c r="F18" s="33">
        <f>IF(D$12=0,0,D18/D$12)</f>
        <v>0</v>
      </c>
      <c r="G18" s="22"/>
      <c r="H18" s="22">
        <f>SUM(0)</f>
        <v>0</v>
      </c>
      <c r="I18" s="22"/>
      <c r="J18" s="33">
        <f>IF(H$12=0,0,H18/H$12)</f>
        <v>0</v>
      </c>
      <c r="K18" s="4"/>
      <c r="L18" s="22">
        <f>+D18-H18</f>
        <v>0</v>
      </c>
      <c r="M18" s="4"/>
      <c r="N18" s="33">
        <f>IF(H18=0,0,L18/H18)</f>
        <v>0</v>
      </c>
      <c r="O18" s="10"/>
      <c r="P18" s="22">
        <f>SUM(0)</f>
        <v>0</v>
      </c>
      <c r="Q18" s="22"/>
      <c r="R18" s="33">
        <f>IF(P$12=0,0,P18/P$12)</f>
        <v>0</v>
      </c>
      <c r="S18" s="22"/>
      <c r="T18" s="22">
        <f>SUM(0)</f>
        <v>0</v>
      </c>
      <c r="U18" s="22"/>
      <c r="V18" s="33">
        <f>IF(T$12=0,0,T18/T$12)</f>
        <v>0</v>
      </c>
      <c r="W18" s="4"/>
      <c r="X18" s="22">
        <f>+P18-T18</f>
        <v>0</v>
      </c>
      <c r="Y18" s="4"/>
      <c r="Z18" s="33">
        <f>IF(T18=0,0,X18/T18)</f>
        <v>0</v>
      </c>
    </row>
    <row r="19" spans="1:26" s="53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1">
        <f>+D16-D18+D20</f>
        <v>0</v>
      </c>
      <c r="E22" s="14"/>
      <c r="F22" s="20">
        <f>IF(D$12=0,0,D22/D$12)</f>
        <v>0</v>
      </c>
      <c r="G22" s="14"/>
      <c r="H22" s="21">
        <f>+H16-H18+H20</f>
        <v>0</v>
      </c>
      <c r="I22" s="14"/>
      <c r="J22" s="20">
        <f>IF(H$12=0,0,H22/H$12)</f>
        <v>0</v>
      </c>
      <c r="K22" s="15"/>
      <c r="L22" s="21">
        <f>+D22-H22</f>
        <v>0</v>
      </c>
      <c r="M22" s="15"/>
      <c r="N22" s="20">
        <f>IF(H22=0,0,L22/H22)</f>
        <v>0</v>
      </c>
      <c r="O22" s="28"/>
      <c r="P22" s="21">
        <f>+P16-P18+P20</f>
        <v>0</v>
      </c>
      <c r="Q22" s="14"/>
      <c r="R22" s="20">
        <f>IF(P$12=0,0,P22/P$12)</f>
        <v>0</v>
      </c>
      <c r="S22" s="14"/>
      <c r="T22" s="21">
        <f>+T16-T18+T20</f>
        <v>0</v>
      </c>
      <c r="U22" s="14"/>
      <c r="V22" s="20">
        <f>IF(T$12=0,0,T22/T$12)</f>
        <v>0</v>
      </c>
      <c r="W22" s="15"/>
      <c r="X22" s="21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1">
        <f>+D22-D24</f>
        <v>0</v>
      </c>
      <c r="E26" s="14"/>
      <c r="F26" s="32">
        <f>IF(D$12=0,0,D26/D$12)</f>
        <v>0</v>
      </c>
      <c r="G26" s="14"/>
      <c r="H26" s="31">
        <f>+H22-H24</f>
        <v>0</v>
      </c>
      <c r="I26" s="14"/>
      <c r="J26" s="32">
        <f>IF(H$12=0,0,H26/H$12)</f>
        <v>0</v>
      </c>
      <c r="K26" s="15"/>
      <c r="L26" s="31">
        <f>D26-H26</f>
        <v>0</v>
      </c>
      <c r="M26" s="15"/>
      <c r="N26" s="32">
        <f>IF(H26=0,0,L26/H26)</f>
        <v>0</v>
      </c>
      <c r="O26" s="28"/>
      <c r="P26" s="31">
        <f>+P22-P24</f>
        <v>0</v>
      </c>
      <c r="Q26" s="14"/>
      <c r="R26" s="32">
        <f>IF(P$12=0,0,P26/P$12)</f>
        <v>0</v>
      </c>
      <c r="S26" s="14"/>
      <c r="T26" s="31">
        <f>+T22-T24</f>
        <v>0</v>
      </c>
      <c r="U26" s="14"/>
      <c r="V26" s="32">
        <f>IF(T$12=0,0,T26/T$12)</f>
        <v>0</v>
      </c>
      <c r="W26" s="15"/>
      <c r="X26" s="31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--198901.42</f>
        <v>198901.42</v>
      </c>
      <c r="E28" s="4"/>
      <c r="F28" s="12">
        <f t="shared" ref="F28:F29" si="0">IF(D$12=0,0,D28/D$12)</f>
        <v>0</v>
      </c>
      <c r="G28" s="4"/>
      <c r="H28" s="4">
        <f>--73191.27</f>
        <v>73191.27</v>
      </c>
      <c r="I28" s="4"/>
      <c r="J28" s="12">
        <f t="shared" ref="J28:J29" si="1">IF(H$12=0,0,H28/H$12)</f>
        <v>0</v>
      </c>
      <c r="K28" s="4"/>
      <c r="L28" s="4">
        <f t="shared" ref="L28:L29" si="2">+D28-H28</f>
        <v>125710.15000000001</v>
      </c>
      <c r="M28" s="4"/>
      <c r="N28" s="12">
        <f t="shared" ref="N28:N29" si="3">IF(H28=0,0,L28/H28)</f>
        <v>1.7175566157002058</v>
      </c>
      <c r="O28" s="10"/>
      <c r="P28" s="4">
        <f>--317204.67</f>
        <v>317204.67</v>
      </c>
      <c r="Q28" s="4"/>
      <c r="R28" s="12">
        <f t="shared" ref="R28:R29" si="4">IF(P$12=0,0,P28/P$12)</f>
        <v>0</v>
      </c>
      <c r="S28" s="4"/>
      <c r="T28" s="4">
        <f>-438332.56</f>
        <v>-438332.56</v>
      </c>
      <c r="U28" s="4"/>
      <c r="V28" s="12">
        <f t="shared" ref="V28:V29" si="5">IF(T$12=0,0,T28/T$12)</f>
        <v>0</v>
      </c>
      <c r="W28" s="4"/>
      <c r="X28" s="4">
        <f t="shared" ref="X28:X29" si="6">+P28-T28</f>
        <v>755537.23</v>
      </c>
      <c r="Y28" s="4"/>
      <c r="Z28" s="12">
        <f t="shared" ref="Z28:Z29" si="7">IF(T28=0,0,X28/T28)</f>
        <v>-1.7236621208335516</v>
      </c>
    </row>
    <row r="29" spans="1:26" s="23" customFormat="1" x14ac:dyDescent="0.25">
      <c r="A29" s="51"/>
      <c r="B29" s="10" t="s">
        <v>1</v>
      </c>
      <c r="C29" s="10"/>
      <c r="D29" s="4">
        <f>--12962.29</f>
        <v>12962.29</v>
      </c>
      <c r="E29" s="4"/>
      <c r="F29" s="12">
        <f t="shared" si="0"/>
        <v>0</v>
      </c>
      <c r="G29" s="4"/>
      <c r="H29" s="4">
        <f>--11636.78</f>
        <v>11636.78</v>
      </c>
      <c r="I29" s="4"/>
      <c r="J29" s="12">
        <f t="shared" si="1"/>
        <v>0</v>
      </c>
      <c r="K29" s="4"/>
      <c r="L29" s="4">
        <f t="shared" si="2"/>
        <v>1325.5100000000002</v>
      </c>
      <c r="M29" s="4"/>
      <c r="N29" s="12">
        <f t="shared" si="3"/>
        <v>0.11390693989230699</v>
      </c>
      <c r="O29" s="10"/>
      <c r="P29" s="4">
        <f>--78175.3</f>
        <v>78175.3</v>
      </c>
      <c r="Q29" s="4"/>
      <c r="R29" s="12">
        <f t="shared" si="4"/>
        <v>0</v>
      </c>
      <c r="S29" s="4"/>
      <c r="T29" s="4">
        <f>--71441.85</f>
        <v>71441.850000000006</v>
      </c>
      <c r="U29" s="4"/>
      <c r="V29" s="12">
        <f t="shared" si="5"/>
        <v>0</v>
      </c>
      <c r="W29" s="4"/>
      <c r="X29" s="4">
        <f t="shared" si="6"/>
        <v>6733.4499999999971</v>
      </c>
      <c r="Y29" s="4"/>
      <c r="Z29" s="12">
        <f t="shared" si="7"/>
        <v>9.4250778780224712E-2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4">
        <f>SUM(D26:D30)</f>
        <v>211863.71000000002</v>
      </c>
      <c r="E31" s="14"/>
      <c r="F31" s="30">
        <f>IF(D$12=0,0,D31/D$12)</f>
        <v>0</v>
      </c>
      <c r="G31" s="14"/>
      <c r="H31" s="34">
        <f>SUM(H26:H30)</f>
        <v>84828.05</v>
      </c>
      <c r="I31" s="14"/>
      <c r="J31" s="30">
        <f>IF(H$12=0,0,H31/H$12)</f>
        <v>0</v>
      </c>
      <c r="K31" s="15"/>
      <c r="L31" s="34">
        <f>+D31-H31</f>
        <v>127035.66000000002</v>
      </c>
      <c r="M31" s="15"/>
      <c r="N31" s="30">
        <f>IF(H31=0,0,L31/H31)</f>
        <v>1.4975666657432301</v>
      </c>
      <c r="O31" s="28"/>
      <c r="P31" s="34">
        <f>SUM(P26:P30)</f>
        <v>395379.97</v>
      </c>
      <c r="Q31" s="14"/>
      <c r="R31" s="30">
        <f>IF(P$12=0,0,P31/P$12)</f>
        <v>0</v>
      </c>
      <c r="S31" s="14"/>
      <c r="T31" s="34">
        <f>SUM(T26:T30)</f>
        <v>-366890.70999999996</v>
      </c>
      <c r="U31" s="14"/>
      <c r="V31" s="30">
        <f>IF(T$12=0,0,T31/T$12)</f>
        <v>0</v>
      </c>
      <c r="W31" s="15"/>
      <c r="X31" s="34">
        <f>+P31-T31</f>
        <v>762270.67999999993</v>
      </c>
      <c r="Y31" s="15"/>
      <c r="Z31" s="30">
        <f>IF(T31=0,0,X31/T31)</f>
        <v>-2.0776505352234187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9">
        <v>43815.491494479167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2" t="s">
        <v>313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1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349632.63</v>
      </c>
      <c r="E18" s="22"/>
      <c r="F18" s="33">
        <f t="shared" ref="F18:F30" si="0">IF(D$12=0,0,D18/D$12)</f>
        <v>0</v>
      </c>
      <c r="G18" s="22"/>
      <c r="H18" s="22">
        <f>SUM(OSRRefH22x_0)</f>
        <v>415556.13</v>
      </c>
      <c r="I18" s="22"/>
      <c r="J18" s="33">
        <f t="shared" ref="J18:J30" si="1">IF(H$12=0,0,H18/H$12)</f>
        <v>0</v>
      </c>
      <c r="K18" s="4"/>
      <c r="L18" s="22">
        <f t="shared" ref="L18:L30" si="2">+D18-H18</f>
        <v>-65923.5</v>
      </c>
      <c r="M18" s="4"/>
      <c r="N18" s="33">
        <f t="shared" ref="N18:N30" si="3">IF(H18=0,0,L18/H18)</f>
        <v>-0.15863921920728255</v>
      </c>
      <c r="O18" s="10"/>
      <c r="P18" s="22">
        <f>SUM(OSRRefP22x_0)</f>
        <v>1704289.1400000006</v>
      </c>
      <c r="Q18" s="22"/>
      <c r="R18" s="33">
        <f t="shared" ref="R18:R30" si="4">IF(P$12=0,0,P18/P$12)</f>
        <v>0</v>
      </c>
      <c r="S18" s="22"/>
      <c r="T18" s="22">
        <f>SUM(OSRRefT22x_0)</f>
        <v>1676833.5899999999</v>
      </c>
      <c r="U18" s="22"/>
      <c r="V18" s="33">
        <f t="shared" ref="V18:V30" si="5">IF(T$12=0,0,T18/T$12)</f>
        <v>0</v>
      </c>
      <c r="W18" s="4"/>
      <c r="X18" s="22">
        <f t="shared" ref="X18:X30" si="6">+P18-T18</f>
        <v>27455.550000000745</v>
      </c>
      <c r="Y18" s="4"/>
      <c r="Z18" s="33">
        <f t="shared" ref="Z18:Z30" si="7">IF(T18=0,0,X18/T18)</f>
        <v>1.6373449436923999E-2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80994.819999999992</v>
      </c>
      <c r="E19" s="1"/>
      <c r="F19" s="5">
        <f t="shared" si="0"/>
        <v>0</v>
      </c>
      <c r="G19" s="1"/>
      <c r="H19" s="1">
        <f>SUM(OSRRefH22_0x_0)</f>
        <v>83833.03</v>
      </c>
      <c r="I19" s="1"/>
      <c r="J19" s="5">
        <f t="shared" si="1"/>
        <v>0</v>
      </c>
      <c r="K19" s="1"/>
      <c r="L19" s="1">
        <f t="shared" si="2"/>
        <v>-2838.2100000000064</v>
      </c>
      <c r="M19" s="1"/>
      <c r="N19" s="5">
        <f t="shared" si="3"/>
        <v>-3.3855510173018993E-2</v>
      </c>
      <c r="O19" s="13"/>
      <c r="P19" s="1">
        <f>SUM(OSRRefP22_0x_0)</f>
        <v>474123.82</v>
      </c>
      <c r="Q19" s="1"/>
      <c r="R19" s="5">
        <f t="shared" si="4"/>
        <v>0</v>
      </c>
      <c r="S19" s="1"/>
      <c r="T19" s="1">
        <f>SUM(OSRRefT22_0x_0)</f>
        <v>510602.29000000004</v>
      </c>
      <c r="U19" s="1"/>
      <c r="V19" s="5">
        <f t="shared" si="5"/>
        <v>0</v>
      </c>
      <c r="W19" s="1"/>
      <c r="X19" s="1">
        <f t="shared" si="6"/>
        <v>-36478.47000000003</v>
      </c>
      <c r="Y19" s="1"/>
      <c r="Z19" s="5">
        <f t="shared" si="7"/>
        <v>-7.144204151532503E-2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6791.99</v>
      </c>
      <c r="E20" s="2"/>
      <c r="F20" s="7">
        <f t="shared" si="0"/>
        <v>0</v>
      </c>
      <c r="G20" s="2"/>
      <c r="H20" s="6">
        <v>7527.54</v>
      </c>
      <c r="I20" s="2"/>
      <c r="J20" s="7">
        <f t="shared" si="1"/>
        <v>0</v>
      </c>
      <c r="K20" s="2"/>
      <c r="L20" s="6">
        <f t="shared" si="2"/>
        <v>-735.55000000000018</v>
      </c>
      <c r="M20" s="2"/>
      <c r="N20" s="7">
        <f t="shared" si="3"/>
        <v>-9.771452559534724E-2</v>
      </c>
      <c r="O20" s="11"/>
      <c r="P20" s="6">
        <v>51917.65</v>
      </c>
      <c r="Q20" s="2"/>
      <c r="R20" s="7">
        <f t="shared" si="4"/>
        <v>0</v>
      </c>
      <c r="S20" s="2"/>
      <c r="T20" s="6">
        <v>51910.1</v>
      </c>
      <c r="U20" s="2"/>
      <c r="V20" s="7">
        <f t="shared" si="5"/>
        <v>0</v>
      </c>
      <c r="W20" s="2"/>
      <c r="X20" s="6">
        <f t="shared" si="6"/>
        <v>7.5500000000029104</v>
      </c>
      <c r="Y20" s="2"/>
      <c r="Z20" s="7">
        <f t="shared" si="7"/>
        <v>1.4544375757324511E-4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656.32</v>
      </c>
      <c r="E21" s="2"/>
      <c r="F21" s="7">
        <f t="shared" si="0"/>
        <v>0</v>
      </c>
      <c r="G21" s="2"/>
      <c r="H21" s="6">
        <v>557.34</v>
      </c>
      <c r="I21" s="2"/>
      <c r="J21" s="7">
        <f t="shared" si="1"/>
        <v>0</v>
      </c>
      <c r="K21" s="2"/>
      <c r="L21" s="6">
        <f t="shared" si="2"/>
        <v>98.980000000000018</v>
      </c>
      <c r="M21" s="2"/>
      <c r="N21" s="7">
        <f t="shared" si="3"/>
        <v>0.17759356945491084</v>
      </c>
      <c r="O21" s="11"/>
      <c r="P21" s="6">
        <v>2964.79</v>
      </c>
      <c r="Q21" s="2"/>
      <c r="R21" s="7">
        <f t="shared" si="4"/>
        <v>0</v>
      </c>
      <c r="S21" s="2"/>
      <c r="T21" s="6">
        <v>3356.02</v>
      </c>
      <c r="U21" s="2"/>
      <c r="V21" s="7">
        <f t="shared" si="5"/>
        <v>0</v>
      </c>
      <c r="W21" s="2"/>
      <c r="X21" s="6">
        <f t="shared" si="6"/>
        <v>-391.23</v>
      </c>
      <c r="Y21" s="2"/>
      <c r="Z21" s="7">
        <f t="shared" si="7"/>
        <v>-0.11657558655788702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22318.02</v>
      </c>
      <c r="E22" s="2"/>
      <c r="F22" s="7">
        <f t="shared" si="0"/>
        <v>0</v>
      </c>
      <c r="G22" s="2"/>
      <c r="H22" s="6">
        <v>29137.870000000003</v>
      </c>
      <c r="I22" s="2"/>
      <c r="J22" s="7">
        <f t="shared" si="1"/>
        <v>0</v>
      </c>
      <c r="K22" s="2"/>
      <c r="L22" s="6">
        <f t="shared" si="2"/>
        <v>-6819.8500000000022</v>
      </c>
      <c r="M22" s="2"/>
      <c r="N22" s="7">
        <f t="shared" si="3"/>
        <v>-0.23405451393667423</v>
      </c>
      <c r="O22" s="11"/>
      <c r="P22" s="6">
        <v>112996.56999999999</v>
      </c>
      <c r="Q22" s="2"/>
      <c r="R22" s="7">
        <f t="shared" si="4"/>
        <v>0</v>
      </c>
      <c r="S22" s="2"/>
      <c r="T22" s="6">
        <v>127035.89</v>
      </c>
      <c r="U22" s="2"/>
      <c r="V22" s="7">
        <f t="shared" si="5"/>
        <v>0</v>
      </c>
      <c r="W22" s="2"/>
      <c r="X22" s="6">
        <f t="shared" si="6"/>
        <v>-14039.320000000007</v>
      </c>
      <c r="Y22" s="2"/>
      <c r="Z22" s="7">
        <f t="shared" si="7"/>
        <v>-0.1105145955209981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296.02</v>
      </c>
      <c r="E23" s="2"/>
      <c r="F23" s="7">
        <f t="shared" si="0"/>
        <v>0</v>
      </c>
      <c r="G23" s="2"/>
      <c r="H23" s="6">
        <v>331.65</v>
      </c>
      <c r="I23" s="2"/>
      <c r="J23" s="7">
        <f t="shared" si="1"/>
        <v>0</v>
      </c>
      <c r="K23" s="2"/>
      <c r="L23" s="6">
        <f t="shared" si="2"/>
        <v>-35.629999999999995</v>
      </c>
      <c r="M23" s="2"/>
      <c r="N23" s="7">
        <f t="shared" si="3"/>
        <v>-0.10743253429820593</v>
      </c>
      <c r="O23" s="11"/>
      <c r="P23" s="6">
        <v>2083.79</v>
      </c>
      <c r="Q23" s="2"/>
      <c r="R23" s="7">
        <f t="shared" si="4"/>
        <v>0</v>
      </c>
      <c r="S23" s="2"/>
      <c r="T23" s="6">
        <v>2065.52</v>
      </c>
      <c r="U23" s="2"/>
      <c r="V23" s="7">
        <f t="shared" si="5"/>
        <v>0</v>
      </c>
      <c r="W23" s="2"/>
      <c r="X23" s="6">
        <f t="shared" si="6"/>
        <v>18.269999999999982</v>
      </c>
      <c r="Y23" s="2"/>
      <c r="Z23" s="7">
        <f t="shared" si="7"/>
        <v>8.8452302567876284E-3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6783.07</v>
      </c>
      <c r="E24" s="2"/>
      <c r="F24" s="7">
        <f t="shared" si="0"/>
        <v>0</v>
      </c>
      <c r="G24" s="2"/>
      <c r="H24" s="6">
        <v>7733.96</v>
      </c>
      <c r="I24" s="2"/>
      <c r="J24" s="7">
        <f t="shared" si="1"/>
        <v>0</v>
      </c>
      <c r="K24" s="2"/>
      <c r="L24" s="6">
        <f t="shared" si="2"/>
        <v>-950.89000000000033</v>
      </c>
      <c r="M24" s="2"/>
      <c r="N24" s="7">
        <f t="shared" si="3"/>
        <v>-0.12294995060745081</v>
      </c>
      <c r="O24" s="11"/>
      <c r="P24" s="6">
        <v>46724.94</v>
      </c>
      <c r="Q24" s="2"/>
      <c r="R24" s="7">
        <f t="shared" si="4"/>
        <v>0</v>
      </c>
      <c r="S24" s="2"/>
      <c r="T24" s="6">
        <v>51911.91</v>
      </c>
      <c r="U24" s="2"/>
      <c r="V24" s="7">
        <f t="shared" si="5"/>
        <v>0</v>
      </c>
      <c r="W24" s="2"/>
      <c r="X24" s="6">
        <f t="shared" si="6"/>
        <v>-5186.9700000000012</v>
      </c>
      <c r="Y24" s="2"/>
      <c r="Z24" s="7">
        <f t="shared" si="7"/>
        <v>-9.991868917941954E-2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1971.94</v>
      </c>
      <c r="Q25" s="2"/>
      <c r="R25" s="7">
        <f t="shared" si="4"/>
        <v>0</v>
      </c>
      <c r="S25" s="2"/>
      <c r="T25" s="6">
        <v>2451.4</v>
      </c>
      <c r="U25" s="2"/>
      <c r="V25" s="7">
        <f t="shared" si="5"/>
        <v>0</v>
      </c>
      <c r="W25" s="2"/>
      <c r="X25" s="6">
        <f t="shared" si="6"/>
        <v>-479.46000000000004</v>
      </c>
      <c r="Y25" s="2"/>
      <c r="Z25" s="7">
        <f t="shared" si="7"/>
        <v>-0.19558619564330587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843.9</v>
      </c>
      <c r="E26" s="2"/>
      <c r="F26" s="7">
        <f t="shared" si="0"/>
        <v>0</v>
      </c>
      <c r="G26" s="2"/>
      <c r="H26" s="6">
        <v>223.89</v>
      </c>
      <c r="I26" s="2"/>
      <c r="J26" s="7">
        <f t="shared" si="1"/>
        <v>0</v>
      </c>
      <c r="K26" s="2"/>
      <c r="L26" s="6">
        <f t="shared" si="2"/>
        <v>620.01</v>
      </c>
      <c r="M26" s="2"/>
      <c r="N26" s="7">
        <f t="shared" si="3"/>
        <v>2.7692616910089778</v>
      </c>
      <c r="O26" s="11"/>
      <c r="P26" s="6">
        <v>4337.6400000000003</v>
      </c>
      <c r="Q26" s="2"/>
      <c r="R26" s="7">
        <f t="shared" si="4"/>
        <v>0</v>
      </c>
      <c r="S26" s="2"/>
      <c r="T26" s="6">
        <v>1204.83</v>
      </c>
      <c r="U26" s="2"/>
      <c r="V26" s="7">
        <f t="shared" si="5"/>
        <v>0</v>
      </c>
      <c r="W26" s="2"/>
      <c r="X26" s="6">
        <f t="shared" si="6"/>
        <v>3132.8100000000004</v>
      </c>
      <c r="Y26" s="2"/>
      <c r="Z26" s="7">
        <f t="shared" si="7"/>
        <v>2.600209158138493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6949.45</v>
      </c>
      <c r="E27" s="2"/>
      <c r="F27" s="7">
        <f t="shared" si="0"/>
        <v>0</v>
      </c>
      <c r="G27" s="2"/>
      <c r="H27" s="6">
        <v>8144.34</v>
      </c>
      <c r="I27" s="2"/>
      <c r="J27" s="7">
        <f t="shared" si="1"/>
        <v>0</v>
      </c>
      <c r="K27" s="2"/>
      <c r="L27" s="6">
        <f t="shared" si="2"/>
        <v>-1194.8900000000003</v>
      </c>
      <c r="M27" s="2"/>
      <c r="N27" s="7">
        <f t="shared" si="3"/>
        <v>-0.14671415977230817</v>
      </c>
      <c r="O27" s="11"/>
      <c r="P27" s="6">
        <v>48342.6</v>
      </c>
      <c r="Q27" s="2"/>
      <c r="R27" s="7">
        <f t="shared" si="4"/>
        <v>0</v>
      </c>
      <c r="S27" s="2"/>
      <c r="T27" s="6">
        <v>52598.729999999996</v>
      </c>
      <c r="U27" s="2"/>
      <c r="V27" s="7">
        <f t="shared" si="5"/>
        <v>0</v>
      </c>
      <c r="W27" s="2"/>
      <c r="X27" s="6">
        <f t="shared" si="6"/>
        <v>-4256.1299999999974</v>
      </c>
      <c r="Y27" s="2"/>
      <c r="Z27" s="7">
        <f t="shared" si="7"/>
        <v>-8.0916972710177559E-2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4880.68</v>
      </c>
      <c r="E28" s="2"/>
      <c r="F28" s="7">
        <f t="shared" si="0"/>
        <v>0</v>
      </c>
      <c r="G28" s="2"/>
      <c r="H28" s="6">
        <v>5099.4399999999996</v>
      </c>
      <c r="I28" s="2"/>
      <c r="J28" s="7">
        <f t="shared" si="1"/>
        <v>0</v>
      </c>
      <c r="K28" s="2"/>
      <c r="L28" s="6">
        <f t="shared" si="2"/>
        <v>-218.75999999999931</v>
      </c>
      <c r="M28" s="2"/>
      <c r="N28" s="7">
        <f t="shared" si="3"/>
        <v>-4.2898828106615494E-2</v>
      </c>
      <c r="O28" s="11"/>
      <c r="P28" s="6">
        <v>44206.86</v>
      </c>
      <c r="Q28" s="2"/>
      <c r="R28" s="7">
        <f t="shared" si="4"/>
        <v>0</v>
      </c>
      <c r="S28" s="2"/>
      <c r="T28" s="6">
        <v>39602.140000000007</v>
      </c>
      <c r="U28" s="2"/>
      <c r="V28" s="7">
        <f t="shared" si="5"/>
        <v>0</v>
      </c>
      <c r="W28" s="2"/>
      <c r="X28" s="6">
        <f t="shared" si="6"/>
        <v>4604.7199999999939</v>
      </c>
      <c r="Y28" s="2"/>
      <c r="Z28" s="7">
        <f t="shared" si="7"/>
        <v>0.11627452455852116</v>
      </c>
    </row>
    <row r="29" spans="1:26" s="24" customFormat="1" hidden="1" outlineLevel="2" x14ac:dyDescent="0.25">
      <c r="A29" s="26"/>
      <c r="B29" s="11" t="str">
        <f>CONCATENATE("          ", "6120", " - ", "RETIREES HEALTH INSURANCE")</f>
        <v xml:space="preserve">          6120 - RETIREES HEALTH INSURANCE</v>
      </c>
      <c r="C29" s="11"/>
      <c r="D29" s="6">
        <v>29023.1</v>
      </c>
      <c r="E29" s="2"/>
      <c r="F29" s="7">
        <f t="shared" si="0"/>
        <v>0</v>
      </c>
      <c r="G29" s="2"/>
      <c r="H29" s="6">
        <v>22579.84</v>
      </c>
      <c r="I29" s="2"/>
      <c r="J29" s="7">
        <f t="shared" si="1"/>
        <v>0</v>
      </c>
      <c r="K29" s="2"/>
      <c r="L29" s="6">
        <f t="shared" si="2"/>
        <v>6443.2599999999984</v>
      </c>
      <c r="M29" s="2"/>
      <c r="N29" s="7">
        <f t="shared" si="3"/>
        <v>0.28535454635639573</v>
      </c>
      <c r="O29" s="11"/>
      <c r="P29" s="6">
        <v>146429.12</v>
      </c>
      <c r="Q29" s="2"/>
      <c r="R29" s="7">
        <f t="shared" si="4"/>
        <v>0</v>
      </c>
      <c r="S29" s="2"/>
      <c r="T29" s="6">
        <v>166039.85</v>
      </c>
      <c r="U29" s="2"/>
      <c r="V29" s="7">
        <f t="shared" si="5"/>
        <v>0</v>
      </c>
      <c r="W29" s="2"/>
      <c r="X29" s="6">
        <f t="shared" si="6"/>
        <v>-19610.73000000001</v>
      </c>
      <c r="Y29" s="2"/>
      <c r="Z29" s="7">
        <f t="shared" si="7"/>
        <v>-0.11810857453797995</v>
      </c>
    </row>
    <row r="30" spans="1:26" s="24" customFormat="1" hidden="1" outlineLevel="2" x14ac:dyDescent="0.25">
      <c r="A30" s="26"/>
      <c r="B30" s="11" t="str">
        <f>CONCATENATE("          ", "6156", " - ", "EMPLOYEE MEALS")</f>
        <v xml:space="preserve">          6156 - EMPLOYEE MEALS</v>
      </c>
      <c r="C30" s="11"/>
      <c r="D30" s="6">
        <v>2452.27</v>
      </c>
      <c r="E30" s="2"/>
      <c r="F30" s="7">
        <f t="shared" si="0"/>
        <v>0</v>
      </c>
      <c r="G30" s="2"/>
      <c r="H30" s="6">
        <v>2497.16</v>
      </c>
      <c r="I30" s="2"/>
      <c r="J30" s="7">
        <f t="shared" si="1"/>
        <v>0</v>
      </c>
      <c r="K30" s="2"/>
      <c r="L30" s="6">
        <f t="shared" si="2"/>
        <v>-44.889999999999873</v>
      </c>
      <c r="M30" s="2"/>
      <c r="N30" s="7">
        <f t="shared" si="3"/>
        <v>-1.7976421214499622E-2</v>
      </c>
      <c r="O30" s="11"/>
      <c r="P30" s="6">
        <v>12147.92</v>
      </c>
      <c r="Q30" s="2"/>
      <c r="R30" s="7">
        <f t="shared" si="4"/>
        <v>0</v>
      </c>
      <c r="S30" s="2"/>
      <c r="T30" s="6">
        <v>12425.9</v>
      </c>
      <c r="U30" s="2"/>
      <c r="V30" s="7">
        <f t="shared" si="5"/>
        <v>0</v>
      </c>
      <c r="W30" s="2"/>
      <c r="X30" s="6">
        <f t="shared" si="6"/>
        <v>-277.97999999999956</v>
      </c>
      <c r="Y30" s="2"/>
      <c r="Z30" s="7">
        <f t="shared" si="7"/>
        <v>-2.2371015379167671E-2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105565.87</v>
      </c>
      <c r="E31" s="1"/>
      <c r="F31" s="5">
        <f t="shared" ref="F31:F38" si="8">IF(D$12=0,0,D31/D$12)</f>
        <v>0</v>
      </c>
      <c r="G31" s="1"/>
      <c r="H31" s="1">
        <f>SUM(OSRRefH22_1x_0)</f>
        <v>119194.3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-13628.430000000008</v>
      </c>
      <c r="M31" s="1"/>
      <c r="N31" s="5">
        <f t="shared" ref="N31:N38" si="11">IF(H31=0,0,L31/H31)</f>
        <v>-0.11433793394482795</v>
      </c>
      <c r="O31" s="13"/>
      <c r="P31" s="1">
        <f>SUM(OSRRefP22_1x_0)</f>
        <v>542837.17999999993</v>
      </c>
      <c r="Q31" s="1"/>
      <c r="R31" s="5">
        <f t="shared" ref="R31:R38" si="12">IF(P$12=0,0,P31/P$12)</f>
        <v>0</v>
      </c>
      <c r="S31" s="1"/>
      <c r="T31" s="1">
        <f>SUM(OSRRefT22_1x_0)</f>
        <v>583146.59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-40309.410000000033</v>
      </c>
      <c r="Y31" s="1"/>
      <c r="Z31" s="5">
        <f t="shared" ref="Z31:Z38" si="15">IF(T31=0,0,X31/T31)</f>
        <v>-6.9123974470981703E-2</v>
      </c>
    </row>
    <row r="32" spans="1:26" s="24" customFormat="1" hidden="1" outlineLevel="2" x14ac:dyDescent="0.25">
      <c r="A32" s="26"/>
      <c r="B32" s="11" t="str">
        <f>CONCATENATE("          ", "6001", " - ", "ADMINISTRATIVE SALARIES")</f>
        <v xml:space="preserve">          6001 - ADMINISTRATIVE SALARIES</v>
      </c>
      <c r="C32" s="11"/>
      <c r="D32" s="6">
        <v>21786.16</v>
      </c>
      <c r="E32" s="2"/>
      <c r="F32" s="7">
        <f t="shared" si="8"/>
        <v>0</v>
      </c>
      <c r="G32" s="2"/>
      <c r="H32" s="6">
        <v>35446.049999999996</v>
      </c>
      <c r="I32" s="2"/>
      <c r="J32" s="7">
        <f t="shared" si="9"/>
        <v>0</v>
      </c>
      <c r="K32" s="2"/>
      <c r="L32" s="6">
        <f t="shared" si="10"/>
        <v>-13659.889999999996</v>
      </c>
      <c r="M32" s="2"/>
      <c r="N32" s="7">
        <f t="shared" si="11"/>
        <v>-0.38537128960772771</v>
      </c>
      <c r="O32" s="11"/>
      <c r="P32" s="6">
        <v>125443.37999999999</v>
      </c>
      <c r="Q32" s="2"/>
      <c r="R32" s="7">
        <f t="shared" si="12"/>
        <v>0</v>
      </c>
      <c r="S32" s="2"/>
      <c r="T32" s="6">
        <v>192975.48</v>
      </c>
      <c r="U32" s="2"/>
      <c r="V32" s="7">
        <f t="shared" si="13"/>
        <v>0</v>
      </c>
      <c r="W32" s="2"/>
      <c r="X32" s="6">
        <f t="shared" si="14"/>
        <v>-67532.10000000002</v>
      </c>
      <c r="Y32" s="2"/>
      <c r="Z32" s="7">
        <f t="shared" si="15"/>
        <v>-0.34995171407268955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41108.85</v>
      </c>
      <c r="E33" s="2"/>
      <c r="F33" s="7">
        <f t="shared" si="8"/>
        <v>0</v>
      </c>
      <c r="G33" s="2"/>
      <c r="H33" s="6">
        <v>45491.79</v>
      </c>
      <c r="I33" s="2"/>
      <c r="J33" s="7">
        <f t="shared" si="9"/>
        <v>0</v>
      </c>
      <c r="K33" s="2"/>
      <c r="L33" s="6">
        <f t="shared" si="10"/>
        <v>-4382.9400000000023</v>
      </c>
      <c r="M33" s="2"/>
      <c r="N33" s="7">
        <f t="shared" si="11"/>
        <v>-9.6345736230647377E-2</v>
      </c>
      <c r="O33" s="11"/>
      <c r="P33" s="6">
        <v>234050.78</v>
      </c>
      <c r="Q33" s="2"/>
      <c r="R33" s="7">
        <f t="shared" si="12"/>
        <v>0</v>
      </c>
      <c r="S33" s="2"/>
      <c r="T33" s="6">
        <v>226471.73</v>
      </c>
      <c r="U33" s="2"/>
      <c r="V33" s="7">
        <f t="shared" si="13"/>
        <v>0</v>
      </c>
      <c r="W33" s="2"/>
      <c r="X33" s="6">
        <f t="shared" si="14"/>
        <v>7579.0499999999884</v>
      </c>
      <c r="Y33" s="2"/>
      <c r="Z33" s="7">
        <f t="shared" si="15"/>
        <v>3.3465766345318192E-2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22623.11</v>
      </c>
      <c r="E34" s="2"/>
      <c r="F34" s="7">
        <f t="shared" si="8"/>
        <v>0</v>
      </c>
      <c r="G34" s="2"/>
      <c r="H34" s="6">
        <v>20246.710000000003</v>
      </c>
      <c r="I34" s="2"/>
      <c r="J34" s="7">
        <f t="shared" si="9"/>
        <v>0</v>
      </c>
      <c r="K34" s="2"/>
      <c r="L34" s="6">
        <f t="shared" si="10"/>
        <v>2376.3999999999978</v>
      </c>
      <c r="M34" s="2"/>
      <c r="N34" s="7">
        <f t="shared" si="11"/>
        <v>0.11737215577246859</v>
      </c>
      <c r="O34" s="11"/>
      <c r="P34" s="6">
        <v>116356.58</v>
      </c>
      <c r="Q34" s="2"/>
      <c r="R34" s="7">
        <f t="shared" si="12"/>
        <v>0</v>
      </c>
      <c r="S34" s="2"/>
      <c r="T34" s="6">
        <v>97053.159999999989</v>
      </c>
      <c r="U34" s="2"/>
      <c r="V34" s="7">
        <f t="shared" si="13"/>
        <v>0</v>
      </c>
      <c r="W34" s="2"/>
      <c r="X34" s="6">
        <f t="shared" si="14"/>
        <v>19303.420000000013</v>
      </c>
      <c r="Y34" s="2"/>
      <c r="Z34" s="7">
        <f t="shared" si="15"/>
        <v>0.19889532705581162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7653.73</v>
      </c>
      <c r="E35" s="2"/>
      <c r="F35" s="7">
        <f t="shared" si="8"/>
        <v>0</v>
      </c>
      <c r="G35" s="2"/>
      <c r="H35" s="6">
        <v>7058.78</v>
      </c>
      <c r="I35" s="2"/>
      <c r="J35" s="7">
        <f t="shared" si="9"/>
        <v>0</v>
      </c>
      <c r="K35" s="2"/>
      <c r="L35" s="6">
        <f t="shared" si="10"/>
        <v>594.94999999999982</v>
      </c>
      <c r="M35" s="2"/>
      <c r="N35" s="7">
        <f t="shared" si="11"/>
        <v>8.4285103091469041E-2</v>
      </c>
      <c r="O35" s="11"/>
      <c r="P35" s="6">
        <v>50763.23</v>
      </c>
      <c r="Q35" s="2"/>
      <c r="R35" s="7">
        <f t="shared" si="12"/>
        <v>0</v>
      </c>
      <c r="S35" s="2"/>
      <c r="T35" s="6">
        <v>41822.07</v>
      </c>
      <c r="U35" s="2"/>
      <c r="V35" s="7">
        <f t="shared" si="13"/>
        <v>0</v>
      </c>
      <c r="W35" s="2"/>
      <c r="X35" s="6">
        <f t="shared" si="14"/>
        <v>8941.1600000000035</v>
      </c>
      <c r="Y35" s="2"/>
      <c r="Z35" s="7">
        <f t="shared" si="15"/>
        <v>0.21379046995999967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2361.4299999999998</v>
      </c>
      <c r="Q36" s="2"/>
      <c r="R36" s="7">
        <f t="shared" si="12"/>
        <v>0</v>
      </c>
      <c r="S36" s="2"/>
      <c r="T36" s="6">
        <v>247.86</v>
      </c>
      <c r="U36" s="2"/>
      <c r="V36" s="7">
        <f t="shared" si="13"/>
        <v>0</v>
      </c>
      <c r="W36" s="2"/>
      <c r="X36" s="6">
        <f t="shared" si="14"/>
        <v>2113.5699999999997</v>
      </c>
      <c r="Y36" s="2"/>
      <c r="Z36" s="7">
        <f t="shared" si="15"/>
        <v>8.5272734608246576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10867.77</v>
      </c>
      <c r="E37" s="2"/>
      <c r="F37" s="7">
        <f t="shared" si="8"/>
        <v>0</v>
      </c>
      <c r="G37" s="2"/>
      <c r="H37" s="6">
        <v>10950.97</v>
      </c>
      <c r="I37" s="2"/>
      <c r="J37" s="7">
        <f t="shared" si="9"/>
        <v>0</v>
      </c>
      <c r="K37" s="2"/>
      <c r="L37" s="6">
        <f t="shared" si="10"/>
        <v>-83.199999999998909</v>
      </c>
      <c r="M37" s="2"/>
      <c r="N37" s="7">
        <f t="shared" si="11"/>
        <v>-7.5975004953898065E-3</v>
      </c>
      <c r="O37" s="11"/>
      <c r="P37" s="6">
        <v>4977.08</v>
      </c>
      <c r="Q37" s="2"/>
      <c r="R37" s="7">
        <f t="shared" si="12"/>
        <v>0</v>
      </c>
      <c r="S37" s="2"/>
      <c r="T37" s="6">
        <v>24576.289999999997</v>
      </c>
      <c r="U37" s="2"/>
      <c r="V37" s="7">
        <f t="shared" si="13"/>
        <v>0</v>
      </c>
      <c r="W37" s="2"/>
      <c r="X37" s="6">
        <f t="shared" si="14"/>
        <v>-19599.21</v>
      </c>
      <c r="Y37" s="2"/>
      <c r="Z37" s="7">
        <f t="shared" si="15"/>
        <v>-0.79748448606360034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>
        <v>1526.25</v>
      </c>
      <c r="E38" s="2"/>
      <c r="F38" s="7">
        <f t="shared" si="8"/>
        <v>0</v>
      </c>
      <c r="G38" s="2"/>
      <c r="H38" s="6"/>
      <c r="I38" s="2"/>
      <c r="J38" s="7">
        <f t="shared" si="9"/>
        <v>0</v>
      </c>
      <c r="K38" s="2"/>
      <c r="L38" s="6">
        <f t="shared" si="10"/>
        <v>1526.25</v>
      </c>
      <c r="M38" s="2"/>
      <c r="N38" s="7">
        <f t="shared" si="11"/>
        <v>0</v>
      </c>
      <c r="O38" s="11"/>
      <c r="P38" s="6">
        <v>8884.7000000000007</v>
      </c>
      <c r="Q38" s="2"/>
      <c r="R38" s="7">
        <f t="shared" si="12"/>
        <v>0</v>
      </c>
      <c r="S38" s="2"/>
      <c r="T38" s="6"/>
      <c r="U38" s="2"/>
      <c r="V38" s="7">
        <f t="shared" si="13"/>
        <v>0</v>
      </c>
      <c r="W38" s="2"/>
      <c r="X38" s="6">
        <f t="shared" si="14"/>
        <v>8884.7000000000007</v>
      </c>
      <c r="Y38" s="2"/>
      <c r="Z38" s="7">
        <f t="shared" si="15"/>
        <v>0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-5570.04</v>
      </c>
      <c r="E39" s="1"/>
      <c r="F39" s="5">
        <f t="shared" ref="F39:F47" si="16">IF(D$12=0,0,D39/D$12)</f>
        <v>0</v>
      </c>
      <c r="G39" s="1"/>
      <c r="H39" s="1">
        <f>SUM(OSRRefH22_2x_0)</f>
        <v>-3127.12</v>
      </c>
      <c r="I39" s="1"/>
      <c r="J39" s="5">
        <f t="shared" ref="J39:J47" si="17">IF(H$12=0,0,H39/H$12)</f>
        <v>0</v>
      </c>
      <c r="K39" s="1"/>
      <c r="L39" s="1">
        <f t="shared" ref="L39:L47" si="18">+D39-H39</f>
        <v>-2442.92</v>
      </c>
      <c r="M39" s="1"/>
      <c r="N39" s="5">
        <f t="shared" ref="N39:N47" si="19">IF(H39=0,0,L39/H39)</f>
        <v>0.78120443091406799</v>
      </c>
      <c r="O39" s="13"/>
      <c r="P39" s="1">
        <f>SUM(OSRRefP22_2x_0)</f>
        <v>-17866.809999999998</v>
      </c>
      <c r="Q39" s="1"/>
      <c r="R39" s="5">
        <f t="shared" ref="R39:R47" si="20">IF(P$12=0,0,P39/P$12)</f>
        <v>0</v>
      </c>
      <c r="S39" s="1"/>
      <c r="T39" s="1">
        <f>SUM(OSRRefT22_2x_0)</f>
        <v>-9134.64</v>
      </c>
      <c r="U39" s="1"/>
      <c r="V39" s="5">
        <f t="shared" ref="V39:V47" si="21">IF(T$12=0,0,T39/T$12)</f>
        <v>0</v>
      </c>
      <c r="W39" s="1"/>
      <c r="X39" s="1">
        <f t="shared" ref="X39:X47" si="22">+P39-T39</f>
        <v>-8732.1699999999983</v>
      </c>
      <c r="Y39" s="1"/>
      <c r="Z39" s="5">
        <f t="shared" ref="Z39:Z47" si="23">IF(T39=0,0,X39/T39)</f>
        <v>0.95594024504523423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-5570.04</v>
      </c>
      <c r="E40" s="2"/>
      <c r="F40" s="7">
        <f t="shared" si="16"/>
        <v>0</v>
      </c>
      <c r="G40" s="2"/>
      <c r="H40" s="6">
        <v>-3127.12</v>
      </c>
      <c r="I40" s="2"/>
      <c r="J40" s="7">
        <f t="shared" si="17"/>
        <v>0</v>
      </c>
      <c r="K40" s="2"/>
      <c r="L40" s="6">
        <f t="shared" si="18"/>
        <v>-2442.92</v>
      </c>
      <c r="M40" s="2"/>
      <c r="N40" s="7">
        <f t="shared" si="19"/>
        <v>0.78120443091406799</v>
      </c>
      <c r="O40" s="11"/>
      <c r="P40" s="6">
        <v>-17866.809999999998</v>
      </c>
      <c r="Q40" s="2"/>
      <c r="R40" s="7">
        <f t="shared" si="20"/>
        <v>0</v>
      </c>
      <c r="S40" s="2"/>
      <c r="T40" s="6">
        <v>-9134.64</v>
      </c>
      <c r="U40" s="2"/>
      <c r="V40" s="7">
        <f t="shared" si="21"/>
        <v>0</v>
      </c>
      <c r="W40" s="2"/>
      <c r="X40" s="6">
        <f t="shared" si="22"/>
        <v>-8732.1699999999983</v>
      </c>
      <c r="Y40" s="2"/>
      <c r="Z40" s="7">
        <f t="shared" si="23"/>
        <v>0.95594024504523423</v>
      </c>
    </row>
    <row r="41" spans="1:26" s="25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SUM(OSRRefD22_3x_0)</f>
        <v>1830.56</v>
      </c>
      <c r="E41" s="1"/>
      <c r="F41" s="5">
        <f t="shared" si="16"/>
        <v>0</v>
      </c>
      <c r="G41" s="1"/>
      <c r="H41" s="1">
        <f>SUM(OSRRefH22_3x_0)</f>
        <v>1158.73</v>
      </c>
      <c r="I41" s="1"/>
      <c r="J41" s="5">
        <f t="shared" si="17"/>
        <v>0</v>
      </c>
      <c r="K41" s="1"/>
      <c r="L41" s="1">
        <f t="shared" si="18"/>
        <v>671.82999999999993</v>
      </c>
      <c r="M41" s="1"/>
      <c r="N41" s="5">
        <f t="shared" si="19"/>
        <v>0.57979857257514689</v>
      </c>
      <c r="O41" s="13"/>
      <c r="P41" s="1">
        <f>SUM(OSRRefP22_3x_0)</f>
        <v>22756.720000000001</v>
      </c>
      <c r="Q41" s="1"/>
      <c r="R41" s="5">
        <f t="shared" si="20"/>
        <v>0</v>
      </c>
      <c r="S41" s="1"/>
      <c r="T41" s="1">
        <f>SUM(OSRRefT22_3x_0)</f>
        <v>17562.190000000002</v>
      </c>
      <c r="U41" s="1"/>
      <c r="V41" s="5">
        <f t="shared" si="21"/>
        <v>0</v>
      </c>
      <c r="W41" s="1"/>
      <c r="X41" s="1">
        <f t="shared" si="22"/>
        <v>5194.5299999999988</v>
      </c>
      <c r="Y41" s="1"/>
      <c r="Z41" s="5">
        <f t="shared" si="23"/>
        <v>0.29577917104871304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6">
        <v>1830.56</v>
      </c>
      <c r="E42" s="2"/>
      <c r="F42" s="7">
        <f t="shared" si="16"/>
        <v>0</v>
      </c>
      <c r="G42" s="2"/>
      <c r="H42" s="6">
        <v>1158.73</v>
      </c>
      <c r="I42" s="2"/>
      <c r="J42" s="7">
        <f t="shared" si="17"/>
        <v>0</v>
      </c>
      <c r="K42" s="2"/>
      <c r="L42" s="6">
        <f t="shared" si="18"/>
        <v>671.82999999999993</v>
      </c>
      <c r="M42" s="2"/>
      <c r="N42" s="7">
        <f t="shared" si="19"/>
        <v>0.57979857257514689</v>
      </c>
      <c r="O42" s="11"/>
      <c r="P42" s="6">
        <v>22756.720000000001</v>
      </c>
      <c r="Q42" s="2"/>
      <c r="R42" s="7">
        <f t="shared" si="20"/>
        <v>0</v>
      </c>
      <c r="S42" s="2"/>
      <c r="T42" s="6">
        <v>17562.190000000002</v>
      </c>
      <c r="U42" s="2"/>
      <c r="V42" s="7">
        <f t="shared" si="21"/>
        <v>0</v>
      </c>
      <c r="W42" s="2"/>
      <c r="X42" s="6">
        <f t="shared" si="22"/>
        <v>5194.5299999999988</v>
      </c>
      <c r="Y42" s="2"/>
      <c r="Z42" s="7">
        <f t="shared" si="23"/>
        <v>0.29577917104871304</v>
      </c>
    </row>
    <row r="43" spans="1:26" s="25" customFormat="1" outlineLevel="1" collapsed="1" x14ac:dyDescent="0.25">
      <c r="A43" s="27"/>
      <c r="B43" s="13" t="str">
        <f>CONCATENATE("     ","Board                                             ")</f>
        <v xml:space="preserve">     Board                                             </v>
      </c>
      <c r="C43" s="13"/>
      <c r="D43" s="1">
        <f>SUM(OSRRefD22_4x_0)</f>
        <v>2318.88</v>
      </c>
      <c r="E43" s="1"/>
      <c r="F43" s="5">
        <f t="shared" si="16"/>
        <v>0</v>
      </c>
      <c r="G43" s="1"/>
      <c r="H43" s="1">
        <f>SUM(OSRRefH22_4x_0)</f>
        <v>3623.25</v>
      </c>
      <c r="I43" s="1"/>
      <c r="J43" s="5">
        <f t="shared" si="17"/>
        <v>0</v>
      </c>
      <c r="K43" s="1"/>
      <c r="L43" s="1">
        <f t="shared" si="18"/>
        <v>-1304.3699999999999</v>
      </c>
      <c r="M43" s="1"/>
      <c r="N43" s="5">
        <f t="shared" si="19"/>
        <v>-0.36</v>
      </c>
      <c r="O43" s="13"/>
      <c r="P43" s="1">
        <f>SUM(OSRRefP22_4x_0)</f>
        <v>14165.11</v>
      </c>
      <c r="Q43" s="1"/>
      <c r="R43" s="5">
        <f t="shared" si="20"/>
        <v>0</v>
      </c>
      <c r="S43" s="1"/>
      <c r="T43" s="1">
        <f>SUM(OSRRefT22_4x_0)</f>
        <v>14738.13</v>
      </c>
      <c r="U43" s="1"/>
      <c r="V43" s="5">
        <f t="shared" si="21"/>
        <v>0</v>
      </c>
      <c r="W43" s="1"/>
      <c r="X43" s="1">
        <f t="shared" si="22"/>
        <v>-573.01999999999862</v>
      </c>
      <c r="Y43" s="1"/>
      <c r="Z43" s="5">
        <f t="shared" si="23"/>
        <v>-3.8880102156786424E-2</v>
      </c>
    </row>
    <row r="44" spans="1:26" s="24" customFormat="1" hidden="1" outlineLevel="2" x14ac:dyDescent="0.25">
      <c r="A44" s="26"/>
      <c r="B44" s="11" t="str">
        <f>CONCATENATE("          ", "6397", " - ", "BOARD EXPENSES")</f>
        <v xml:space="preserve">          6397 - BOARD EXPENSES</v>
      </c>
      <c r="C44" s="11"/>
      <c r="D44" s="6">
        <v>2318.88</v>
      </c>
      <c r="E44" s="2"/>
      <c r="F44" s="7">
        <f t="shared" si="16"/>
        <v>0</v>
      </c>
      <c r="G44" s="2"/>
      <c r="H44" s="6">
        <v>3623.25</v>
      </c>
      <c r="I44" s="2"/>
      <c r="J44" s="7">
        <f t="shared" si="17"/>
        <v>0</v>
      </c>
      <c r="K44" s="2"/>
      <c r="L44" s="6">
        <f t="shared" si="18"/>
        <v>-1304.3699999999999</v>
      </c>
      <c r="M44" s="2"/>
      <c r="N44" s="7">
        <f t="shared" si="19"/>
        <v>-0.36</v>
      </c>
      <c r="O44" s="11"/>
      <c r="P44" s="6">
        <v>14165.11</v>
      </c>
      <c r="Q44" s="2"/>
      <c r="R44" s="7">
        <f t="shared" si="20"/>
        <v>0</v>
      </c>
      <c r="S44" s="2"/>
      <c r="T44" s="6">
        <v>14738.13</v>
      </c>
      <c r="U44" s="2"/>
      <c r="V44" s="7">
        <f t="shared" si="21"/>
        <v>0</v>
      </c>
      <c r="W44" s="2"/>
      <c r="X44" s="6">
        <f t="shared" si="22"/>
        <v>-573.01999999999862</v>
      </c>
      <c r="Y44" s="2"/>
      <c r="Z44" s="7">
        <f t="shared" si="23"/>
        <v>-3.8880102156786424E-2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8599.93</v>
      </c>
      <c r="E45" s="1"/>
      <c r="F45" s="5">
        <f t="shared" si="16"/>
        <v>0</v>
      </c>
      <c r="G45" s="1"/>
      <c r="H45" s="1">
        <f>SUM(OSRRefH22_5x_0)</f>
        <v>10293.85</v>
      </c>
      <c r="I45" s="1"/>
      <c r="J45" s="5">
        <f t="shared" si="17"/>
        <v>0</v>
      </c>
      <c r="K45" s="1"/>
      <c r="L45" s="1">
        <f t="shared" si="18"/>
        <v>-1693.92</v>
      </c>
      <c r="M45" s="1"/>
      <c r="N45" s="5">
        <f t="shared" si="19"/>
        <v>-0.16455650704061162</v>
      </c>
      <c r="O45" s="13"/>
      <c r="P45" s="1">
        <f>SUM(OSRRefP22_5x_0)</f>
        <v>42999.65</v>
      </c>
      <c r="Q45" s="1"/>
      <c r="R45" s="5">
        <f t="shared" si="20"/>
        <v>0</v>
      </c>
      <c r="S45" s="1"/>
      <c r="T45" s="1">
        <f>SUM(OSRRefT22_5x_0)</f>
        <v>51469.249999999993</v>
      </c>
      <c r="U45" s="1"/>
      <c r="V45" s="5">
        <f t="shared" si="21"/>
        <v>0</v>
      </c>
      <c r="W45" s="1"/>
      <c r="X45" s="1">
        <f t="shared" si="22"/>
        <v>-8469.5999999999913</v>
      </c>
      <c r="Y45" s="1"/>
      <c r="Z45" s="5">
        <f t="shared" si="23"/>
        <v>-0.16455650704061148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8599.93</v>
      </c>
      <c r="E46" s="2"/>
      <c r="F46" s="7">
        <f t="shared" si="16"/>
        <v>0</v>
      </c>
      <c r="G46" s="2"/>
      <c r="H46" s="6">
        <v>9971.81</v>
      </c>
      <c r="I46" s="2"/>
      <c r="J46" s="7">
        <f t="shared" si="17"/>
        <v>0</v>
      </c>
      <c r="K46" s="2"/>
      <c r="L46" s="6">
        <f t="shared" si="18"/>
        <v>-1371.8799999999992</v>
      </c>
      <c r="M46" s="2"/>
      <c r="N46" s="7">
        <f t="shared" si="19"/>
        <v>-0.13757582625421055</v>
      </c>
      <c r="O46" s="11"/>
      <c r="P46" s="6">
        <v>42999.65</v>
      </c>
      <c r="Q46" s="2"/>
      <c r="R46" s="7">
        <f t="shared" si="20"/>
        <v>0</v>
      </c>
      <c r="S46" s="2"/>
      <c r="T46" s="6">
        <v>49859.049999999996</v>
      </c>
      <c r="U46" s="2"/>
      <c r="V46" s="7">
        <f t="shared" si="21"/>
        <v>0</v>
      </c>
      <c r="W46" s="2"/>
      <c r="X46" s="6">
        <f t="shared" si="22"/>
        <v>-6859.3999999999942</v>
      </c>
      <c r="Y46" s="2"/>
      <c r="Z46" s="7">
        <f t="shared" si="23"/>
        <v>-0.13757582625421053</v>
      </c>
    </row>
    <row r="47" spans="1:26" s="24" customFormat="1" hidden="1" outlineLevel="2" x14ac:dyDescent="0.25">
      <c r="A47" s="26"/>
      <c r="B47" s="11" t="str">
        <f>CONCATENATE("          ", "6324", " - ", "FURNITURE + FIXT DEPRECIATION")</f>
        <v xml:space="preserve">          6324 - FURNITURE + FIXT DEPRECIATION</v>
      </c>
      <c r="C47" s="11"/>
      <c r="D47" s="6"/>
      <c r="E47" s="2"/>
      <c r="F47" s="7">
        <f t="shared" si="16"/>
        <v>0</v>
      </c>
      <c r="G47" s="2"/>
      <c r="H47" s="6">
        <v>322.04000000000002</v>
      </c>
      <c r="I47" s="2"/>
      <c r="J47" s="7">
        <f t="shared" si="17"/>
        <v>0</v>
      </c>
      <c r="K47" s="2"/>
      <c r="L47" s="6">
        <f t="shared" si="18"/>
        <v>-322.04000000000002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1610.2</v>
      </c>
      <c r="U47" s="2"/>
      <c r="V47" s="7">
        <f t="shared" si="21"/>
        <v>0</v>
      </c>
      <c r="W47" s="2"/>
      <c r="X47" s="6">
        <f t="shared" si="22"/>
        <v>-1610.2</v>
      </c>
      <c r="Y47" s="2"/>
      <c r="Z47" s="7">
        <f t="shared" si="23"/>
        <v>-1</v>
      </c>
    </row>
    <row r="48" spans="1:26" s="25" customFormat="1" outlineLevel="1" collapsed="1" x14ac:dyDescent="0.25">
      <c r="A48" s="27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SUM(OSRRefD22_6x_0)</f>
        <v>98765.54</v>
      </c>
      <c r="E48" s="1"/>
      <c r="F48" s="5">
        <f t="shared" ref="F48:F64" si="24">IF(D$12=0,0,D48/D$12)</f>
        <v>0</v>
      </c>
      <c r="G48" s="1"/>
      <c r="H48" s="1">
        <f>SUM(OSRRefH22_6x_0)</f>
        <v>98199.039999999994</v>
      </c>
      <c r="I48" s="1"/>
      <c r="J48" s="5">
        <f t="shared" ref="J48:J64" si="25">IF(H$12=0,0,H48/H$12)</f>
        <v>0</v>
      </c>
      <c r="K48" s="1"/>
      <c r="L48" s="1">
        <f t="shared" ref="L48:L64" si="26">+D48-H48</f>
        <v>566.5</v>
      </c>
      <c r="M48" s="1"/>
      <c r="N48" s="5">
        <f t="shared" ref="N48:N64" si="27">IF(H48=0,0,L48/H48)</f>
        <v>5.768895500404078E-3</v>
      </c>
      <c r="O48" s="13"/>
      <c r="P48" s="1">
        <f>SUM(OSRRefP22_6x_0)</f>
        <v>243142.79</v>
      </c>
      <c r="Q48" s="1"/>
      <c r="R48" s="5">
        <f t="shared" ref="R48:R64" si="28">IF(P$12=0,0,P48/P$12)</f>
        <v>0</v>
      </c>
      <c r="S48" s="1"/>
      <c r="T48" s="1">
        <f>SUM(OSRRefT22_6x_0)</f>
        <v>141125.46</v>
      </c>
      <c r="U48" s="1"/>
      <c r="V48" s="5">
        <f t="shared" ref="V48:V64" si="29">IF(T$12=0,0,T48/T$12)</f>
        <v>0</v>
      </c>
      <c r="W48" s="1"/>
      <c r="X48" s="1">
        <f t="shared" ref="X48:X64" si="30">+P48-T48</f>
        <v>102017.33000000002</v>
      </c>
      <c r="Y48" s="1"/>
      <c r="Z48" s="5">
        <f t="shared" ref="Z48:Z64" si="31">IF(T48=0,0,X48/T48)</f>
        <v>0.72288395020997642</v>
      </c>
    </row>
    <row r="49" spans="1:26" s="24" customFormat="1" hidden="1" outlineLevel="2" x14ac:dyDescent="0.25">
      <c r="A49" s="26"/>
      <c r="B49" s="11" t="str">
        <f>CONCATENATE("          ", "6399", " - ", "DONATION-ON CAMPUS")</f>
        <v xml:space="preserve">          6399 - DONATION-ON CAMPUS</v>
      </c>
      <c r="C49" s="11"/>
      <c r="D49" s="6">
        <v>98765.54</v>
      </c>
      <c r="E49" s="2"/>
      <c r="F49" s="7">
        <f t="shared" si="24"/>
        <v>0</v>
      </c>
      <c r="G49" s="2"/>
      <c r="H49" s="6">
        <v>98199.039999999994</v>
      </c>
      <c r="I49" s="2"/>
      <c r="J49" s="7">
        <f t="shared" si="25"/>
        <v>0</v>
      </c>
      <c r="K49" s="2"/>
      <c r="L49" s="6">
        <f t="shared" si="26"/>
        <v>566.5</v>
      </c>
      <c r="M49" s="2"/>
      <c r="N49" s="7">
        <f t="shared" si="27"/>
        <v>5.768895500404078E-3</v>
      </c>
      <c r="O49" s="11"/>
      <c r="P49" s="6">
        <v>243142.79</v>
      </c>
      <c r="Q49" s="2"/>
      <c r="R49" s="7">
        <f t="shared" si="28"/>
        <v>0</v>
      </c>
      <c r="S49" s="2"/>
      <c r="T49" s="6">
        <v>141125.46</v>
      </c>
      <c r="U49" s="2"/>
      <c r="V49" s="7">
        <f t="shared" si="29"/>
        <v>0</v>
      </c>
      <c r="W49" s="2"/>
      <c r="X49" s="6">
        <f t="shared" si="30"/>
        <v>102017.33000000002</v>
      </c>
      <c r="Y49" s="2"/>
      <c r="Z49" s="7">
        <f t="shared" si="31"/>
        <v>0.72288395020997642</v>
      </c>
    </row>
    <row r="50" spans="1:26" s="25" customFormat="1" outlineLevel="1" collapsed="1" x14ac:dyDescent="0.25">
      <c r="A50" s="27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SUM(OSRRefD22_7x_0)</f>
        <v>330</v>
      </c>
      <c r="E50" s="1"/>
      <c r="F50" s="5">
        <f t="shared" si="24"/>
        <v>0</v>
      </c>
      <c r="G50" s="1"/>
      <c r="H50" s="1">
        <f>SUM(OSRRefH22_7x_0)</f>
        <v>3157.97</v>
      </c>
      <c r="I50" s="1"/>
      <c r="J50" s="5">
        <f t="shared" si="25"/>
        <v>0</v>
      </c>
      <c r="K50" s="1"/>
      <c r="L50" s="1">
        <f t="shared" si="26"/>
        <v>-2827.97</v>
      </c>
      <c r="M50" s="1"/>
      <c r="N50" s="5">
        <f t="shared" si="27"/>
        <v>-0.89550249052397579</v>
      </c>
      <c r="O50" s="13"/>
      <c r="P50" s="1">
        <f>SUM(OSRRefP22_7x_0)</f>
        <v>12159.12</v>
      </c>
      <c r="Q50" s="1"/>
      <c r="R50" s="5">
        <f t="shared" si="28"/>
        <v>0</v>
      </c>
      <c r="S50" s="1"/>
      <c r="T50" s="1">
        <f>SUM(OSRRefT22_7x_0)</f>
        <v>11589.23</v>
      </c>
      <c r="U50" s="1"/>
      <c r="V50" s="5">
        <f t="shared" si="29"/>
        <v>0</v>
      </c>
      <c r="W50" s="1"/>
      <c r="X50" s="1">
        <f t="shared" si="30"/>
        <v>569.89000000000124</v>
      </c>
      <c r="Y50" s="1"/>
      <c r="Z50" s="5">
        <f t="shared" si="31"/>
        <v>4.91741038878339E-2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6">
        <v>330</v>
      </c>
      <c r="E51" s="2"/>
      <c r="F51" s="7">
        <f t="shared" si="24"/>
        <v>0</v>
      </c>
      <c r="G51" s="2"/>
      <c r="H51" s="6">
        <v>3157.97</v>
      </c>
      <c r="I51" s="2"/>
      <c r="J51" s="7">
        <f t="shared" si="25"/>
        <v>0</v>
      </c>
      <c r="K51" s="2"/>
      <c r="L51" s="6">
        <f t="shared" si="26"/>
        <v>-2827.97</v>
      </c>
      <c r="M51" s="2"/>
      <c r="N51" s="7">
        <f t="shared" si="27"/>
        <v>-0.89550249052397579</v>
      </c>
      <c r="O51" s="11"/>
      <c r="P51" s="6">
        <v>12159.12</v>
      </c>
      <c r="Q51" s="2"/>
      <c r="R51" s="7">
        <f t="shared" si="28"/>
        <v>0</v>
      </c>
      <c r="S51" s="2"/>
      <c r="T51" s="6">
        <v>11589.23</v>
      </c>
      <c r="U51" s="2"/>
      <c r="V51" s="7">
        <f t="shared" si="29"/>
        <v>0</v>
      </c>
      <c r="W51" s="2"/>
      <c r="X51" s="6">
        <f t="shared" si="30"/>
        <v>569.89000000000124</v>
      </c>
      <c r="Y51" s="2"/>
      <c r="Z51" s="7">
        <f t="shared" si="31"/>
        <v>4.91741038878339E-2</v>
      </c>
    </row>
    <row r="52" spans="1:26" s="25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SUM(OSRRefD22_8x_0)</f>
        <v>208.98</v>
      </c>
      <c r="E52" s="1"/>
      <c r="F52" s="5">
        <f t="shared" si="24"/>
        <v>0</v>
      </c>
      <c r="G52" s="1"/>
      <c r="H52" s="1">
        <f>SUM(OSRRefH22_8x_0)</f>
        <v>300.24</v>
      </c>
      <c r="I52" s="1"/>
      <c r="J52" s="5">
        <f t="shared" si="25"/>
        <v>0</v>
      </c>
      <c r="K52" s="1"/>
      <c r="L52" s="1">
        <f t="shared" si="26"/>
        <v>-91.260000000000019</v>
      </c>
      <c r="M52" s="1"/>
      <c r="N52" s="5">
        <f t="shared" si="27"/>
        <v>-0.30395683453237415</v>
      </c>
      <c r="O52" s="13"/>
      <c r="P52" s="1">
        <f>SUM(OSRRefP22_8x_0)</f>
        <v>1527.66</v>
      </c>
      <c r="Q52" s="1"/>
      <c r="R52" s="5">
        <f t="shared" si="28"/>
        <v>0</v>
      </c>
      <c r="S52" s="1"/>
      <c r="T52" s="1">
        <f>SUM(OSRRefT22_8x_0)</f>
        <v>1501.2</v>
      </c>
      <c r="U52" s="1"/>
      <c r="V52" s="5">
        <f t="shared" si="29"/>
        <v>0</v>
      </c>
      <c r="W52" s="1"/>
      <c r="X52" s="1">
        <f t="shared" si="30"/>
        <v>26.460000000000036</v>
      </c>
      <c r="Y52" s="1"/>
      <c r="Z52" s="5">
        <f t="shared" si="31"/>
        <v>1.7625899280575563E-2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6">
        <v>208.98</v>
      </c>
      <c r="E53" s="2"/>
      <c r="F53" s="7">
        <f t="shared" si="24"/>
        <v>0</v>
      </c>
      <c r="G53" s="2"/>
      <c r="H53" s="6">
        <v>300.24</v>
      </c>
      <c r="I53" s="2"/>
      <c r="J53" s="7">
        <f t="shared" si="25"/>
        <v>0</v>
      </c>
      <c r="K53" s="2"/>
      <c r="L53" s="6">
        <f t="shared" si="26"/>
        <v>-91.260000000000019</v>
      </c>
      <c r="M53" s="2"/>
      <c r="N53" s="7">
        <f t="shared" si="27"/>
        <v>-0.30395683453237415</v>
      </c>
      <c r="O53" s="11"/>
      <c r="P53" s="6">
        <v>1527.66</v>
      </c>
      <c r="Q53" s="2"/>
      <c r="R53" s="7">
        <f t="shared" si="28"/>
        <v>0</v>
      </c>
      <c r="S53" s="2"/>
      <c r="T53" s="6">
        <v>1501.2</v>
      </c>
      <c r="U53" s="2"/>
      <c r="V53" s="7">
        <f t="shared" si="29"/>
        <v>0</v>
      </c>
      <c r="W53" s="2"/>
      <c r="X53" s="6">
        <f t="shared" si="30"/>
        <v>26.460000000000036</v>
      </c>
      <c r="Y53" s="2"/>
      <c r="Z53" s="7">
        <f t="shared" si="31"/>
        <v>1.7625899280575563E-2</v>
      </c>
    </row>
    <row r="54" spans="1:26" s="25" customFormat="1" outlineLevel="1" collapsed="1" x14ac:dyDescent="0.25">
      <c r="A54" s="27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SUM(OSRRefD22_9x_0)</f>
        <v>172.5</v>
      </c>
      <c r="E54" s="1"/>
      <c r="F54" s="5">
        <f t="shared" si="24"/>
        <v>0</v>
      </c>
      <c r="G54" s="1"/>
      <c r="H54" s="1">
        <f>SUM(OSRRefH22_9x_0)</f>
        <v>196.21</v>
      </c>
      <c r="I54" s="1"/>
      <c r="J54" s="5">
        <f t="shared" si="25"/>
        <v>0</v>
      </c>
      <c r="K54" s="1"/>
      <c r="L54" s="1">
        <f t="shared" si="26"/>
        <v>-23.710000000000008</v>
      </c>
      <c r="M54" s="1"/>
      <c r="N54" s="5">
        <f t="shared" si="27"/>
        <v>-0.12083991641608484</v>
      </c>
      <c r="O54" s="13"/>
      <c r="P54" s="1">
        <f>SUM(OSRRefP22_9x_0)</f>
        <v>958</v>
      </c>
      <c r="Q54" s="1"/>
      <c r="R54" s="5">
        <f t="shared" si="28"/>
        <v>0</v>
      </c>
      <c r="S54" s="1"/>
      <c r="T54" s="1">
        <f>SUM(OSRRefT22_9x_0)</f>
        <v>1047.01</v>
      </c>
      <c r="U54" s="1"/>
      <c r="V54" s="5">
        <f t="shared" si="29"/>
        <v>0</v>
      </c>
      <c r="W54" s="1"/>
      <c r="X54" s="1">
        <f t="shared" si="30"/>
        <v>-89.009999999999991</v>
      </c>
      <c r="Y54" s="1"/>
      <c r="Z54" s="5">
        <f t="shared" si="31"/>
        <v>-8.5013514675122484E-2</v>
      </c>
    </row>
    <row r="55" spans="1:26" s="24" customFormat="1" hidden="1" outlineLevel="2" x14ac:dyDescent="0.25">
      <c r="A55" s="26"/>
      <c r="B55" s="11" t="str">
        <f>CONCATENATE("          ", "6307", " - ", "POSTAGE")</f>
        <v xml:space="preserve">          6307 - POSTAGE</v>
      </c>
      <c r="C55" s="11"/>
      <c r="D55" s="6">
        <v>172.5</v>
      </c>
      <c r="E55" s="2"/>
      <c r="F55" s="7">
        <f t="shared" si="24"/>
        <v>0</v>
      </c>
      <c r="G55" s="2"/>
      <c r="H55" s="6">
        <v>196.21</v>
      </c>
      <c r="I55" s="2"/>
      <c r="J55" s="7">
        <f t="shared" si="25"/>
        <v>0</v>
      </c>
      <c r="K55" s="2"/>
      <c r="L55" s="6">
        <f t="shared" si="26"/>
        <v>-23.710000000000008</v>
      </c>
      <c r="M55" s="2"/>
      <c r="N55" s="7">
        <f t="shared" si="27"/>
        <v>-0.12083991641608484</v>
      </c>
      <c r="O55" s="11"/>
      <c r="P55" s="6">
        <v>958</v>
      </c>
      <c r="Q55" s="2"/>
      <c r="R55" s="7">
        <f t="shared" si="28"/>
        <v>0</v>
      </c>
      <c r="S55" s="2"/>
      <c r="T55" s="6">
        <v>1047.01</v>
      </c>
      <c r="U55" s="2"/>
      <c r="V55" s="7">
        <f t="shared" si="29"/>
        <v>0</v>
      </c>
      <c r="W55" s="2"/>
      <c r="X55" s="6">
        <f t="shared" si="30"/>
        <v>-89.009999999999991</v>
      </c>
      <c r="Y55" s="2"/>
      <c r="Z55" s="7">
        <f t="shared" si="31"/>
        <v>-8.5013514675122484E-2</v>
      </c>
    </row>
    <row r="56" spans="1:26" s="25" customFormat="1" outlineLevel="1" collapsed="1" x14ac:dyDescent="0.25">
      <c r="A56" s="27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SUM(OSRRefD22_10x_0)</f>
        <v>-8.7899999999999991</v>
      </c>
      <c r="E56" s="1"/>
      <c r="F56" s="5">
        <f t="shared" si="24"/>
        <v>0</v>
      </c>
      <c r="G56" s="1"/>
      <c r="H56" s="1">
        <f>SUM(OSRRefH22_10x_0)</f>
        <v>-361.78</v>
      </c>
      <c r="I56" s="1"/>
      <c r="J56" s="5">
        <f t="shared" si="25"/>
        <v>0</v>
      </c>
      <c r="K56" s="1"/>
      <c r="L56" s="1">
        <f t="shared" si="26"/>
        <v>352.98999999999995</v>
      </c>
      <c r="M56" s="1"/>
      <c r="N56" s="5">
        <f t="shared" si="27"/>
        <v>-0.97570346619492498</v>
      </c>
      <c r="O56" s="13"/>
      <c r="P56" s="1">
        <f>SUM(OSRRefP22_10x_0)</f>
        <v>12571.35</v>
      </c>
      <c r="Q56" s="1"/>
      <c r="R56" s="5">
        <f t="shared" si="28"/>
        <v>0</v>
      </c>
      <c r="S56" s="1"/>
      <c r="T56" s="1">
        <f>SUM(OSRRefT22_10x_0)</f>
        <v>9288.1200000000008</v>
      </c>
      <c r="U56" s="1"/>
      <c r="V56" s="5">
        <f t="shared" si="29"/>
        <v>0</v>
      </c>
      <c r="W56" s="1"/>
      <c r="X56" s="1">
        <f t="shared" si="30"/>
        <v>3283.2299999999996</v>
      </c>
      <c r="Y56" s="1"/>
      <c r="Z56" s="5">
        <f t="shared" si="31"/>
        <v>0.35348703505122664</v>
      </c>
    </row>
    <row r="57" spans="1:26" s="24" customFormat="1" hidden="1" outlineLevel="2" x14ac:dyDescent="0.25">
      <c r="A57" s="26"/>
      <c r="B57" s="11" t="str">
        <f>CONCATENATE("          ", "6279", " - ", "GENERAL EXPENSE")</f>
        <v xml:space="preserve">          6279 - GENERAL EXPENSE</v>
      </c>
      <c r="C57" s="11"/>
      <c r="D57" s="6">
        <v>-8.7899999999999991</v>
      </c>
      <c r="E57" s="2"/>
      <c r="F57" s="7">
        <f t="shared" si="24"/>
        <v>0</v>
      </c>
      <c r="G57" s="2"/>
      <c r="H57" s="6">
        <v>-361.78</v>
      </c>
      <c r="I57" s="2"/>
      <c r="J57" s="7">
        <f t="shared" si="25"/>
        <v>0</v>
      </c>
      <c r="K57" s="2"/>
      <c r="L57" s="6">
        <f t="shared" si="26"/>
        <v>352.98999999999995</v>
      </c>
      <c r="M57" s="2"/>
      <c r="N57" s="7">
        <f t="shared" si="27"/>
        <v>-0.97570346619492498</v>
      </c>
      <c r="O57" s="11"/>
      <c r="P57" s="6">
        <v>12571.35</v>
      </c>
      <c r="Q57" s="2"/>
      <c r="R57" s="7">
        <f t="shared" si="28"/>
        <v>0</v>
      </c>
      <c r="S57" s="2"/>
      <c r="T57" s="6">
        <v>9288.1200000000008</v>
      </c>
      <c r="U57" s="2"/>
      <c r="V57" s="7">
        <f t="shared" si="29"/>
        <v>0</v>
      </c>
      <c r="W57" s="2"/>
      <c r="X57" s="6">
        <f t="shared" si="30"/>
        <v>3283.2299999999996</v>
      </c>
      <c r="Y57" s="2"/>
      <c r="Z57" s="7">
        <f t="shared" si="31"/>
        <v>0.35348703505122664</v>
      </c>
    </row>
    <row r="58" spans="1:26" s="25" customFormat="1" outlineLevel="1" collapsed="1" x14ac:dyDescent="0.25">
      <c r="A58" s="27"/>
      <c r="B58" s="13" t="str">
        <f>CONCATENATE("     ","Insurance                                         ")</f>
        <v xml:space="preserve">     Insurance                                         </v>
      </c>
      <c r="C58" s="13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370.89</v>
      </c>
      <c r="I58" s="1"/>
      <c r="J58" s="5">
        <f t="shared" si="25"/>
        <v>0</v>
      </c>
      <c r="K58" s="1"/>
      <c r="L58" s="1">
        <f t="shared" si="26"/>
        <v>22.78000000000003</v>
      </c>
      <c r="M58" s="1"/>
      <c r="N58" s="5">
        <f t="shared" si="27"/>
        <v>6.1419827981342261E-2</v>
      </c>
      <c r="O58" s="13"/>
      <c r="P58" s="1">
        <f>SUM(OSRRefP22_11x_0)</f>
        <v>1968.35</v>
      </c>
      <c r="Q58" s="1"/>
      <c r="R58" s="5">
        <f t="shared" si="28"/>
        <v>0</v>
      </c>
      <c r="S58" s="1"/>
      <c r="T58" s="1">
        <f>SUM(OSRRefT22_11x_0)</f>
        <v>1854.45</v>
      </c>
      <c r="U58" s="1"/>
      <c r="V58" s="5">
        <f t="shared" si="29"/>
        <v>0</v>
      </c>
      <c r="W58" s="1"/>
      <c r="X58" s="1">
        <f t="shared" si="30"/>
        <v>113.89999999999986</v>
      </c>
      <c r="Y58" s="1"/>
      <c r="Z58" s="5">
        <f t="shared" si="31"/>
        <v>6.1419827981342101E-2</v>
      </c>
    </row>
    <row r="59" spans="1:26" s="24" customFormat="1" hidden="1" outlineLevel="2" x14ac:dyDescent="0.25">
      <c r="A59" s="26"/>
      <c r="B59" s="11" t="str">
        <f>CONCATENATE("          ", "6314", " - ", "LIABILITY INSURANCE")</f>
        <v xml:space="preserve">          6314 - LIABILITY INSURANCE</v>
      </c>
      <c r="C59" s="11"/>
      <c r="D59" s="6">
        <v>393.67</v>
      </c>
      <c r="E59" s="2"/>
      <c r="F59" s="7">
        <f t="shared" si="24"/>
        <v>0</v>
      </c>
      <c r="G59" s="2"/>
      <c r="H59" s="6">
        <v>370.89</v>
      </c>
      <c r="I59" s="2"/>
      <c r="J59" s="7">
        <f t="shared" si="25"/>
        <v>0</v>
      </c>
      <c r="K59" s="2"/>
      <c r="L59" s="6">
        <f t="shared" si="26"/>
        <v>22.78000000000003</v>
      </c>
      <c r="M59" s="2"/>
      <c r="N59" s="7">
        <f t="shared" si="27"/>
        <v>6.1419827981342261E-2</v>
      </c>
      <c r="O59" s="11"/>
      <c r="P59" s="6">
        <v>1968.35</v>
      </c>
      <c r="Q59" s="2"/>
      <c r="R59" s="7">
        <f t="shared" si="28"/>
        <v>0</v>
      </c>
      <c r="S59" s="2"/>
      <c r="T59" s="6">
        <v>1854.45</v>
      </c>
      <c r="U59" s="2"/>
      <c r="V59" s="7">
        <f t="shared" si="29"/>
        <v>0</v>
      </c>
      <c r="W59" s="2"/>
      <c r="X59" s="6">
        <f t="shared" si="30"/>
        <v>113.89999999999986</v>
      </c>
      <c r="Y59" s="2"/>
      <c r="Z59" s="7">
        <f t="shared" si="31"/>
        <v>6.1419827981342101E-2</v>
      </c>
    </row>
    <row r="60" spans="1:26" s="25" customFormat="1" outlineLevel="1" collapsed="1" x14ac:dyDescent="0.25">
      <c r="A60" s="27"/>
      <c r="B60" s="13" t="str">
        <f>CONCATENATE("     ","Professional Services                             ")</f>
        <v xml:space="preserve">     Professional Services                             </v>
      </c>
      <c r="C60" s="13"/>
      <c r="D60" s="1">
        <f>SUM(OSRRefD22_12x_0)</f>
        <v>19180.91</v>
      </c>
      <c r="E60" s="1"/>
      <c r="F60" s="5">
        <f t="shared" si="24"/>
        <v>0</v>
      </c>
      <c r="G60" s="1"/>
      <c r="H60" s="1">
        <f>SUM(OSRRefH22_12x_0)</f>
        <v>55345.04</v>
      </c>
      <c r="I60" s="1"/>
      <c r="J60" s="5">
        <f t="shared" si="25"/>
        <v>0</v>
      </c>
      <c r="K60" s="1"/>
      <c r="L60" s="1">
        <f t="shared" si="26"/>
        <v>-36164.130000000005</v>
      </c>
      <c r="M60" s="1"/>
      <c r="N60" s="5">
        <f t="shared" si="27"/>
        <v>-0.65343037063483922</v>
      </c>
      <c r="O60" s="13"/>
      <c r="P60" s="1">
        <f>SUM(OSRRefP22_12x_0)</f>
        <v>143791.83000000002</v>
      </c>
      <c r="Q60" s="1"/>
      <c r="R60" s="5">
        <f t="shared" si="28"/>
        <v>0</v>
      </c>
      <c r="S60" s="1"/>
      <c r="T60" s="1">
        <f>SUM(OSRRefT22_12x_0)</f>
        <v>120293.29</v>
      </c>
      <c r="U60" s="1"/>
      <c r="V60" s="5">
        <f t="shared" si="29"/>
        <v>0</v>
      </c>
      <c r="W60" s="1"/>
      <c r="X60" s="1">
        <f t="shared" si="30"/>
        <v>23498.540000000023</v>
      </c>
      <c r="Y60" s="1"/>
      <c r="Z60" s="5">
        <f t="shared" si="31"/>
        <v>0.19534373031114224</v>
      </c>
    </row>
    <row r="61" spans="1:26" s="24" customFormat="1" hidden="1" outlineLevel="2" x14ac:dyDescent="0.25">
      <c r="A61" s="26"/>
      <c r="B61" s="11" t="str">
        <f>CONCATENATE("          ", "6331", " - ", "INDIRECT COSTS-AUXILIARY ORGAN")</f>
        <v xml:space="preserve">          6331 - INDIRECT COSTS-AUXILIARY ORGAN</v>
      </c>
      <c r="C61" s="11"/>
      <c r="D61" s="6">
        <v>18550</v>
      </c>
      <c r="E61" s="2"/>
      <c r="F61" s="7">
        <f t="shared" si="24"/>
        <v>0</v>
      </c>
      <c r="G61" s="2"/>
      <c r="H61" s="6">
        <v>19475</v>
      </c>
      <c r="I61" s="2"/>
      <c r="J61" s="7">
        <f t="shared" si="25"/>
        <v>0</v>
      </c>
      <c r="K61" s="2"/>
      <c r="L61" s="6">
        <f t="shared" si="26"/>
        <v>-925</v>
      </c>
      <c r="M61" s="2"/>
      <c r="N61" s="7">
        <f t="shared" si="27"/>
        <v>-4.7496790757381259E-2</v>
      </c>
      <c r="O61" s="11"/>
      <c r="P61" s="6">
        <v>68749</v>
      </c>
      <c r="Q61" s="2"/>
      <c r="R61" s="7">
        <f t="shared" si="28"/>
        <v>0</v>
      </c>
      <c r="S61" s="2"/>
      <c r="T61" s="6">
        <v>62325.5</v>
      </c>
      <c r="U61" s="2"/>
      <c r="V61" s="7">
        <f t="shared" si="29"/>
        <v>0</v>
      </c>
      <c r="W61" s="2"/>
      <c r="X61" s="6">
        <f t="shared" si="30"/>
        <v>6423.5</v>
      </c>
      <c r="Y61" s="2"/>
      <c r="Z61" s="7">
        <f t="shared" si="31"/>
        <v>0.10306375400117126</v>
      </c>
    </row>
    <row r="62" spans="1:26" s="24" customFormat="1" hidden="1" outlineLevel="2" x14ac:dyDescent="0.25">
      <c r="A62" s="26"/>
      <c r="B62" s="11" t="str">
        <f>CONCATENATE("          ", "6332", " - ", "CONSULTANT FEES")</f>
        <v xml:space="preserve">          6332 - CONSULTANT FEES</v>
      </c>
      <c r="C62" s="11"/>
      <c r="D62" s="6"/>
      <c r="E62" s="2"/>
      <c r="F62" s="7">
        <f t="shared" si="24"/>
        <v>0</v>
      </c>
      <c r="G62" s="2"/>
      <c r="H62" s="6">
        <v>35000</v>
      </c>
      <c r="I62" s="2"/>
      <c r="J62" s="7">
        <f t="shared" si="25"/>
        <v>0</v>
      </c>
      <c r="K62" s="2"/>
      <c r="L62" s="6">
        <f t="shared" si="26"/>
        <v>-35000</v>
      </c>
      <c r="M62" s="2"/>
      <c r="N62" s="7">
        <f t="shared" si="27"/>
        <v>-1</v>
      </c>
      <c r="O62" s="11"/>
      <c r="P62" s="6">
        <v>15144.74</v>
      </c>
      <c r="Q62" s="2"/>
      <c r="R62" s="7">
        <f t="shared" si="28"/>
        <v>0</v>
      </c>
      <c r="S62" s="2"/>
      <c r="T62" s="6">
        <v>49450</v>
      </c>
      <c r="U62" s="2"/>
      <c r="V62" s="7">
        <f t="shared" si="29"/>
        <v>0</v>
      </c>
      <c r="W62" s="2"/>
      <c r="X62" s="6">
        <f t="shared" si="30"/>
        <v>-34305.26</v>
      </c>
      <c r="Y62" s="2"/>
      <c r="Z62" s="7">
        <f t="shared" si="31"/>
        <v>-0.69373629929221436</v>
      </c>
    </row>
    <row r="63" spans="1:26" s="24" customFormat="1" hidden="1" outlineLevel="2" x14ac:dyDescent="0.25">
      <c r="A63" s="26"/>
      <c r="B63" s="11" t="str">
        <f>CONCATENATE("          ", "6334", " - ", "LEGAL COUNCIL EXPENSE")</f>
        <v xml:space="preserve">          6334 - LEGAL COUNCIL EXPENSE</v>
      </c>
      <c r="C63" s="11"/>
      <c r="D63" s="6">
        <v>315</v>
      </c>
      <c r="E63" s="2"/>
      <c r="F63" s="7">
        <f t="shared" si="24"/>
        <v>0</v>
      </c>
      <c r="G63" s="2"/>
      <c r="H63" s="6">
        <v>407.79</v>
      </c>
      <c r="I63" s="2"/>
      <c r="J63" s="7">
        <f t="shared" si="25"/>
        <v>0</v>
      </c>
      <c r="K63" s="2"/>
      <c r="L63" s="6">
        <f t="shared" si="26"/>
        <v>-92.79000000000002</v>
      </c>
      <c r="M63" s="2"/>
      <c r="N63" s="7">
        <f t="shared" si="27"/>
        <v>-0.22754358861178553</v>
      </c>
      <c r="O63" s="11"/>
      <c r="P63" s="6">
        <v>38200</v>
      </c>
      <c r="Q63" s="2"/>
      <c r="R63" s="7">
        <f t="shared" si="28"/>
        <v>0</v>
      </c>
      <c r="S63" s="2"/>
      <c r="T63" s="6">
        <v>482.79</v>
      </c>
      <c r="U63" s="2"/>
      <c r="V63" s="7">
        <f t="shared" si="29"/>
        <v>0</v>
      </c>
      <c r="W63" s="2"/>
      <c r="X63" s="6">
        <f t="shared" si="30"/>
        <v>37717.21</v>
      </c>
      <c r="Y63" s="2"/>
      <c r="Z63" s="7">
        <f t="shared" si="31"/>
        <v>78.123428405725051</v>
      </c>
    </row>
    <row r="64" spans="1:26" s="24" customFormat="1" hidden="1" outlineLevel="2" x14ac:dyDescent="0.25">
      <c r="A64" s="26"/>
      <c r="B64" s="11" t="str">
        <f>CONCATENATE("          ", "6336", " - ", "PROFESSIONAL SERVICES")</f>
        <v xml:space="preserve">          6336 - PROFESSIONAL SERVICES</v>
      </c>
      <c r="C64" s="11"/>
      <c r="D64" s="6">
        <v>315.91000000000003</v>
      </c>
      <c r="E64" s="2"/>
      <c r="F64" s="7">
        <f t="shared" si="24"/>
        <v>0</v>
      </c>
      <c r="G64" s="2"/>
      <c r="H64" s="6">
        <v>462.25</v>
      </c>
      <c r="I64" s="2"/>
      <c r="J64" s="7">
        <f t="shared" si="25"/>
        <v>0</v>
      </c>
      <c r="K64" s="2"/>
      <c r="L64" s="6">
        <f t="shared" si="26"/>
        <v>-146.33999999999997</v>
      </c>
      <c r="M64" s="2"/>
      <c r="N64" s="7">
        <f t="shared" si="27"/>
        <v>-0.31658193618171981</v>
      </c>
      <c r="O64" s="11"/>
      <c r="P64" s="6">
        <v>21698.09</v>
      </c>
      <c r="Q64" s="2"/>
      <c r="R64" s="7">
        <f t="shared" si="28"/>
        <v>0</v>
      </c>
      <c r="S64" s="2"/>
      <c r="T64" s="6">
        <v>8035</v>
      </c>
      <c r="U64" s="2"/>
      <c r="V64" s="7">
        <f t="shared" si="29"/>
        <v>0</v>
      </c>
      <c r="W64" s="2"/>
      <c r="X64" s="6">
        <f t="shared" si="30"/>
        <v>13663.09</v>
      </c>
      <c r="Y64" s="2"/>
      <c r="Z64" s="7">
        <f t="shared" si="31"/>
        <v>1.7004467952706908</v>
      </c>
    </row>
    <row r="65" spans="1:26" s="25" customFormat="1" outlineLevel="1" collapsed="1" x14ac:dyDescent="0.25">
      <c r="A65" s="27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SUM(OSRRefD22_13x_0)</f>
        <v>27339.480000000003</v>
      </c>
      <c r="E65" s="1"/>
      <c r="F65" s="5">
        <f t="shared" ref="F65:F68" si="32">IF(D$12=0,0,D65/D$12)</f>
        <v>0</v>
      </c>
      <c r="G65" s="1"/>
      <c r="H65" s="1">
        <f>SUM(OSRRefH22_13x_0)</f>
        <v>27426.300000000003</v>
      </c>
      <c r="I65" s="1"/>
      <c r="J65" s="5">
        <f t="shared" ref="J65:J68" si="33">IF(H$12=0,0,H65/H$12)</f>
        <v>0</v>
      </c>
      <c r="K65" s="1"/>
      <c r="L65" s="1">
        <f t="shared" ref="L65:L68" si="34">+D65-H65</f>
        <v>-86.819999999999709</v>
      </c>
      <c r="M65" s="1"/>
      <c r="N65" s="5">
        <f t="shared" ref="N65:N68" si="35">IF(H65=0,0,L65/H65)</f>
        <v>-3.1655746491506217E-3</v>
      </c>
      <c r="O65" s="13"/>
      <c r="P65" s="1">
        <f>SUM(OSRRefP22_13x_0)</f>
        <v>130038.81000000001</v>
      </c>
      <c r="Q65" s="1"/>
      <c r="R65" s="5">
        <f t="shared" ref="R65:R68" si="36">IF(P$12=0,0,P65/P$12)</f>
        <v>0</v>
      </c>
      <c r="S65" s="1"/>
      <c r="T65" s="1">
        <f>SUM(OSRRefT22_13x_0)</f>
        <v>128730.85</v>
      </c>
      <c r="U65" s="1"/>
      <c r="V65" s="5">
        <f t="shared" ref="V65:V68" si="37">IF(T$12=0,0,T65/T$12)</f>
        <v>0</v>
      </c>
      <c r="W65" s="1"/>
      <c r="X65" s="1">
        <f t="shared" ref="X65:X68" si="38">+P65-T65</f>
        <v>1307.9600000000064</v>
      </c>
      <c r="Y65" s="1"/>
      <c r="Z65" s="5">
        <f t="shared" ref="Z65:Z68" si="39">IF(T65=0,0,X65/T65)</f>
        <v>1.0160423861102497E-2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6">
        <v>13365.68</v>
      </c>
      <c r="E66" s="2"/>
      <c r="F66" s="7">
        <f t="shared" si="32"/>
        <v>0</v>
      </c>
      <c r="G66" s="2"/>
      <c r="H66" s="6">
        <v>13402.95</v>
      </c>
      <c r="I66" s="2"/>
      <c r="J66" s="7">
        <f t="shared" si="33"/>
        <v>0</v>
      </c>
      <c r="K66" s="2"/>
      <c r="L66" s="6">
        <f t="shared" si="34"/>
        <v>-37.270000000000437</v>
      </c>
      <c r="M66" s="2"/>
      <c r="N66" s="7">
        <f t="shared" si="35"/>
        <v>-2.7807311077039333E-3</v>
      </c>
      <c r="O66" s="11"/>
      <c r="P66" s="6">
        <v>58268.87</v>
      </c>
      <c r="Q66" s="2"/>
      <c r="R66" s="7">
        <f t="shared" si="36"/>
        <v>0</v>
      </c>
      <c r="S66" s="2"/>
      <c r="T66" s="6">
        <v>59366.189999999995</v>
      </c>
      <c r="U66" s="2"/>
      <c r="V66" s="7">
        <f t="shared" si="37"/>
        <v>0</v>
      </c>
      <c r="W66" s="2"/>
      <c r="X66" s="6">
        <f t="shared" si="38"/>
        <v>-1097.3199999999924</v>
      </c>
      <c r="Y66" s="2"/>
      <c r="Z66" s="7">
        <f t="shared" si="39"/>
        <v>-1.8483921572194417E-2</v>
      </c>
    </row>
    <row r="67" spans="1:26" s="24" customFormat="1" hidden="1" outlineLevel="2" x14ac:dyDescent="0.25">
      <c r="A67" s="26"/>
      <c r="B67" s="11" t="str">
        <f>CONCATENATE("          ", "6373", " - ", "MAINTENANCE CONTRACTS")</f>
        <v xml:space="preserve">          6373 - MAINTENANCE CONTRACTS</v>
      </c>
      <c r="C67" s="11"/>
      <c r="D67" s="6">
        <v>13715.4</v>
      </c>
      <c r="E67" s="2"/>
      <c r="F67" s="7">
        <f t="shared" si="32"/>
        <v>0</v>
      </c>
      <c r="G67" s="2"/>
      <c r="H67" s="6">
        <v>11602.53</v>
      </c>
      <c r="I67" s="2"/>
      <c r="J67" s="7">
        <f t="shared" si="33"/>
        <v>0</v>
      </c>
      <c r="K67" s="2"/>
      <c r="L67" s="6">
        <f t="shared" si="34"/>
        <v>2112.869999999999</v>
      </c>
      <c r="M67" s="2"/>
      <c r="N67" s="7">
        <f t="shared" si="35"/>
        <v>0.1821042479528171</v>
      </c>
      <c r="O67" s="11"/>
      <c r="P67" s="6">
        <v>70221.900000000009</v>
      </c>
      <c r="Q67" s="2"/>
      <c r="R67" s="7">
        <f t="shared" si="36"/>
        <v>0</v>
      </c>
      <c r="S67" s="2"/>
      <c r="T67" s="6">
        <v>66013.279999999999</v>
      </c>
      <c r="U67" s="2"/>
      <c r="V67" s="7">
        <f t="shared" si="37"/>
        <v>0</v>
      </c>
      <c r="W67" s="2"/>
      <c r="X67" s="6">
        <f t="shared" si="38"/>
        <v>4208.6200000000099</v>
      </c>
      <c r="Y67" s="2"/>
      <c r="Z67" s="7">
        <f t="shared" si="39"/>
        <v>6.3754141590904284E-2</v>
      </c>
    </row>
    <row r="68" spans="1:26" s="24" customFormat="1" hidden="1" outlineLevel="2" x14ac:dyDescent="0.25">
      <c r="A68" s="26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258.39999999999998</v>
      </c>
      <c r="E68" s="2"/>
      <c r="F68" s="7">
        <f t="shared" si="32"/>
        <v>0</v>
      </c>
      <c r="G68" s="2"/>
      <c r="H68" s="6">
        <v>2420.8200000000002</v>
      </c>
      <c r="I68" s="2"/>
      <c r="J68" s="7">
        <f t="shared" si="33"/>
        <v>0</v>
      </c>
      <c r="K68" s="2"/>
      <c r="L68" s="6">
        <f t="shared" si="34"/>
        <v>-2162.42</v>
      </c>
      <c r="M68" s="2"/>
      <c r="N68" s="7">
        <f t="shared" si="35"/>
        <v>-0.89325930882923965</v>
      </c>
      <c r="O68" s="11"/>
      <c r="P68" s="6">
        <v>1548.04</v>
      </c>
      <c r="Q68" s="2"/>
      <c r="R68" s="7">
        <f t="shared" si="36"/>
        <v>0</v>
      </c>
      <c r="S68" s="2"/>
      <c r="T68" s="6">
        <v>3351.38</v>
      </c>
      <c r="U68" s="2"/>
      <c r="V68" s="7">
        <f t="shared" si="37"/>
        <v>0</v>
      </c>
      <c r="W68" s="2"/>
      <c r="X68" s="6">
        <f t="shared" si="38"/>
        <v>-1803.3400000000001</v>
      </c>
      <c r="Y68" s="2"/>
      <c r="Z68" s="7">
        <f t="shared" si="39"/>
        <v>-0.53808878730552789</v>
      </c>
    </row>
    <row r="69" spans="1:26" s="25" customFormat="1" outlineLevel="1" collapsed="1" x14ac:dyDescent="0.25">
      <c r="A69" s="27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SUM(OSRRefD22_14x_0)</f>
        <v>427.96</v>
      </c>
      <c r="E69" s="1"/>
      <c r="F69" s="5">
        <f t="shared" ref="F69:F71" si="40">IF(D$12=0,0,D69/D$12)</f>
        <v>0</v>
      </c>
      <c r="G69" s="1"/>
      <c r="H69" s="1">
        <f>SUM(OSRRefH22_14x_0)</f>
        <v>724.66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-296.7</v>
      </c>
      <c r="M69" s="1"/>
      <c r="N69" s="5">
        <f t="shared" ref="N69:N71" si="43">IF(H69=0,0,L69/H69)</f>
        <v>-0.4094333894516049</v>
      </c>
      <c r="O69" s="13"/>
      <c r="P69" s="1">
        <f>SUM(OSRRefP22_14x_0)</f>
        <v>7634.8099999999995</v>
      </c>
      <c r="Q69" s="1"/>
      <c r="R69" s="5">
        <f t="shared" ref="R69:R71" si="44">IF(P$12=0,0,P69/P$12)</f>
        <v>0</v>
      </c>
      <c r="S69" s="1"/>
      <c r="T69" s="1">
        <f>SUM(OSRRefT22_14x_0)</f>
        <v>2746.05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4888.7599999999993</v>
      </c>
      <c r="Y69" s="1"/>
      <c r="Z69" s="5">
        <f t="shared" ref="Z69:Z71" si="47">IF(T69=0,0,X69/T69)</f>
        <v>1.7802880501083371</v>
      </c>
    </row>
    <row r="70" spans="1:26" s="24" customFormat="1" hidden="1" outlineLevel="2" x14ac:dyDescent="0.25">
      <c r="A70" s="26"/>
      <c r="B70" s="11" t="str">
        <f>CONCATENATE("          ", "6281", " - ", "STORAGE FEE")</f>
        <v xml:space="preserve">          6281 - STORAGE FEE</v>
      </c>
      <c r="C70" s="11"/>
      <c r="D70" s="6">
        <v>427.96</v>
      </c>
      <c r="E70" s="2"/>
      <c r="F70" s="7">
        <f t="shared" si="40"/>
        <v>0</v>
      </c>
      <c r="G70" s="2"/>
      <c r="H70" s="6">
        <v>724.66</v>
      </c>
      <c r="I70" s="2"/>
      <c r="J70" s="7">
        <f t="shared" si="41"/>
        <v>0</v>
      </c>
      <c r="K70" s="2"/>
      <c r="L70" s="6">
        <f t="shared" si="42"/>
        <v>-296.7</v>
      </c>
      <c r="M70" s="2"/>
      <c r="N70" s="7">
        <f t="shared" si="43"/>
        <v>-0.4094333894516049</v>
      </c>
      <c r="O70" s="11"/>
      <c r="P70" s="6">
        <v>7595.03</v>
      </c>
      <c r="Q70" s="2"/>
      <c r="R70" s="7">
        <f t="shared" si="44"/>
        <v>0</v>
      </c>
      <c r="S70" s="2"/>
      <c r="T70" s="6">
        <v>2707.11</v>
      </c>
      <c r="U70" s="2"/>
      <c r="V70" s="7">
        <f t="shared" si="45"/>
        <v>0</v>
      </c>
      <c r="W70" s="2"/>
      <c r="X70" s="6">
        <f t="shared" si="46"/>
        <v>4887.92</v>
      </c>
      <c r="Y70" s="2"/>
      <c r="Z70" s="7">
        <f t="shared" si="47"/>
        <v>1.8055860308594773</v>
      </c>
    </row>
    <row r="71" spans="1:26" s="24" customFormat="1" hidden="1" outlineLevel="2" x14ac:dyDescent="0.25">
      <c r="A71" s="26"/>
      <c r="B71" s="11" t="str">
        <f>CONCATENATE("          ", "6286", " - ", "LAUNDRY EXPENSE")</f>
        <v xml:space="preserve">          6286 - LAUNDRY EXPENSE</v>
      </c>
      <c r="C71" s="11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1"/>
      <c r="P71" s="6">
        <v>39.78</v>
      </c>
      <c r="Q71" s="2"/>
      <c r="R71" s="7">
        <f t="shared" si="44"/>
        <v>0</v>
      </c>
      <c r="S71" s="2"/>
      <c r="T71" s="6">
        <v>38.94</v>
      </c>
      <c r="U71" s="2"/>
      <c r="V71" s="7">
        <f t="shared" si="45"/>
        <v>0</v>
      </c>
      <c r="W71" s="2"/>
      <c r="X71" s="6">
        <f t="shared" si="46"/>
        <v>0.84000000000000341</v>
      </c>
      <c r="Y71" s="2"/>
      <c r="Z71" s="7">
        <f t="shared" si="47"/>
        <v>2.1571648690292846E-2</v>
      </c>
    </row>
    <row r="72" spans="1:26" s="25" customFormat="1" outlineLevel="1" collapsed="1" x14ac:dyDescent="0.25">
      <c r="A72" s="27"/>
      <c r="B72" s="13" t="str">
        <f>CONCATENATE("     ","Subscriptions &amp; Dues                              ")</f>
        <v xml:space="preserve">     Subscriptions &amp; Dues                              </v>
      </c>
      <c r="C72" s="13"/>
      <c r="D72" s="1">
        <f>SUM(OSRRefD22_15x_0)</f>
        <v>0</v>
      </c>
      <c r="E72" s="1"/>
      <c r="F72" s="5">
        <f t="shared" ref="F72:F78" si="48">IF(D$12=0,0,D72/D$12)</f>
        <v>0</v>
      </c>
      <c r="G72" s="1"/>
      <c r="H72" s="1">
        <f>SUM(OSRRefH22_15x_0)</f>
        <v>0</v>
      </c>
      <c r="I72" s="1"/>
      <c r="J72" s="5">
        <f t="shared" ref="J72:J78" si="49">IF(H$12=0,0,H72/H$12)</f>
        <v>0</v>
      </c>
      <c r="K72" s="1"/>
      <c r="L72" s="1">
        <f t="shared" ref="L72:L78" si="50">+D72-H72</f>
        <v>0</v>
      </c>
      <c r="M72" s="1"/>
      <c r="N72" s="5">
        <f t="shared" ref="N72:N78" si="51">IF(H72=0,0,L72/H72)</f>
        <v>0</v>
      </c>
      <c r="O72" s="13"/>
      <c r="P72" s="1">
        <f>SUM(OSRRefP22_15x_0)</f>
        <v>1626</v>
      </c>
      <c r="Q72" s="1"/>
      <c r="R72" s="5">
        <f t="shared" ref="R72:R78" si="52">IF(P$12=0,0,P72/P$12)</f>
        <v>0</v>
      </c>
      <c r="S72" s="1"/>
      <c r="T72" s="1">
        <f>SUM(OSRRefT22_15x_0)</f>
        <v>1817</v>
      </c>
      <c r="U72" s="1"/>
      <c r="V72" s="5">
        <f t="shared" ref="V72:V78" si="53">IF(T$12=0,0,T72/T$12)</f>
        <v>0</v>
      </c>
      <c r="W72" s="1"/>
      <c r="X72" s="1">
        <f t="shared" ref="X72:X78" si="54">+P72-T72</f>
        <v>-191</v>
      </c>
      <c r="Y72" s="1"/>
      <c r="Z72" s="5">
        <f t="shared" ref="Z72:Z78" si="55">IF(T72=0,0,X72/T72)</f>
        <v>-0.10511832691249312</v>
      </c>
    </row>
    <row r="73" spans="1:26" s="24" customFormat="1" hidden="1" outlineLevel="2" x14ac:dyDescent="0.25">
      <c r="A73" s="26"/>
      <c r="B73" s="11" t="str">
        <f>CONCATENATE("          ", "6258", " - ", "MEMBERSHIP DUES")</f>
        <v xml:space="preserve">          6258 - MEMBERSHIP DUES</v>
      </c>
      <c r="C73" s="11"/>
      <c r="D73" s="6"/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0</v>
      </c>
      <c r="M73" s="2"/>
      <c r="N73" s="7">
        <f t="shared" si="51"/>
        <v>0</v>
      </c>
      <c r="O73" s="11"/>
      <c r="P73" s="6">
        <v>1626</v>
      </c>
      <c r="Q73" s="2"/>
      <c r="R73" s="7">
        <f t="shared" si="52"/>
        <v>0</v>
      </c>
      <c r="S73" s="2"/>
      <c r="T73" s="6">
        <v>1817</v>
      </c>
      <c r="U73" s="2"/>
      <c r="V73" s="7">
        <f t="shared" si="53"/>
        <v>0</v>
      </c>
      <c r="W73" s="2"/>
      <c r="X73" s="6">
        <f t="shared" si="54"/>
        <v>-191</v>
      </c>
      <c r="Y73" s="2"/>
      <c r="Z73" s="7">
        <f t="shared" si="55"/>
        <v>-0.10511832691249312</v>
      </c>
    </row>
    <row r="74" spans="1:26" s="25" customFormat="1" outlineLevel="1" collapsed="1" x14ac:dyDescent="0.25">
      <c r="A74" s="27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SUM(OSRRefD22_16x_0)</f>
        <v>2482.96</v>
      </c>
      <c r="E74" s="1"/>
      <c r="F74" s="5">
        <f t="shared" si="48"/>
        <v>0</v>
      </c>
      <c r="G74" s="1"/>
      <c r="H74" s="1">
        <f>SUM(OSRRefH22_16x_0)</f>
        <v>9657.64</v>
      </c>
      <c r="I74" s="1"/>
      <c r="J74" s="5">
        <f t="shared" si="49"/>
        <v>0</v>
      </c>
      <c r="K74" s="1"/>
      <c r="L74" s="1">
        <f t="shared" si="50"/>
        <v>-7174.6799999999994</v>
      </c>
      <c r="M74" s="1"/>
      <c r="N74" s="5">
        <f t="shared" si="51"/>
        <v>-0.74290199261931489</v>
      </c>
      <c r="O74" s="13"/>
      <c r="P74" s="1">
        <f>SUM(OSRRefP22_16x_0)</f>
        <v>38372.439999999995</v>
      </c>
      <c r="Q74" s="1"/>
      <c r="R74" s="5">
        <f t="shared" si="52"/>
        <v>0</v>
      </c>
      <c r="S74" s="1"/>
      <c r="T74" s="1">
        <f>SUM(OSRRefT22_16x_0)</f>
        <v>44027.75</v>
      </c>
      <c r="U74" s="1"/>
      <c r="V74" s="5">
        <f t="shared" si="53"/>
        <v>0</v>
      </c>
      <c r="W74" s="1"/>
      <c r="X74" s="1">
        <f t="shared" si="54"/>
        <v>-5655.3100000000049</v>
      </c>
      <c r="Y74" s="1"/>
      <c r="Z74" s="5">
        <f t="shared" si="55"/>
        <v>-0.12844876242824138</v>
      </c>
    </row>
    <row r="75" spans="1:26" s="24" customFormat="1" hidden="1" outlineLevel="2" x14ac:dyDescent="0.25">
      <c r="A75" s="26"/>
      <c r="B75" s="11" t="str">
        <f>CONCATENATE("          ", "6234", " - ", "EXPENDABLE SUPPLIES &amp; EQUIPMEN")</f>
        <v xml:space="preserve">          6234 - EXPENDABLE SUPPLIES &amp; EQUIPMEN</v>
      </c>
      <c r="C75" s="11"/>
      <c r="D75" s="6"/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0</v>
      </c>
      <c r="M75" s="2"/>
      <c r="N75" s="7">
        <f t="shared" si="51"/>
        <v>0</v>
      </c>
      <c r="O75" s="11"/>
      <c r="P75" s="6">
        <v>910.52</v>
      </c>
      <c r="Q75" s="2"/>
      <c r="R75" s="7">
        <f t="shared" si="52"/>
        <v>0</v>
      </c>
      <c r="S75" s="2"/>
      <c r="T75" s="6">
        <v>4924.16</v>
      </c>
      <c r="U75" s="2"/>
      <c r="V75" s="7">
        <f t="shared" si="53"/>
        <v>0</v>
      </c>
      <c r="W75" s="2"/>
      <c r="X75" s="6">
        <f t="shared" si="54"/>
        <v>-4013.64</v>
      </c>
      <c r="Y75" s="2"/>
      <c r="Z75" s="7">
        <f t="shared" si="55"/>
        <v>-0.81509130491291915</v>
      </c>
    </row>
    <row r="76" spans="1:26" s="24" customFormat="1" hidden="1" outlineLevel="2" x14ac:dyDescent="0.25">
      <c r="A76" s="26"/>
      <c r="B76" s="11" t="str">
        <f>CONCATENATE("          ", "6241", " - ", "OFFICE EXPENSE")</f>
        <v xml:space="preserve">          6241 - OFFICE EXPENSE</v>
      </c>
      <c r="C76" s="11"/>
      <c r="D76" s="6">
        <v>2351.1</v>
      </c>
      <c r="E76" s="2"/>
      <c r="F76" s="7">
        <f t="shared" si="48"/>
        <v>0</v>
      </c>
      <c r="G76" s="2"/>
      <c r="H76" s="6">
        <v>9485.59</v>
      </c>
      <c r="I76" s="2"/>
      <c r="J76" s="7">
        <f t="shared" si="49"/>
        <v>0</v>
      </c>
      <c r="K76" s="2"/>
      <c r="L76" s="6">
        <f t="shared" si="50"/>
        <v>-7134.49</v>
      </c>
      <c r="M76" s="2"/>
      <c r="N76" s="7">
        <f t="shared" si="51"/>
        <v>-0.75213982472360708</v>
      </c>
      <c r="O76" s="11"/>
      <c r="P76" s="6">
        <v>32979.03</v>
      </c>
      <c r="Q76" s="2"/>
      <c r="R76" s="7">
        <f t="shared" si="52"/>
        <v>0</v>
      </c>
      <c r="S76" s="2"/>
      <c r="T76" s="6">
        <v>35979.5</v>
      </c>
      <c r="U76" s="2"/>
      <c r="V76" s="7">
        <f t="shared" si="53"/>
        <v>0</v>
      </c>
      <c r="W76" s="2"/>
      <c r="X76" s="6">
        <f t="shared" si="54"/>
        <v>-3000.4700000000012</v>
      </c>
      <c r="Y76" s="2"/>
      <c r="Z76" s="7">
        <f t="shared" si="55"/>
        <v>-8.3393877068886485E-2</v>
      </c>
    </row>
    <row r="77" spans="1:26" s="24" customFormat="1" hidden="1" outlineLevel="2" x14ac:dyDescent="0.25">
      <c r="A77" s="26"/>
      <c r="B77" s="11" t="str">
        <f>CONCATENATE("          ", "6244", " - ", "SAFETY SUPPLY EXPENSE")</f>
        <v xml:space="preserve">          6244 - SAFETY SUPPLY EXPENSE</v>
      </c>
      <c r="C77" s="11"/>
      <c r="D77" s="6">
        <v>100</v>
      </c>
      <c r="E77" s="2"/>
      <c r="F77" s="7">
        <f t="shared" si="48"/>
        <v>0</v>
      </c>
      <c r="G77" s="2"/>
      <c r="H77" s="6">
        <v>150</v>
      </c>
      <c r="I77" s="2"/>
      <c r="J77" s="7">
        <f t="shared" si="49"/>
        <v>0</v>
      </c>
      <c r="K77" s="2"/>
      <c r="L77" s="6">
        <f t="shared" si="50"/>
        <v>-50</v>
      </c>
      <c r="M77" s="2"/>
      <c r="N77" s="7">
        <f t="shared" si="51"/>
        <v>-0.33333333333333331</v>
      </c>
      <c r="O77" s="11"/>
      <c r="P77" s="6">
        <v>1507.33</v>
      </c>
      <c r="Q77" s="2"/>
      <c r="R77" s="7">
        <f t="shared" si="52"/>
        <v>0</v>
      </c>
      <c r="S77" s="2"/>
      <c r="T77" s="6">
        <v>2228.21</v>
      </c>
      <c r="U77" s="2"/>
      <c r="V77" s="7">
        <f t="shared" si="53"/>
        <v>0</v>
      </c>
      <c r="W77" s="2"/>
      <c r="X77" s="6">
        <f t="shared" si="54"/>
        <v>-720.88000000000011</v>
      </c>
      <c r="Y77" s="2"/>
      <c r="Z77" s="7">
        <f t="shared" si="55"/>
        <v>-0.32352426387099964</v>
      </c>
    </row>
    <row r="78" spans="1:26" s="24" customFormat="1" hidden="1" outlineLevel="2" x14ac:dyDescent="0.25">
      <c r="A78" s="26"/>
      <c r="B78" s="11" t="str">
        <f>CONCATENATE("          ", "6245", " - ", "PRINTING")</f>
        <v xml:space="preserve">          6245 - PRINTING</v>
      </c>
      <c r="C78" s="11"/>
      <c r="D78" s="6">
        <v>31.86</v>
      </c>
      <c r="E78" s="2"/>
      <c r="F78" s="7">
        <f t="shared" si="48"/>
        <v>0</v>
      </c>
      <c r="G78" s="2"/>
      <c r="H78" s="6">
        <v>22.05</v>
      </c>
      <c r="I78" s="2"/>
      <c r="J78" s="7">
        <f t="shared" si="49"/>
        <v>0</v>
      </c>
      <c r="K78" s="2"/>
      <c r="L78" s="6">
        <f t="shared" si="50"/>
        <v>9.8099999999999987</v>
      </c>
      <c r="M78" s="2"/>
      <c r="N78" s="7">
        <f t="shared" si="51"/>
        <v>0.44489795918367342</v>
      </c>
      <c r="O78" s="11"/>
      <c r="P78" s="6">
        <v>2975.56</v>
      </c>
      <c r="Q78" s="2"/>
      <c r="R78" s="7">
        <f t="shared" si="52"/>
        <v>0</v>
      </c>
      <c r="S78" s="2"/>
      <c r="T78" s="6">
        <v>895.88</v>
      </c>
      <c r="U78" s="2"/>
      <c r="V78" s="7">
        <f t="shared" si="53"/>
        <v>0</v>
      </c>
      <c r="W78" s="2"/>
      <c r="X78" s="6">
        <f t="shared" si="54"/>
        <v>2079.6799999999998</v>
      </c>
      <c r="Y78" s="2"/>
      <c r="Z78" s="7">
        <f t="shared" si="55"/>
        <v>2.3213823279903556</v>
      </c>
    </row>
    <row r="79" spans="1:26" s="25" customFormat="1" outlineLevel="1" collapsed="1" x14ac:dyDescent="0.25">
      <c r="A79" s="27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SUM(OSRRefD22_17x_0)</f>
        <v>1824.27</v>
      </c>
      <c r="E79" s="1"/>
      <c r="F79" s="5">
        <f t="shared" ref="F79:F81" si="56">IF(D$12=0,0,D79/D$12)</f>
        <v>0</v>
      </c>
      <c r="G79" s="1"/>
      <c r="H79" s="1">
        <f>SUM(OSRRefH22_17x_0)</f>
        <v>3695</v>
      </c>
      <c r="I79" s="1"/>
      <c r="J79" s="5">
        <f t="shared" ref="J79:J81" si="57">IF(H$12=0,0,H79/H$12)</f>
        <v>0</v>
      </c>
      <c r="K79" s="1"/>
      <c r="L79" s="1">
        <f t="shared" ref="L79:L81" si="58">+D79-H79</f>
        <v>-1870.73</v>
      </c>
      <c r="M79" s="1"/>
      <c r="N79" s="5">
        <f t="shared" ref="N79:N81" si="59">IF(H79=0,0,L79/H79)</f>
        <v>-0.50628687415426255</v>
      </c>
      <c r="O79" s="13"/>
      <c r="P79" s="1">
        <f>SUM(OSRRefP22_17x_0)</f>
        <v>13531.07</v>
      </c>
      <c r="Q79" s="1"/>
      <c r="R79" s="5">
        <f t="shared" ref="R79:R81" si="60">IF(P$12=0,0,P79/P$12)</f>
        <v>0</v>
      </c>
      <c r="S79" s="1"/>
      <c r="T79" s="1">
        <f>SUM(OSRRefT22_17x_0)</f>
        <v>12100.810000000001</v>
      </c>
      <c r="U79" s="1"/>
      <c r="V79" s="5">
        <f t="shared" ref="V79:V81" si="61">IF(T$12=0,0,T79/T$12)</f>
        <v>0</v>
      </c>
      <c r="W79" s="1"/>
      <c r="X79" s="1">
        <f t="shared" ref="X79:X81" si="62">+P79-T79</f>
        <v>1430.2599999999984</v>
      </c>
      <c r="Y79" s="1"/>
      <c r="Z79" s="5">
        <f t="shared" ref="Z79:Z81" si="63">IF(T79=0,0,X79/T79)</f>
        <v>0.11819539353150725</v>
      </c>
    </row>
    <row r="80" spans="1:26" s="24" customFormat="1" hidden="1" outlineLevel="2" x14ac:dyDescent="0.25">
      <c r="A80" s="26"/>
      <c r="B80" s="11" t="str">
        <f>CONCATENATE("          ", "6303", " - ", "DATA PHONE LINES")</f>
        <v xml:space="preserve">          6303 - DATA PHONE LINES</v>
      </c>
      <c r="C80" s="11"/>
      <c r="D80" s="6">
        <v>141.68</v>
      </c>
      <c r="E80" s="2"/>
      <c r="F80" s="7">
        <f t="shared" si="56"/>
        <v>0</v>
      </c>
      <c r="G80" s="2"/>
      <c r="H80" s="6">
        <v>173.72</v>
      </c>
      <c r="I80" s="2"/>
      <c r="J80" s="7">
        <f t="shared" si="57"/>
        <v>0</v>
      </c>
      <c r="K80" s="2"/>
      <c r="L80" s="6">
        <f t="shared" si="58"/>
        <v>-32.039999999999992</v>
      </c>
      <c r="M80" s="2"/>
      <c r="N80" s="7">
        <f t="shared" si="59"/>
        <v>-0.18443472254202159</v>
      </c>
      <c r="O80" s="11"/>
      <c r="P80" s="6">
        <v>882.09</v>
      </c>
      <c r="Q80" s="2"/>
      <c r="R80" s="7">
        <f t="shared" si="60"/>
        <v>0</v>
      </c>
      <c r="S80" s="2"/>
      <c r="T80" s="6">
        <v>869.71</v>
      </c>
      <c r="U80" s="2"/>
      <c r="V80" s="7">
        <f t="shared" si="61"/>
        <v>0</v>
      </c>
      <c r="W80" s="2"/>
      <c r="X80" s="6">
        <f t="shared" si="62"/>
        <v>12.379999999999995</v>
      </c>
      <c r="Y80" s="2"/>
      <c r="Z80" s="7">
        <f t="shared" si="63"/>
        <v>1.4234629934115964E-2</v>
      </c>
    </row>
    <row r="81" spans="1:26" s="24" customFormat="1" hidden="1" outlineLevel="2" x14ac:dyDescent="0.25">
      <c r="A81" s="26"/>
      <c r="B81" s="11" t="str">
        <f>CONCATENATE("          ", "6309", " - ", "TELEPHONE")</f>
        <v xml:space="preserve">          6309 - TELEPHONE</v>
      </c>
      <c r="C81" s="11"/>
      <c r="D81" s="6">
        <v>1682.59</v>
      </c>
      <c r="E81" s="2"/>
      <c r="F81" s="7">
        <f t="shared" si="56"/>
        <v>0</v>
      </c>
      <c r="G81" s="2"/>
      <c r="H81" s="6">
        <v>3521.28</v>
      </c>
      <c r="I81" s="2"/>
      <c r="J81" s="7">
        <f t="shared" si="57"/>
        <v>0</v>
      </c>
      <c r="K81" s="2"/>
      <c r="L81" s="6">
        <f t="shared" si="58"/>
        <v>-1838.6900000000003</v>
      </c>
      <c r="M81" s="2"/>
      <c r="N81" s="7">
        <f t="shared" si="59"/>
        <v>-0.52216523536895676</v>
      </c>
      <c r="O81" s="11"/>
      <c r="P81" s="6">
        <v>12648.98</v>
      </c>
      <c r="Q81" s="2"/>
      <c r="R81" s="7">
        <f t="shared" si="60"/>
        <v>0</v>
      </c>
      <c r="S81" s="2"/>
      <c r="T81" s="6">
        <v>11231.1</v>
      </c>
      <c r="U81" s="2"/>
      <c r="V81" s="7">
        <f t="shared" si="61"/>
        <v>0</v>
      </c>
      <c r="W81" s="2"/>
      <c r="X81" s="6">
        <f t="shared" si="62"/>
        <v>1417.8799999999992</v>
      </c>
      <c r="Y81" s="2"/>
      <c r="Z81" s="7">
        <f t="shared" si="63"/>
        <v>0.12624587084079023</v>
      </c>
    </row>
    <row r="82" spans="1:26" s="25" customFormat="1" outlineLevel="1" collapsed="1" x14ac:dyDescent="0.25">
      <c r="A82" s="27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SUM(OSRRefD22_18x_0)</f>
        <v>1541.76</v>
      </c>
      <c r="E82" s="1"/>
      <c r="F82" s="5">
        <f t="shared" ref="F82:F86" si="64">IF(D$12=0,0,D82/D$12)</f>
        <v>0</v>
      </c>
      <c r="G82" s="1"/>
      <c r="H82" s="1">
        <f>SUM(OSRRefH22_18x_0)</f>
        <v>119.84</v>
      </c>
      <c r="I82" s="1"/>
      <c r="J82" s="5">
        <f t="shared" ref="J82:J86" si="65">IF(H$12=0,0,H82/H$12)</f>
        <v>0</v>
      </c>
      <c r="K82" s="1"/>
      <c r="L82" s="1">
        <f t="shared" ref="L82:L86" si="66">+D82-H82</f>
        <v>1421.92</v>
      </c>
      <c r="M82" s="1"/>
      <c r="N82" s="5">
        <f t="shared" ref="N82:N86" si="67">IF(H82=0,0,L82/H82)</f>
        <v>11.865153538050734</v>
      </c>
      <c r="O82" s="13"/>
      <c r="P82" s="1">
        <f>SUM(OSRRefP22_18x_0)</f>
        <v>9090.49</v>
      </c>
      <c r="Q82" s="1"/>
      <c r="R82" s="5">
        <f t="shared" ref="R82:R86" si="68">IF(P$12=0,0,P82/P$12)</f>
        <v>0</v>
      </c>
      <c r="S82" s="1"/>
      <c r="T82" s="1">
        <f>SUM(OSRRefT22_18x_0)</f>
        <v>19513.099999999999</v>
      </c>
      <c r="U82" s="1"/>
      <c r="V82" s="5">
        <f t="shared" ref="V82:V86" si="69">IF(T$12=0,0,T82/T$12)</f>
        <v>0</v>
      </c>
      <c r="W82" s="1"/>
      <c r="X82" s="1">
        <f t="shared" ref="X82:X86" si="70">+P82-T82</f>
        <v>-10422.609999999999</v>
      </c>
      <c r="Y82" s="1"/>
      <c r="Z82" s="5">
        <f t="shared" ref="Z82:Z86" si="71">IF(T82=0,0,X82/T82)</f>
        <v>-0.53413399203611933</v>
      </c>
    </row>
    <row r="83" spans="1:26" s="24" customFormat="1" hidden="1" outlineLevel="2" x14ac:dyDescent="0.25">
      <c r="A83" s="26"/>
      <c r="B83" s="11" t="str">
        <f>CONCATENATE("          ", "6376", " - ", "TRAINING")</f>
        <v xml:space="preserve">          6376 - TRAINING</v>
      </c>
      <c r="C83" s="11"/>
      <c r="D83" s="6">
        <v>1541.76</v>
      </c>
      <c r="E83" s="2"/>
      <c r="F83" s="7">
        <f t="shared" si="64"/>
        <v>0</v>
      </c>
      <c r="G83" s="2"/>
      <c r="H83" s="6">
        <v>119.84</v>
      </c>
      <c r="I83" s="2"/>
      <c r="J83" s="7">
        <f t="shared" si="65"/>
        <v>0</v>
      </c>
      <c r="K83" s="2"/>
      <c r="L83" s="6">
        <f t="shared" si="66"/>
        <v>1421.92</v>
      </c>
      <c r="M83" s="2"/>
      <c r="N83" s="7">
        <f t="shared" si="67"/>
        <v>11.865153538050734</v>
      </c>
      <c r="O83" s="11"/>
      <c r="P83" s="6">
        <v>9090.49</v>
      </c>
      <c r="Q83" s="2"/>
      <c r="R83" s="7">
        <f t="shared" si="68"/>
        <v>0</v>
      </c>
      <c r="S83" s="2"/>
      <c r="T83" s="6">
        <v>19513.099999999999</v>
      </c>
      <c r="U83" s="2"/>
      <c r="V83" s="7">
        <f t="shared" si="69"/>
        <v>0</v>
      </c>
      <c r="W83" s="2"/>
      <c r="X83" s="6">
        <f t="shared" si="70"/>
        <v>-10422.609999999999</v>
      </c>
      <c r="Y83" s="2"/>
      <c r="Z83" s="7">
        <f t="shared" si="71"/>
        <v>-0.53413399203611933</v>
      </c>
    </row>
    <row r="84" spans="1:26" s="25" customFormat="1" outlineLevel="1" collapsed="1" x14ac:dyDescent="0.25">
      <c r="A84" s="27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SUM(OSRRefD22_19x_0)</f>
        <v>3233.37</v>
      </c>
      <c r="E84" s="1"/>
      <c r="F84" s="5">
        <f t="shared" si="64"/>
        <v>0</v>
      </c>
      <c r="G84" s="1"/>
      <c r="H84" s="1">
        <f>SUM(OSRRefH22_19x_0)</f>
        <v>1749.04</v>
      </c>
      <c r="I84" s="1"/>
      <c r="J84" s="5">
        <f t="shared" si="65"/>
        <v>0</v>
      </c>
      <c r="K84" s="1"/>
      <c r="L84" s="1">
        <f t="shared" si="66"/>
        <v>1484.33</v>
      </c>
      <c r="M84" s="1"/>
      <c r="N84" s="5">
        <f t="shared" si="67"/>
        <v>0.84865411883090147</v>
      </c>
      <c r="O84" s="13"/>
      <c r="P84" s="1">
        <f>SUM(OSRRefP22_19x_0)</f>
        <v>8860.75</v>
      </c>
      <c r="Q84" s="1"/>
      <c r="R84" s="5">
        <f t="shared" si="68"/>
        <v>0</v>
      </c>
      <c r="S84" s="1"/>
      <c r="T84" s="1">
        <f>SUM(OSRRefT22_19x_0)</f>
        <v>12815.460000000001</v>
      </c>
      <c r="U84" s="1"/>
      <c r="V84" s="5">
        <f t="shared" si="69"/>
        <v>0</v>
      </c>
      <c r="W84" s="1"/>
      <c r="X84" s="1">
        <f t="shared" si="70"/>
        <v>-3954.7100000000009</v>
      </c>
      <c r="Y84" s="1"/>
      <c r="Z84" s="5">
        <f t="shared" si="71"/>
        <v>-0.30858900109711246</v>
      </c>
    </row>
    <row r="85" spans="1:26" s="24" customFormat="1" hidden="1" outlineLevel="2" x14ac:dyDescent="0.25">
      <c r="A85" s="26"/>
      <c r="B85" s="11" t="str">
        <f>CONCATENATE("          ", "6292", " - ", "TRAVEL/CONFERENCE")</f>
        <v xml:space="preserve">          6292 - TRAVEL/CONFERENCE</v>
      </c>
      <c r="C85" s="11"/>
      <c r="D85" s="6">
        <v>3233.37</v>
      </c>
      <c r="E85" s="2"/>
      <c r="F85" s="7">
        <f t="shared" si="64"/>
        <v>0</v>
      </c>
      <c r="G85" s="2"/>
      <c r="H85" s="6">
        <v>1749.04</v>
      </c>
      <c r="I85" s="2"/>
      <c r="J85" s="7">
        <f t="shared" si="65"/>
        <v>0</v>
      </c>
      <c r="K85" s="2"/>
      <c r="L85" s="6">
        <f t="shared" si="66"/>
        <v>1484.33</v>
      </c>
      <c r="M85" s="2"/>
      <c r="N85" s="7">
        <f t="shared" si="67"/>
        <v>0.84865411883090147</v>
      </c>
      <c r="O85" s="11"/>
      <c r="P85" s="6">
        <v>8836.85</v>
      </c>
      <c r="Q85" s="2"/>
      <c r="R85" s="7">
        <f t="shared" si="68"/>
        <v>0</v>
      </c>
      <c r="S85" s="2"/>
      <c r="T85" s="6">
        <v>11441.03</v>
      </c>
      <c r="U85" s="2"/>
      <c r="V85" s="7">
        <f t="shared" si="69"/>
        <v>0</v>
      </c>
      <c r="W85" s="2"/>
      <c r="X85" s="6">
        <f t="shared" si="70"/>
        <v>-2604.1800000000003</v>
      </c>
      <c r="Y85" s="2"/>
      <c r="Z85" s="7">
        <f t="shared" si="71"/>
        <v>-0.22761761834380298</v>
      </c>
    </row>
    <row r="86" spans="1:26" s="24" customFormat="1" hidden="1" outlineLevel="2" x14ac:dyDescent="0.25">
      <c r="A86" s="26"/>
      <c r="B86" s="11" t="str">
        <f>CONCATENATE("          ", "6294", " - ", "TRAVEL OPERATIONAL")</f>
        <v xml:space="preserve">          6294 - TRAVEL OPERATIONAL</v>
      </c>
      <c r="C86" s="11"/>
      <c r="D86" s="6"/>
      <c r="E86" s="2"/>
      <c r="F86" s="7">
        <f t="shared" si="64"/>
        <v>0</v>
      </c>
      <c r="G86" s="2"/>
      <c r="H86" s="6"/>
      <c r="I86" s="2"/>
      <c r="J86" s="7">
        <f t="shared" si="65"/>
        <v>0</v>
      </c>
      <c r="K86" s="2"/>
      <c r="L86" s="6">
        <f t="shared" si="66"/>
        <v>0</v>
      </c>
      <c r="M86" s="2"/>
      <c r="N86" s="7">
        <f t="shared" si="67"/>
        <v>0</v>
      </c>
      <c r="O86" s="11"/>
      <c r="P86" s="6">
        <v>23.9</v>
      </c>
      <c r="Q86" s="2"/>
      <c r="R86" s="7">
        <f t="shared" si="68"/>
        <v>0</v>
      </c>
      <c r="S86" s="2"/>
      <c r="T86" s="6">
        <v>1374.43</v>
      </c>
      <c r="U86" s="2"/>
      <c r="V86" s="7">
        <f t="shared" si="69"/>
        <v>0</v>
      </c>
      <c r="W86" s="2"/>
      <c r="X86" s="6">
        <f t="shared" si="70"/>
        <v>-1350.53</v>
      </c>
      <c r="Y86" s="2"/>
      <c r="Z86" s="7">
        <f t="shared" si="71"/>
        <v>-0.9826109732761944</v>
      </c>
    </row>
    <row r="87" spans="1:26" s="53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8" t="s">
        <v>0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9" t="s">
        <v>3</v>
      </c>
      <c r="C90" s="29"/>
      <c r="D90" s="21">
        <f>+D16-D18+D88</f>
        <v>-349632.63</v>
      </c>
      <c r="E90" s="14"/>
      <c r="F90" s="20">
        <f>IF(D$12=0,0,D90/D$12)</f>
        <v>0</v>
      </c>
      <c r="G90" s="14"/>
      <c r="H90" s="21">
        <f>+H16-H18+H88</f>
        <v>-415556.13</v>
      </c>
      <c r="I90" s="14"/>
      <c r="J90" s="20">
        <f>IF(H$12=0,0,H90/H$12)</f>
        <v>0</v>
      </c>
      <c r="K90" s="15"/>
      <c r="L90" s="21">
        <f>+D90-H90</f>
        <v>65923.5</v>
      </c>
      <c r="M90" s="15"/>
      <c r="N90" s="20">
        <f>IF(H90=0,0,L90/H90)</f>
        <v>-0.15863921920728255</v>
      </c>
      <c r="O90" s="28"/>
      <c r="P90" s="21">
        <f>+P16-P18+P88</f>
        <v>-1704289.1400000006</v>
      </c>
      <c r="Q90" s="14"/>
      <c r="R90" s="20">
        <f>IF(P$12=0,0,P90/P$12)</f>
        <v>0</v>
      </c>
      <c r="S90" s="14"/>
      <c r="T90" s="21">
        <f>+T16-T18+T88</f>
        <v>-1676833.5899999999</v>
      </c>
      <c r="U90" s="14"/>
      <c r="V90" s="20">
        <f>IF(T$12=0,0,T90/T$12)</f>
        <v>0</v>
      </c>
      <c r="W90" s="15"/>
      <c r="X90" s="21">
        <f>+P90-T90</f>
        <v>-27455.550000000745</v>
      </c>
      <c r="Y90" s="15"/>
      <c r="Z90" s="20">
        <f>IF(T90=0,0,X90/T90)</f>
        <v>1.6373449436923999E-2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1"/>
      <c r="B92" s="10" t="s">
        <v>13</v>
      </c>
      <c r="C92" s="10"/>
      <c r="D92" s="4"/>
      <c r="E92" s="4"/>
      <c r="F92" s="12">
        <f>IF(D$12=0,0,D92/D$12)</f>
        <v>0</v>
      </c>
      <c r="G92" s="4"/>
      <c r="H92" s="4"/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/>
      <c r="Q92" s="4"/>
      <c r="R92" s="12">
        <f>IF(P$12=0,0,P92/P$12)</f>
        <v>0</v>
      </c>
      <c r="S92" s="4"/>
      <c r="T92" s="4"/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4</v>
      </c>
      <c r="C94" s="29"/>
      <c r="D94" s="31">
        <f>+D90-D92</f>
        <v>-349632.63</v>
      </c>
      <c r="E94" s="14"/>
      <c r="F94" s="32">
        <f>IF(D$12=0,0,D94/D$12)</f>
        <v>0</v>
      </c>
      <c r="G94" s="14"/>
      <c r="H94" s="31">
        <f>+H90-H92</f>
        <v>-415556.13</v>
      </c>
      <c r="I94" s="14"/>
      <c r="J94" s="32">
        <f>IF(H$12=0,0,H94/H$12)</f>
        <v>0</v>
      </c>
      <c r="K94" s="15"/>
      <c r="L94" s="31">
        <f>D94-H94</f>
        <v>65923.5</v>
      </c>
      <c r="M94" s="15"/>
      <c r="N94" s="32">
        <f>IF(H94=0,0,L94/H94)</f>
        <v>-0.15863921920728255</v>
      </c>
      <c r="O94" s="28"/>
      <c r="P94" s="31">
        <f>+P90-P92</f>
        <v>-1704289.1400000006</v>
      </c>
      <c r="Q94" s="14"/>
      <c r="R94" s="32">
        <f>IF(P$12=0,0,P94/P$12)</f>
        <v>0</v>
      </c>
      <c r="S94" s="14"/>
      <c r="T94" s="31">
        <f>+T90-T92</f>
        <v>-1676833.5899999999</v>
      </c>
      <c r="U94" s="14"/>
      <c r="V94" s="32">
        <f>IF(T$12=0,0,T94/T$12)</f>
        <v>0</v>
      </c>
      <c r="W94" s="15"/>
      <c r="X94" s="31">
        <f>P94-T94</f>
        <v>-27455.550000000745</v>
      </c>
      <c r="Y94" s="15"/>
      <c r="Z94" s="32">
        <f>IF(T94=0,0,X94/T94)</f>
        <v>1.6373449436923999E-2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5</v>
      </c>
      <c r="C97" s="29"/>
      <c r="D97" s="34">
        <f>SUM(D94:D96)</f>
        <v>-349632.63</v>
      </c>
      <c r="E97" s="14"/>
      <c r="F97" s="30">
        <f>IF(D$12=0,0,D97/D$12)</f>
        <v>0</v>
      </c>
      <c r="G97" s="14"/>
      <c r="H97" s="34">
        <f>SUM(H94:H96)</f>
        <v>-415556.13</v>
      </c>
      <c r="I97" s="14"/>
      <c r="J97" s="30">
        <f>IF(H$12=0,0,H97/H$12)</f>
        <v>0</v>
      </c>
      <c r="K97" s="15"/>
      <c r="L97" s="34">
        <f>+D97-H97</f>
        <v>65923.5</v>
      </c>
      <c r="M97" s="15"/>
      <c r="N97" s="30">
        <f>IF(H97=0,0,L97/H97)</f>
        <v>-0.15863921920728255</v>
      </c>
      <c r="O97" s="28"/>
      <c r="P97" s="34">
        <f>SUM(P94:P96)</f>
        <v>-1704289.1400000006</v>
      </c>
      <c r="Q97" s="14"/>
      <c r="R97" s="30">
        <f>IF(P$12=0,0,P97/P$12)</f>
        <v>0</v>
      </c>
      <c r="S97" s="14"/>
      <c r="T97" s="34">
        <f>SUM(T94:T96)</f>
        <v>-1676833.5899999999</v>
      </c>
      <c r="U97" s="14"/>
      <c r="V97" s="30">
        <f>IF(T$12=0,0,T97/T$12)</f>
        <v>0</v>
      </c>
      <c r="W97" s="15"/>
      <c r="X97" s="34">
        <f>+P97-T97</f>
        <v>-27455.550000000745</v>
      </c>
      <c r="Y97" s="15"/>
      <c r="Z97" s="30">
        <f>IF(T97=0,0,X97/T97)</f>
        <v>1.6373449436923999E-2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25">
      <c r="A99" s="9"/>
      <c r="B99" s="59">
        <v>43815.491164120373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62" t="s">
        <v>313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61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","200", " - ", "Corporate Expense")</f>
        <v>Department 200 - Corporate Expense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130672.54000000001</v>
      </c>
      <c r="E18" s="22"/>
      <c r="F18" s="33">
        <f t="shared" ref="F18:F29" si="0">IF(D$12=0,0,D18/D$12)</f>
        <v>0</v>
      </c>
      <c r="G18" s="22"/>
      <c r="H18" s="22">
        <f>SUM(OSRRefH22x_0)</f>
        <v>160086.82</v>
      </c>
      <c r="I18" s="22"/>
      <c r="J18" s="33">
        <f t="shared" ref="J18:J29" si="1">IF(H$12=0,0,H18/H$12)</f>
        <v>0</v>
      </c>
      <c r="K18" s="4"/>
      <c r="L18" s="22">
        <f t="shared" ref="L18:L29" si="2">+D18-H18</f>
        <v>-29414.28</v>
      </c>
      <c r="M18" s="4"/>
      <c r="N18" s="33">
        <f t="shared" ref="N18:N29" si="3">IF(H18=0,0,L18/H18)</f>
        <v>-0.18373954832758874</v>
      </c>
      <c r="O18" s="10"/>
      <c r="P18" s="22">
        <f>SUM(OSRRefP22x_0)</f>
        <v>319112.19</v>
      </c>
      <c r="Q18" s="22"/>
      <c r="R18" s="33">
        <f t="shared" ref="R18:R29" si="4">IF(P$12=0,0,P18/P$12)</f>
        <v>0</v>
      </c>
      <c r="S18" s="22"/>
      <c r="T18" s="22">
        <f>SUM(OSRRefT22x_0)</f>
        <v>353915.67000000004</v>
      </c>
      <c r="U18" s="22"/>
      <c r="V18" s="33">
        <f t="shared" ref="V18:V29" si="5">IF(T$12=0,0,T18/T$12)</f>
        <v>0</v>
      </c>
      <c r="W18" s="4"/>
      <c r="X18" s="22">
        <f t="shared" ref="X18:X29" si="6">+P18-T18</f>
        <v>-34803.48000000004</v>
      </c>
      <c r="Y18" s="4"/>
      <c r="Z18" s="33">
        <f t="shared" ref="Z18:Z29" si="7">IF(T18=0,0,X18/T18)</f>
        <v>-9.8338341447271993E-2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29023.1</v>
      </c>
      <c r="E19" s="1"/>
      <c r="F19" s="5">
        <f t="shared" si="0"/>
        <v>0</v>
      </c>
      <c r="G19" s="1"/>
      <c r="H19" s="1">
        <f>SUM(OSRRefH22_0x_0)</f>
        <v>22579.84</v>
      </c>
      <c r="I19" s="1"/>
      <c r="J19" s="5">
        <f t="shared" si="1"/>
        <v>0</v>
      </c>
      <c r="K19" s="1"/>
      <c r="L19" s="1">
        <f t="shared" si="2"/>
        <v>6443.2599999999984</v>
      </c>
      <c r="M19" s="1"/>
      <c r="N19" s="5">
        <f t="shared" si="3"/>
        <v>0.28535454635639573</v>
      </c>
      <c r="O19" s="13"/>
      <c r="P19" s="1">
        <f>SUM(OSRRefP22_0x_0)</f>
        <v>146429.12</v>
      </c>
      <c r="Q19" s="1"/>
      <c r="R19" s="5">
        <f t="shared" si="4"/>
        <v>0</v>
      </c>
      <c r="S19" s="1"/>
      <c r="T19" s="1">
        <f>SUM(OSRRefT22_0x_0)</f>
        <v>166039.85</v>
      </c>
      <c r="U19" s="1"/>
      <c r="V19" s="5">
        <f t="shared" si="5"/>
        <v>0</v>
      </c>
      <c r="W19" s="1"/>
      <c r="X19" s="1">
        <f t="shared" si="6"/>
        <v>-19610.73000000001</v>
      </c>
      <c r="Y19" s="1"/>
      <c r="Z19" s="5">
        <f t="shared" si="7"/>
        <v>-0.11810857453797995</v>
      </c>
    </row>
    <row r="20" spans="1:26" s="24" customFormat="1" hidden="1" outlineLevel="2" x14ac:dyDescent="0.25">
      <c r="A20" s="26"/>
      <c r="B20" s="11" t="str">
        <f>CONCATENATE("          ", "6120", " - ", "RETIREES HEALTH INSURANCE")</f>
        <v xml:space="preserve">          6120 - RETIREES HEALTH INSURANCE</v>
      </c>
      <c r="C20" s="11"/>
      <c r="D20" s="6">
        <v>29023.1</v>
      </c>
      <c r="E20" s="2"/>
      <c r="F20" s="7">
        <f t="shared" si="0"/>
        <v>0</v>
      </c>
      <c r="G20" s="2"/>
      <c r="H20" s="6">
        <v>22579.84</v>
      </c>
      <c r="I20" s="2"/>
      <c r="J20" s="7">
        <f t="shared" si="1"/>
        <v>0</v>
      </c>
      <c r="K20" s="2"/>
      <c r="L20" s="6">
        <f t="shared" si="2"/>
        <v>6443.2599999999984</v>
      </c>
      <c r="M20" s="2"/>
      <c r="N20" s="7">
        <f t="shared" si="3"/>
        <v>0.28535454635639573</v>
      </c>
      <c r="O20" s="11"/>
      <c r="P20" s="6">
        <v>146429.12</v>
      </c>
      <c r="Q20" s="2"/>
      <c r="R20" s="7">
        <f t="shared" si="4"/>
        <v>0</v>
      </c>
      <c r="S20" s="2"/>
      <c r="T20" s="6">
        <v>166039.85</v>
      </c>
      <c r="U20" s="2"/>
      <c r="V20" s="7">
        <f t="shared" si="5"/>
        <v>0</v>
      </c>
      <c r="W20" s="2"/>
      <c r="X20" s="6">
        <f t="shared" si="6"/>
        <v>-19610.73000000001</v>
      </c>
      <c r="Y20" s="2"/>
      <c r="Z20" s="7">
        <f t="shared" si="7"/>
        <v>-0.11810857453797995</v>
      </c>
    </row>
    <row r="21" spans="1:26" s="25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1830.56</v>
      </c>
      <c r="E21" s="1"/>
      <c r="F21" s="5">
        <f t="shared" si="0"/>
        <v>0</v>
      </c>
      <c r="G21" s="1"/>
      <c r="H21" s="1">
        <f>SUM(OSRRefH22_1x_0)</f>
        <v>1158.73</v>
      </c>
      <c r="I21" s="1"/>
      <c r="J21" s="5">
        <f t="shared" si="1"/>
        <v>0</v>
      </c>
      <c r="K21" s="1"/>
      <c r="L21" s="1">
        <f t="shared" si="2"/>
        <v>671.82999999999993</v>
      </c>
      <c r="M21" s="1"/>
      <c r="N21" s="5">
        <f t="shared" si="3"/>
        <v>0.57979857257514689</v>
      </c>
      <c r="O21" s="13"/>
      <c r="P21" s="1">
        <f>SUM(OSRRefP22_1x_0)</f>
        <v>22756.720000000001</v>
      </c>
      <c r="Q21" s="1"/>
      <c r="R21" s="5">
        <f t="shared" si="4"/>
        <v>0</v>
      </c>
      <c r="S21" s="1"/>
      <c r="T21" s="1">
        <f>SUM(OSRRefT22_1x_0)</f>
        <v>17562.190000000002</v>
      </c>
      <c r="U21" s="1"/>
      <c r="V21" s="5">
        <f t="shared" si="5"/>
        <v>0</v>
      </c>
      <c r="W21" s="1"/>
      <c r="X21" s="1">
        <f t="shared" si="6"/>
        <v>5194.5299999999988</v>
      </c>
      <c r="Y21" s="1"/>
      <c r="Z21" s="5">
        <f t="shared" si="7"/>
        <v>0.29577917104871304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6">
        <v>1830.56</v>
      </c>
      <c r="E22" s="2"/>
      <c r="F22" s="7">
        <f t="shared" si="0"/>
        <v>0</v>
      </c>
      <c r="G22" s="2"/>
      <c r="H22" s="6">
        <v>1158.73</v>
      </c>
      <c r="I22" s="2"/>
      <c r="J22" s="7">
        <f t="shared" si="1"/>
        <v>0</v>
      </c>
      <c r="K22" s="2"/>
      <c r="L22" s="6">
        <f t="shared" si="2"/>
        <v>671.82999999999993</v>
      </c>
      <c r="M22" s="2"/>
      <c r="N22" s="7">
        <f t="shared" si="3"/>
        <v>0.57979857257514689</v>
      </c>
      <c r="O22" s="11"/>
      <c r="P22" s="6">
        <v>22756.720000000001</v>
      </c>
      <c r="Q22" s="2"/>
      <c r="R22" s="7">
        <f t="shared" si="4"/>
        <v>0</v>
      </c>
      <c r="S22" s="2"/>
      <c r="T22" s="6">
        <v>17562.190000000002</v>
      </c>
      <c r="U22" s="2"/>
      <c r="V22" s="7">
        <f t="shared" si="5"/>
        <v>0</v>
      </c>
      <c r="W22" s="2"/>
      <c r="X22" s="6">
        <f t="shared" si="6"/>
        <v>5194.5299999999988</v>
      </c>
      <c r="Y22" s="2"/>
      <c r="Z22" s="7">
        <f t="shared" si="7"/>
        <v>0.29577917104871304</v>
      </c>
    </row>
    <row r="23" spans="1:26" s="25" customFormat="1" outlineLevel="1" collapsed="1" x14ac:dyDescent="0.25">
      <c r="A23" s="27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2318.88</v>
      </c>
      <c r="E23" s="1"/>
      <c r="F23" s="5">
        <f t="shared" si="0"/>
        <v>0</v>
      </c>
      <c r="G23" s="1"/>
      <c r="H23" s="1">
        <f>SUM(OSRRefH22_2x_0)</f>
        <v>3623.25</v>
      </c>
      <c r="I23" s="1"/>
      <c r="J23" s="5">
        <f t="shared" si="1"/>
        <v>0</v>
      </c>
      <c r="K23" s="1"/>
      <c r="L23" s="1">
        <f t="shared" si="2"/>
        <v>-1304.3699999999999</v>
      </c>
      <c r="M23" s="1"/>
      <c r="N23" s="5">
        <f t="shared" si="3"/>
        <v>-0.36</v>
      </c>
      <c r="O23" s="13"/>
      <c r="P23" s="1">
        <f>SUM(OSRRefP22_2x_0)</f>
        <v>14165.11</v>
      </c>
      <c r="Q23" s="1"/>
      <c r="R23" s="5">
        <f t="shared" si="4"/>
        <v>0</v>
      </c>
      <c r="S23" s="1"/>
      <c r="T23" s="1">
        <f>SUM(OSRRefT22_2x_0)</f>
        <v>14738.13</v>
      </c>
      <c r="U23" s="1"/>
      <c r="V23" s="5">
        <f t="shared" si="5"/>
        <v>0</v>
      </c>
      <c r="W23" s="1"/>
      <c r="X23" s="1">
        <f t="shared" si="6"/>
        <v>-573.01999999999862</v>
      </c>
      <c r="Y23" s="1"/>
      <c r="Z23" s="5">
        <f t="shared" si="7"/>
        <v>-3.8880102156786424E-2</v>
      </c>
    </row>
    <row r="24" spans="1:26" s="24" customFormat="1" hidden="1" outlineLevel="2" x14ac:dyDescent="0.25">
      <c r="A24" s="26"/>
      <c r="B24" s="11" t="str">
        <f>CONCATENATE("          ", "6397", " - ", "BOARD EXPENSES")</f>
        <v xml:space="preserve">          6397 - BOARD EXPENSES</v>
      </c>
      <c r="C24" s="11"/>
      <c r="D24" s="6">
        <v>2318.88</v>
      </c>
      <c r="E24" s="2"/>
      <c r="F24" s="7">
        <f t="shared" si="0"/>
        <v>0</v>
      </c>
      <c r="G24" s="2"/>
      <c r="H24" s="6">
        <v>3623.25</v>
      </c>
      <c r="I24" s="2"/>
      <c r="J24" s="7">
        <f t="shared" si="1"/>
        <v>0</v>
      </c>
      <c r="K24" s="2"/>
      <c r="L24" s="6">
        <f t="shared" si="2"/>
        <v>-1304.3699999999999</v>
      </c>
      <c r="M24" s="2"/>
      <c r="N24" s="7">
        <f t="shared" si="3"/>
        <v>-0.36</v>
      </c>
      <c r="O24" s="11"/>
      <c r="P24" s="6">
        <v>14165.11</v>
      </c>
      <c r="Q24" s="2"/>
      <c r="R24" s="7">
        <f t="shared" si="4"/>
        <v>0</v>
      </c>
      <c r="S24" s="2"/>
      <c r="T24" s="6">
        <v>14738.13</v>
      </c>
      <c r="U24" s="2"/>
      <c r="V24" s="7">
        <f t="shared" si="5"/>
        <v>0</v>
      </c>
      <c r="W24" s="2"/>
      <c r="X24" s="6">
        <f t="shared" si="6"/>
        <v>-573.01999999999862</v>
      </c>
      <c r="Y24" s="2"/>
      <c r="Z24" s="7">
        <f t="shared" si="7"/>
        <v>-3.8880102156786424E-2</v>
      </c>
    </row>
    <row r="25" spans="1:26" s="25" customFormat="1" outlineLevel="1" collapsed="1" x14ac:dyDescent="0.25">
      <c r="A25" s="27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97500</v>
      </c>
      <c r="E25" s="1"/>
      <c r="F25" s="5">
        <f t="shared" si="0"/>
        <v>0</v>
      </c>
      <c r="G25" s="1"/>
      <c r="H25" s="1">
        <f>SUM(OSRRefH22_3x_0)</f>
        <v>97500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97500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0</v>
      </c>
      <c r="Y25" s="1"/>
      <c r="Z25" s="5">
        <f t="shared" si="7"/>
        <v>0</v>
      </c>
    </row>
    <row r="26" spans="1:26" s="24" customFormat="1" hidden="1" outlineLevel="2" x14ac:dyDescent="0.25">
      <c r="A26" s="26"/>
      <c r="B26" s="11" t="str">
        <f>CONCATENATE("          ", "6399", " - ", "DONATION-ON CAMPUS")</f>
        <v xml:space="preserve">          6399 - DONATION-ON CAMPUS</v>
      </c>
      <c r="C26" s="11"/>
      <c r="D26" s="6">
        <v>97500</v>
      </c>
      <c r="E26" s="2"/>
      <c r="F26" s="7">
        <f t="shared" si="0"/>
        <v>0</v>
      </c>
      <c r="G26" s="2"/>
      <c r="H26" s="6">
        <v>97500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97500</v>
      </c>
      <c r="Q26" s="2"/>
      <c r="R26" s="7">
        <f t="shared" si="4"/>
        <v>0</v>
      </c>
      <c r="S26" s="2"/>
      <c r="T26" s="6">
        <v>97500</v>
      </c>
      <c r="U26" s="2"/>
      <c r="V26" s="7">
        <f t="shared" si="5"/>
        <v>0</v>
      </c>
      <c r="W26" s="2"/>
      <c r="X26" s="6">
        <f t="shared" si="6"/>
        <v>0</v>
      </c>
      <c r="Y26" s="2"/>
      <c r="Z26" s="7">
        <f t="shared" si="7"/>
        <v>0</v>
      </c>
    </row>
    <row r="27" spans="1:26" s="25" customFormat="1" outlineLevel="1" collapsed="1" x14ac:dyDescent="0.25">
      <c r="A27" s="27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35225</v>
      </c>
      <c r="I27" s="1"/>
      <c r="J27" s="5">
        <f t="shared" si="1"/>
        <v>0</v>
      </c>
      <c r="K27" s="1"/>
      <c r="L27" s="1">
        <f t="shared" si="2"/>
        <v>-35225</v>
      </c>
      <c r="M27" s="1"/>
      <c r="N27" s="5">
        <f t="shared" si="3"/>
        <v>-1</v>
      </c>
      <c r="O27" s="13"/>
      <c r="P27" s="1">
        <f>SUM(OSRRefP22_4x_0)</f>
        <v>38261.24</v>
      </c>
      <c r="Q27" s="1"/>
      <c r="R27" s="5">
        <f t="shared" si="4"/>
        <v>0</v>
      </c>
      <c r="S27" s="1"/>
      <c r="T27" s="1">
        <f>SUM(OSRRefT22_4x_0)</f>
        <v>58075.5</v>
      </c>
      <c r="U27" s="1"/>
      <c r="V27" s="5">
        <f t="shared" si="5"/>
        <v>0</v>
      </c>
      <c r="W27" s="1"/>
      <c r="X27" s="1">
        <f t="shared" si="6"/>
        <v>-19814.260000000002</v>
      </c>
      <c r="Y27" s="1"/>
      <c r="Z27" s="5">
        <f t="shared" si="7"/>
        <v>-0.34118104880715622</v>
      </c>
    </row>
    <row r="28" spans="1:26" s="24" customFormat="1" hidden="1" outlineLevel="2" x14ac:dyDescent="0.25">
      <c r="A28" s="26"/>
      <c r="B28" s="11" t="str">
        <f>CONCATENATE("          ", "6331", " - ", "INDIRECT COSTS-AUXILIARY ORGAN")</f>
        <v xml:space="preserve">          6331 - INDIRECT COSTS-AUXILIARY ORGAN</v>
      </c>
      <c r="C28" s="11"/>
      <c r="D28" s="6"/>
      <c r="E28" s="2"/>
      <c r="F28" s="7">
        <f t="shared" si="0"/>
        <v>0</v>
      </c>
      <c r="G28" s="2"/>
      <c r="H28" s="6">
        <v>225</v>
      </c>
      <c r="I28" s="2"/>
      <c r="J28" s="7">
        <f t="shared" si="1"/>
        <v>0</v>
      </c>
      <c r="K28" s="2"/>
      <c r="L28" s="6">
        <f t="shared" si="2"/>
        <v>-225</v>
      </c>
      <c r="M28" s="2"/>
      <c r="N28" s="7">
        <f t="shared" si="3"/>
        <v>-1</v>
      </c>
      <c r="O28" s="11"/>
      <c r="P28" s="6">
        <v>23199</v>
      </c>
      <c r="Q28" s="2"/>
      <c r="R28" s="7">
        <f t="shared" si="4"/>
        <v>0</v>
      </c>
      <c r="S28" s="2"/>
      <c r="T28" s="6">
        <v>23075.5</v>
      </c>
      <c r="U28" s="2"/>
      <c r="V28" s="7">
        <f t="shared" si="5"/>
        <v>0</v>
      </c>
      <c r="W28" s="2"/>
      <c r="X28" s="6">
        <f t="shared" si="6"/>
        <v>123.5</v>
      </c>
      <c r="Y28" s="2"/>
      <c r="Z28" s="7">
        <f t="shared" si="7"/>
        <v>5.3519967064635651E-3</v>
      </c>
    </row>
    <row r="29" spans="1:26" s="24" customFormat="1" hidden="1" outlineLevel="2" x14ac:dyDescent="0.25">
      <c r="A29" s="26"/>
      <c r="B29" s="11" t="str">
        <f>CONCATENATE("          ", "6332", " - ", "CONSULTANT FEES")</f>
        <v xml:space="preserve">          6332 - CONSULTANT FEES</v>
      </c>
      <c r="C29" s="11"/>
      <c r="D29" s="6"/>
      <c r="E29" s="2"/>
      <c r="F29" s="7">
        <f t="shared" si="0"/>
        <v>0</v>
      </c>
      <c r="G29" s="2"/>
      <c r="H29" s="6">
        <v>35000</v>
      </c>
      <c r="I29" s="2"/>
      <c r="J29" s="7">
        <f t="shared" si="1"/>
        <v>0</v>
      </c>
      <c r="K29" s="2"/>
      <c r="L29" s="6">
        <f t="shared" si="2"/>
        <v>-35000</v>
      </c>
      <c r="M29" s="2"/>
      <c r="N29" s="7">
        <f t="shared" si="3"/>
        <v>-1</v>
      </c>
      <c r="O29" s="11"/>
      <c r="P29" s="6">
        <v>15062.24</v>
      </c>
      <c r="Q29" s="2"/>
      <c r="R29" s="7">
        <f t="shared" si="4"/>
        <v>0</v>
      </c>
      <c r="S29" s="2"/>
      <c r="T29" s="6">
        <v>35000</v>
      </c>
      <c r="U29" s="2"/>
      <c r="V29" s="7">
        <f t="shared" si="5"/>
        <v>0</v>
      </c>
      <c r="W29" s="2"/>
      <c r="X29" s="6">
        <f t="shared" si="6"/>
        <v>-19937.760000000002</v>
      </c>
      <c r="Y29" s="2"/>
      <c r="Z29" s="7">
        <f t="shared" si="7"/>
        <v>-0.56965028571428578</v>
      </c>
    </row>
    <row r="30" spans="1:26" s="53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9" t="s">
        <v>3</v>
      </c>
      <c r="C33" s="29"/>
      <c r="D33" s="21">
        <f>+D16-D18+D31</f>
        <v>-130672.54000000001</v>
      </c>
      <c r="E33" s="14"/>
      <c r="F33" s="20">
        <f>IF(D$12=0,0,D33/D$12)</f>
        <v>0</v>
      </c>
      <c r="G33" s="14"/>
      <c r="H33" s="21">
        <f>+H16-H18+H31</f>
        <v>-160086.82</v>
      </c>
      <c r="I33" s="14"/>
      <c r="J33" s="20">
        <f>IF(H$12=0,0,H33/H$12)</f>
        <v>0</v>
      </c>
      <c r="K33" s="15"/>
      <c r="L33" s="21">
        <f>+D33-H33</f>
        <v>29414.28</v>
      </c>
      <c r="M33" s="15"/>
      <c r="N33" s="20">
        <f>IF(H33=0,0,L33/H33)</f>
        <v>-0.18373954832758874</v>
      </c>
      <c r="O33" s="28"/>
      <c r="P33" s="21">
        <f>+P16-P18+P31</f>
        <v>-319112.19</v>
      </c>
      <c r="Q33" s="14"/>
      <c r="R33" s="20">
        <f>IF(P$12=0,0,P33/P$12)</f>
        <v>0</v>
      </c>
      <c r="S33" s="14"/>
      <c r="T33" s="21">
        <f>+T16-T18+T31</f>
        <v>-353915.67000000004</v>
      </c>
      <c r="U33" s="14"/>
      <c r="V33" s="20">
        <f>IF(T$12=0,0,T33/T$12)</f>
        <v>0</v>
      </c>
      <c r="W33" s="15"/>
      <c r="X33" s="21">
        <f>+P33-T33</f>
        <v>34803.48000000004</v>
      </c>
      <c r="Y33" s="15"/>
      <c r="Z33" s="20">
        <f>IF(T33=0,0,X33/T33)</f>
        <v>-9.8338341447271993E-2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1"/>
      <c r="B35" s="10" t="s">
        <v>13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4</v>
      </c>
      <c r="C37" s="29"/>
      <c r="D37" s="31">
        <f>+D33-D35</f>
        <v>-130672.54000000001</v>
      </c>
      <c r="E37" s="14"/>
      <c r="F37" s="32">
        <f>IF(D$12=0,0,D37/D$12)</f>
        <v>0</v>
      </c>
      <c r="G37" s="14"/>
      <c r="H37" s="31">
        <f>+H33-H35</f>
        <v>-160086.82</v>
      </c>
      <c r="I37" s="14"/>
      <c r="J37" s="32">
        <f>IF(H$12=0,0,H37/H$12)</f>
        <v>0</v>
      </c>
      <c r="K37" s="15"/>
      <c r="L37" s="31">
        <f>D37-H37</f>
        <v>29414.28</v>
      </c>
      <c r="M37" s="15"/>
      <c r="N37" s="32">
        <f>IF(H37=0,0,L37/H37)</f>
        <v>-0.18373954832758874</v>
      </c>
      <c r="O37" s="28"/>
      <c r="P37" s="31">
        <f>+P33-P35</f>
        <v>-319112.19</v>
      </c>
      <c r="Q37" s="14"/>
      <c r="R37" s="32">
        <f>IF(P$12=0,0,P37/P$12)</f>
        <v>0</v>
      </c>
      <c r="S37" s="14"/>
      <c r="T37" s="31">
        <f>+T33-T35</f>
        <v>-353915.67000000004</v>
      </c>
      <c r="U37" s="14"/>
      <c r="V37" s="32">
        <f>IF(T$12=0,0,T37/T$12)</f>
        <v>0</v>
      </c>
      <c r="W37" s="15"/>
      <c r="X37" s="31">
        <f>P37-T37</f>
        <v>34803.48000000004</v>
      </c>
      <c r="Y37" s="15"/>
      <c r="Z37" s="32">
        <f>IF(T37=0,0,X37/T37)</f>
        <v>-9.8338341447271993E-2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9" t="s">
        <v>5</v>
      </c>
      <c r="C40" s="29"/>
      <c r="D40" s="34">
        <f>SUM(D37:D39)</f>
        <v>-130672.54000000001</v>
      </c>
      <c r="E40" s="14"/>
      <c r="F40" s="30">
        <f>IF(D$12=0,0,D40/D$12)</f>
        <v>0</v>
      </c>
      <c r="G40" s="14"/>
      <c r="H40" s="34">
        <f>SUM(H37:H39)</f>
        <v>-160086.82</v>
      </c>
      <c r="I40" s="14"/>
      <c r="J40" s="30">
        <f>IF(H$12=0,0,H40/H$12)</f>
        <v>0</v>
      </c>
      <c r="K40" s="15"/>
      <c r="L40" s="34">
        <f>+D40-H40</f>
        <v>29414.28</v>
      </c>
      <c r="M40" s="15"/>
      <c r="N40" s="30">
        <f>IF(H40=0,0,L40/H40)</f>
        <v>-0.18373954832758874</v>
      </c>
      <c r="O40" s="28"/>
      <c r="P40" s="34">
        <f>SUM(P37:P39)</f>
        <v>-319112.19</v>
      </c>
      <c r="Q40" s="14"/>
      <c r="R40" s="30">
        <f>IF(P$12=0,0,P40/P$12)</f>
        <v>0</v>
      </c>
      <c r="S40" s="14"/>
      <c r="T40" s="34">
        <f>SUM(T37:T39)</f>
        <v>-353915.67000000004</v>
      </c>
      <c r="U40" s="14"/>
      <c r="V40" s="30">
        <f>IF(T$12=0,0,T40/T$12)</f>
        <v>0</v>
      </c>
      <c r="W40" s="15"/>
      <c r="X40" s="34">
        <f>+P40-T40</f>
        <v>34803.48000000004</v>
      </c>
      <c r="Y40" s="15"/>
      <c r="Z40" s="30">
        <f>IF(T40=0,0,X40/T40)</f>
        <v>-9.8338341447271993E-2</v>
      </c>
    </row>
    <row r="41" spans="1:26" ht="15.75" thickTop="1" x14ac:dyDescent="0.25">
      <c r="A41" s="9"/>
      <c r="C41" s="9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59">
        <v>43815.491506099534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A43" s="9"/>
      <c r="B43" s="62" t="s">
        <v>313</v>
      </c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A44" s="9"/>
      <c r="B44" s="61"/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","201", " - ", "General Manager")</f>
        <v>Department 201 - General Manager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55653.32</v>
      </c>
      <c r="E18" s="22"/>
      <c r="F18" s="33">
        <f t="shared" ref="F18:F28" si="0">IF(D$12=0,0,D18/D$12)</f>
        <v>0</v>
      </c>
      <c r="G18" s="22"/>
      <c r="H18" s="22">
        <f>SUM(OSRRefH22x_0)</f>
        <v>77734.5</v>
      </c>
      <c r="I18" s="22"/>
      <c r="J18" s="33">
        <f t="shared" ref="J18:J28" si="1">IF(H$12=0,0,H18/H$12)</f>
        <v>0</v>
      </c>
      <c r="K18" s="4"/>
      <c r="L18" s="22">
        <f t="shared" ref="L18:L28" si="2">+D18-H18</f>
        <v>-22081.18</v>
      </c>
      <c r="M18" s="4"/>
      <c r="N18" s="33">
        <f t="shared" ref="N18:N28" si="3">IF(H18=0,0,L18/H18)</f>
        <v>-0.28405894422682337</v>
      </c>
      <c r="O18" s="10"/>
      <c r="P18" s="22">
        <f>SUM(OSRRefP22x_0)</f>
        <v>400662.36999999994</v>
      </c>
      <c r="Q18" s="22"/>
      <c r="R18" s="33">
        <f t="shared" ref="R18:R28" si="4">IF(P$12=0,0,P18/P$12)</f>
        <v>0</v>
      </c>
      <c r="S18" s="22"/>
      <c r="T18" s="22">
        <f>SUM(OSRRefT22x_0)</f>
        <v>390369.91999999993</v>
      </c>
      <c r="U18" s="22"/>
      <c r="V18" s="33">
        <f t="shared" ref="V18:V28" si="5">IF(T$12=0,0,T18/T$12)</f>
        <v>0</v>
      </c>
      <c r="W18" s="4"/>
      <c r="X18" s="22">
        <f t="shared" ref="X18:X28" si="6">+P18-T18</f>
        <v>10292.450000000012</v>
      </c>
      <c r="Y18" s="4"/>
      <c r="Z18" s="33">
        <f t="shared" ref="Z18:Z28" si="7">IF(T18=0,0,X18/T18)</f>
        <v>2.6365889052107329E-2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9148.76</v>
      </c>
      <c r="E19" s="1"/>
      <c r="F19" s="5">
        <f t="shared" si="0"/>
        <v>0</v>
      </c>
      <c r="G19" s="1"/>
      <c r="H19" s="1">
        <f>SUM(OSRRefH22_0x_0)</f>
        <v>13051.44</v>
      </c>
      <c r="I19" s="1"/>
      <c r="J19" s="5">
        <f t="shared" si="1"/>
        <v>0</v>
      </c>
      <c r="K19" s="1"/>
      <c r="L19" s="1">
        <f t="shared" si="2"/>
        <v>-3902.6800000000003</v>
      </c>
      <c r="M19" s="1"/>
      <c r="N19" s="5">
        <f t="shared" si="3"/>
        <v>-0.29902294306222149</v>
      </c>
      <c r="O19" s="13"/>
      <c r="P19" s="1">
        <f>SUM(OSRRefP22_0x_0)</f>
        <v>88345.18</v>
      </c>
      <c r="Q19" s="1"/>
      <c r="R19" s="5">
        <f t="shared" si="4"/>
        <v>0</v>
      </c>
      <c r="S19" s="1"/>
      <c r="T19" s="1">
        <f>SUM(OSRRefT22_0x_0)</f>
        <v>86039.67</v>
      </c>
      <c r="U19" s="1"/>
      <c r="V19" s="5">
        <f t="shared" si="5"/>
        <v>0</v>
      </c>
      <c r="W19" s="1"/>
      <c r="X19" s="1">
        <f t="shared" si="6"/>
        <v>2305.5099999999948</v>
      </c>
      <c r="Y19" s="1"/>
      <c r="Z19" s="5">
        <f t="shared" si="7"/>
        <v>2.6795895428236707E-2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576.6</v>
      </c>
      <c r="E20" s="2"/>
      <c r="F20" s="7">
        <f t="shared" si="0"/>
        <v>0</v>
      </c>
      <c r="G20" s="2"/>
      <c r="H20" s="6">
        <v>789.19</v>
      </c>
      <c r="I20" s="2"/>
      <c r="J20" s="7">
        <f t="shared" si="1"/>
        <v>0</v>
      </c>
      <c r="K20" s="2"/>
      <c r="L20" s="6">
        <f t="shared" si="2"/>
        <v>-212.59000000000003</v>
      </c>
      <c r="M20" s="2"/>
      <c r="N20" s="7">
        <f t="shared" si="3"/>
        <v>-0.26937746296835996</v>
      </c>
      <c r="O20" s="11"/>
      <c r="P20" s="6">
        <v>11806.05</v>
      </c>
      <c r="Q20" s="2"/>
      <c r="R20" s="7">
        <f t="shared" si="4"/>
        <v>0</v>
      </c>
      <c r="S20" s="2"/>
      <c r="T20" s="6">
        <v>10369.41</v>
      </c>
      <c r="U20" s="2"/>
      <c r="V20" s="7">
        <f t="shared" si="5"/>
        <v>0</v>
      </c>
      <c r="W20" s="2"/>
      <c r="X20" s="6">
        <f t="shared" si="6"/>
        <v>1436.6399999999994</v>
      </c>
      <c r="Y20" s="2"/>
      <c r="Z20" s="7">
        <f t="shared" si="7"/>
        <v>0.13854597320387557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70.540000000000006</v>
      </c>
      <c r="E21" s="2"/>
      <c r="F21" s="7">
        <f t="shared" si="0"/>
        <v>0</v>
      </c>
      <c r="G21" s="2"/>
      <c r="H21" s="6">
        <v>92.84</v>
      </c>
      <c r="I21" s="2"/>
      <c r="J21" s="7">
        <f t="shared" si="1"/>
        <v>0</v>
      </c>
      <c r="K21" s="2"/>
      <c r="L21" s="6">
        <f t="shared" si="2"/>
        <v>-22.299999999999997</v>
      </c>
      <c r="M21" s="2"/>
      <c r="N21" s="7">
        <f t="shared" si="3"/>
        <v>-0.24019819043515722</v>
      </c>
      <c r="O21" s="11"/>
      <c r="P21" s="6">
        <v>741.57</v>
      </c>
      <c r="Q21" s="2"/>
      <c r="R21" s="7">
        <f t="shared" si="4"/>
        <v>0</v>
      </c>
      <c r="S21" s="2"/>
      <c r="T21" s="6">
        <v>682.27</v>
      </c>
      <c r="U21" s="2"/>
      <c r="V21" s="7">
        <f t="shared" si="5"/>
        <v>0</v>
      </c>
      <c r="W21" s="2"/>
      <c r="X21" s="6">
        <f t="shared" si="6"/>
        <v>59.300000000000068</v>
      </c>
      <c r="Y21" s="2"/>
      <c r="Z21" s="7">
        <f t="shared" si="7"/>
        <v>8.6915737171501126E-2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3849.84</v>
      </c>
      <c r="E22" s="2"/>
      <c r="F22" s="7">
        <f t="shared" si="0"/>
        <v>0</v>
      </c>
      <c r="G22" s="2"/>
      <c r="H22" s="6">
        <v>4962</v>
      </c>
      <c r="I22" s="2"/>
      <c r="J22" s="7">
        <f t="shared" si="1"/>
        <v>0</v>
      </c>
      <c r="K22" s="2"/>
      <c r="L22" s="6">
        <f t="shared" si="2"/>
        <v>-1112.1599999999999</v>
      </c>
      <c r="M22" s="2"/>
      <c r="N22" s="7">
        <f t="shared" si="3"/>
        <v>-0.22413542926239416</v>
      </c>
      <c r="O22" s="11"/>
      <c r="P22" s="6">
        <v>21290.02</v>
      </c>
      <c r="Q22" s="2"/>
      <c r="R22" s="7">
        <f t="shared" si="4"/>
        <v>0</v>
      </c>
      <c r="S22" s="2"/>
      <c r="T22" s="6">
        <v>21759.57</v>
      </c>
      <c r="U22" s="2"/>
      <c r="V22" s="7">
        <f t="shared" si="5"/>
        <v>0</v>
      </c>
      <c r="W22" s="2"/>
      <c r="X22" s="6">
        <f t="shared" si="6"/>
        <v>-469.54999999999927</v>
      </c>
      <c r="Y22" s="2"/>
      <c r="Z22" s="7">
        <f t="shared" si="7"/>
        <v>-2.1579010982294193E-2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53.94</v>
      </c>
      <c r="E23" s="2"/>
      <c r="F23" s="7">
        <f t="shared" si="0"/>
        <v>0</v>
      </c>
      <c r="G23" s="2"/>
      <c r="H23" s="6">
        <v>77.86</v>
      </c>
      <c r="I23" s="2"/>
      <c r="J23" s="7">
        <f t="shared" si="1"/>
        <v>0</v>
      </c>
      <c r="K23" s="2"/>
      <c r="L23" s="6">
        <f t="shared" si="2"/>
        <v>-23.92</v>
      </c>
      <c r="M23" s="2"/>
      <c r="N23" s="7">
        <f t="shared" si="3"/>
        <v>-0.30721808374004628</v>
      </c>
      <c r="O23" s="11"/>
      <c r="P23" s="6">
        <v>723.77</v>
      </c>
      <c r="Q23" s="2"/>
      <c r="R23" s="7">
        <f t="shared" si="4"/>
        <v>0</v>
      </c>
      <c r="S23" s="2"/>
      <c r="T23" s="6">
        <v>572.21</v>
      </c>
      <c r="U23" s="2"/>
      <c r="V23" s="7">
        <f t="shared" si="5"/>
        <v>0</v>
      </c>
      <c r="W23" s="2"/>
      <c r="X23" s="6">
        <f t="shared" si="6"/>
        <v>151.55999999999995</v>
      </c>
      <c r="Y23" s="2"/>
      <c r="Z23" s="7">
        <f t="shared" si="7"/>
        <v>0.26486779329267218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1898.57</v>
      </c>
      <c r="E24" s="2"/>
      <c r="F24" s="7">
        <f t="shared" si="0"/>
        <v>0</v>
      </c>
      <c r="G24" s="2"/>
      <c r="H24" s="6">
        <v>2800.43</v>
      </c>
      <c r="I24" s="2"/>
      <c r="J24" s="7">
        <f t="shared" si="1"/>
        <v>0</v>
      </c>
      <c r="K24" s="2"/>
      <c r="L24" s="6">
        <f t="shared" si="2"/>
        <v>-901.8599999999999</v>
      </c>
      <c r="M24" s="2"/>
      <c r="N24" s="7">
        <f t="shared" si="3"/>
        <v>-0.32204340047778374</v>
      </c>
      <c r="O24" s="11"/>
      <c r="P24" s="6">
        <v>17810</v>
      </c>
      <c r="Q24" s="2"/>
      <c r="R24" s="7">
        <f t="shared" si="4"/>
        <v>0</v>
      </c>
      <c r="S24" s="2"/>
      <c r="T24" s="6">
        <v>20612.47</v>
      </c>
      <c r="U24" s="2"/>
      <c r="V24" s="7">
        <f t="shared" si="5"/>
        <v>0</v>
      </c>
      <c r="W24" s="2"/>
      <c r="X24" s="6">
        <f t="shared" si="6"/>
        <v>-2802.4700000000012</v>
      </c>
      <c r="Y24" s="2"/>
      <c r="Z24" s="7">
        <f t="shared" si="7"/>
        <v>-0.1359599310514461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2451.4</v>
      </c>
      <c r="U25" s="2"/>
      <c r="V25" s="7">
        <f t="shared" si="5"/>
        <v>0</v>
      </c>
      <c r="W25" s="2"/>
      <c r="X25" s="6">
        <f t="shared" si="6"/>
        <v>-2451.4</v>
      </c>
      <c r="Y25" s="2"/>
      <c r="Z25" s="7">
        <f t="shared" si="7"/>
        <v>-1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1621.64</v>
      </c>
      <c r="E26" s="2"/>
      <c r="F26" s="7">
        <f t="shared" si="0"/>
        <v>0</v>
      </c>
      <c r="G26" s="2"/>
      <c r="H26" s="6">
        <v>2657.86</v>
      </c>
      <c r="I26" s="2"/>
      <c r="J26" s="7">
        <f t="shared" si="1"/>
        <v>0</v>
      </c>
      <c r="K26" s="2"/>
      <c r="L26" s="6">
        <f t="shared" si="2"/>
        <v>-1036.22</v>
      </c>
      <c r="M26" s="2"/>
      <c r="N26" s="7">
        <f t="shared" si="3"/>
        <v>-0.38987004582634149</v>
      </c>
      <c r="O26" s="11"/>
      <c r="P26" s="6">
        <v>14887.54</v>
      </c>
      <c r="Q26" s="2"/>
      <c r="R26" s="7">
        <f t="shared" si="4"/>
        <v>0</v>
      </c>
      <c r="S26" s="2"/>
      <c r="T26" s="6">
        <v>15999.8</v>
      </c>
      <c r="U26" s="2"/>
      <c r="V26" s="7">
        <f t="shared" si="5"/>
        <v>0</v>
      </c>
      <c r="W26" s="2"/>
      <c r="X26" s="6">
        <f t="shared" si="6"/>
        <v>-1112.2599999999984</v>
      </c>
      <c r="Y26" s="2"/>
      <c r="Z26" s="7">
        <f t="shared" si="7"/>
        <v>-6.9517118963986949E-2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856.8</v>
      </c>
      <c r="E27" s="2"/>
      <c r="F27" s="7">
        <f t="shared" si="0"/>
        <v>0</v>
      </c>
      <c r="G27" s="2"/>
      <c r="H27" s="6">
        <v>1372.84</v>
      </c>
      <c r="I27" s="2"/>
      <c r="J27" s="7">
        <f t="shared" si="1"/>
        <v>0</v>
      </c>
      <c r="K27" s="2"/>
      <c r="L27" s="6">
        <f t="shared" si="2"/>
        <v>-516.04</v>
      </c>
      <c r="M27" s="2"/>
      <c r="N27" s="7">
        <f t="shared" si="3"/>
        <v>-0.37589231083010399</v>
      </c>
      <c r="O27" s="11"/>
      <c r="P27" s="6">
        <v>19542.8</v>
      </c>
      <c r="Q27" s="2"/>
      <c r="R27" s="7">
        <f t="shared" si="4"/>
        <v>0</v>
      </c>
      <c r="S27" s="2"/>
      <c r="T27" s="6">
        <v>11719.03</v>
      </c>
      <c r="U27" s="2"/>
      <c r="V27" s="7">
        <f t="shared" si="5"/>
        <v>0</v>
      </c>
      <c r="W27" s="2"/>
      <c r="X27" s="6">
        <f t="shared" si="6"/>
        <v>7823.7699999999986</v>
      </c>
      <c r="Y27" s="2"/>
      <c r="Z27" s="7">
        <f t="shared" si="7"/>
        <v>0.66761242184720049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220.83</v>
      </c>
      <c r="E28" s="2"/>
      <c r="F28" s="7">
        <f t="shared" si="0"/>
        <v>0</v>
      </c>
      <c r="G28" s="2"/>
      <c r="H28" s="6">
        <v>298.42</v>
      </c>
      <c r="I28" s="2"/>
      <c r="J28" s="7">
        <f t="shared" si="1"/>
        <v>0</v>
      </c>
      <c r="K28" s="2"/>
      <c r="L28" s="6">
        <f t="shared" si="2"/>
        <v>-77.59</v>
      </c>
      <c r="M28" s="2"/>
      <c r="N28" s="7">
        <f t="shared" si="3"/>
        <v>-0.26000268078547012</v>
      </c>
      <c r="O28" s="11"/>
      <c r="P28" s="6">
        <v>1543.43</v>
      </c>
      <c r="Q28" s="2"/>
      <c r="R28" s="7">
        <f t="shared" si="4"/>
        <v>0</v>
      </c>
      <c r="S28" s="2"/>
      <c r="T28" s="6">
        <v>1873.51</v>
      </c>
      <c r="U28" s="2"/>
      <c r="V28" s="7">
        <f t="shared" si="5"/>
        <v>0</v>
      </c>
      <c r="W28" s="2"/>
      <c r="X28" s="6">
        <f t="shared" si="6"/>
        <v>-330.07999999999993</v>
      </c>
      <c r="Y28" s="2"/>
      <c r="Z28" s="7">
        <f t="shared" si="7"/>
        <v>-0.17618267316427449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19912.670000000002</v>
      </c>
      <c r="E29" s="1"/>
      <c r="F29" s="5">
        <f t="shared" ref="F29:F32" si="8">IF(D$12=0,0,D29/D$12)</f>
        <v>0</v>
      </c>
      <c r="G29" s="1"/>
      <c r="H29" s="1">
        <f>SUM(OSRRefH22_1x_0)</f>
        <v>25908.71</v>
      </c>
      <c r="I29" s="1"/>
      <c r="J29" s="5">
        <f t="shared" ref="J29:J32" si="9">IF(H$12=0,0,H29/H$12)</f>
        <v>0</v>
      </c>
      <c r="K29" s="1"/>
      <c r="L29" s="1">
        <f t="shared" ref="L29:L32" si="10">+D29-H29</f>
        <v>-5996.0399999999972</v>
      </c>
      <c r="M29" s="1"/>
      <c r="N29" s="5">
        <f t="shared" ref="N29:N32" si="11">IF(H29=0,0,L29/H29)</f>
        <v>-0.23142950768293741</v>
      </c>
      <c r="O29" s="13"/>
      <c r="P29" s="1">
        <f>SUM(OSRRefP22_1x_0)</f>
        <v>59693.97</v>
      </c>
      <c r="Q29" s="1"/>
      <c r="R29" s="5">
        <f t="shared" ref="R29:R32" si="12">IF(P$12=0,0,P29/P$12)</f>
        <v>0</v>
      </c>
      <c r="S29" s="1"/>
      <c r="T29" s="1">
        <f>SUM(OSRRefT22_1x_0)</f>
        <v>99026.22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-39332.25</v>
      </c>
      <c r="Y29" s="1"/>
      <c r="Z29" s="5">
        <f t="shared" ref="Z29:Z32" si="15">IF(T29=0,0,X29/T29)</f>
        <v>-0.39719025930708046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14140.28</v>
      </c>
      <c r="E30" s="2"/>
      <c r="F30" s="7">
        <f t="shared" si="8"/>
        <v>0</v>
      </c>
      <c r="G30" s="2"/>
      <c r="H30" s="6">
        <v>22105.62</v>
      </c>
      <c r="I30" s="2"/>
      <c r="J30" s="7">
        <f t="shared" si="9"/>
        <v>0</v>
      </c>
      <c r="K30" s="2"/>
      <c r="L30" s="6">
        <f t="shared" si="10"/>
        <v>-7965.3399999999983</v>
      </c>
      <c r="M30" s="2"/>
      <c r="N30" s="7">
        <f t="shared" si="11"/>
        <v>-0.36033099275206931</v>
      </c>
      <c r="O30" s="11"/>
      <c r="P30" s="6">
        <v>81816.86</v>
      </c>
      <c r="Q30" s="2"/>
      <c r="R30" s="7">
        <f t="shared" si="12"/>
        <v>0</v>
      </c>
      <c r="S30" s="2"/>
      <c r="T30" s="6">
        <v>118931.29</v>
      </c>
      <c r="U30" s="2"/>
      <c r="V30" s="7">
        <f t="shared" si="13"/>
        <v>0</v>
      </c>
      <c r="W30" s="2"/>
      <c r="X30" s="6">
        <f t="shared" si="14"/>
        <v>-37114.429999999993</v>
      </c>
      <c r="Y30" s="2"/>
      <c r="Z30" s="7">
        <f t="shared" si="15"/>
        <v>-0.31206615180916641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4162.01</v>
      </c>
      <c r="E31" s="2"/>
      <c r="F31" s="7">
        <f t="shared" si="8"/>
        <v>0</v>
      </c>
      <c r="G31" s="2"/>
      <c r="H31" s="6">
        <v>3803.09</v>
      </c>
      <c r="I31" s="2"/>
      <c r="J31" s="7">
        <f t="shared" si="9"/>
        <v>0</v>
      </c>
      <c r="K31" s="2"/>
      <c r="L31" s="6">
        <f t="shared" si="10"/>
        <v>358.92000000000007</v>
      </c>
      <c r="M31" s="2"/>
      <c r="N31" s="7">
        <f t="shared" si="11"/>
        <v>9.4375889079669442E-2</v>
      </c>
      <c r="O31" s="11"/>
      <c r="P31" s="6">
        <v>23992.769999999997</v>
      </c>
      <c r="Q31" s="2"/>
      <c r="R31" s="7">
        <f t="shared" si="12"/>
        <v>0</v>
      </c>
      <c r="S31" s="2"/>
      <c r="T31" s="6">
        <v>25195.46</v>
      </c>
      <c r="U31" s="2"/>
      <c r="V31" s="7">
        <f t="shared" si="13"/>
        <v>0</v>
      </c>
      <c r="W31" s="2"/>
      <c r="X31" s="6">
        <f t="shared" si="14"/>
        <v>-1202.6900000000023</v>
      </c>
      <c r="Y31" s="2"/>
      <c r="Z31" s="7">
        <f t="shared" si="15"/>
        <v>-4.7734393418496918E-2</v>
      </c>
    </row>
    <row r="32" spans="1:26" s="24" customFormat="1" hidden="1" outlineLevel="2" x14ac:dyDescent="0.25">
      <c r="A32" s="26"/>
      <c r="B32" s="11" t="str">
        <f>CONCATENATE("          ", "6007", " - ", "STUDENT HOURLY")</f>
        <v xml:space="preserve">          6007 - STUDENT HOURLY</v>
      </c>
      <c r="C32" s="11"/>
      <c r="D32" s="6">
        <v>1610.38</v>
      </c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1610.38</v>
      </c>
      <c r="M32" s="2"/>
      <c r="N32" s="7">
        <f t="shared" si="11"/>
        <v>0</v>
      </c>
      <c r="O32" s="11"/>
      <c r="P32" s="6">
        <v>-46115.66</v>
      </c>
      <c r="Q32" s="2"/>
      <c r="R32" s="7">
        <f t="shared" si="12"/>
        <v>0</v>
      </c>
      <c r="S32" s="2"/>
      <c r="T32" s="6">
        <v>-45100.53</v>
      </c>
      <c r="U32" s="2"/>
      <c r="V32" s="7">
        <f t="shared" si="13"/>
        <v>0</v>
      </c>
      <c r="W32" s="2"/>
      <c r="X32" s="6">
        <f t="shared" si="14"/>
        <v>-1015.1300000000047</v>
      </c>
      <c r="Y32" s="2"/>
      <c r="Z32" s="7">
        <f t="shared" si="15"/>
        <v>2.250816121229628E-2</v>
      </c>
    </row>
    <row r="33" spans="1:26" s="25" customFormat="1" outlineLevel="1" collapsed="1" x14ac:dyDescent="0.25">
      <c r="A33" s="27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45</v>
      </c>
      <c r="E33" s="1"/>
      <c r="F33" s="5">
        <f t="shared" ref="F33:F52" si="16">IF(D$12=0,0,D33/D$12)</f>
        <v>0</v>
      </c>
      <c r="G33" s="1"/>
      <c r="H33" s="1">
        <f>SUM(OSRRefH22_2x_0)</f>
        <v>11910.44</v>
      </c>
      <c r="I33" s="1"/>
      <c r="J33" s="5">
        <f t="shared" ref="J33:J52" si="17">IF(H$12=0,0,H33/H$12)</f>
        <v>0</v>
      </c>
      <c r="K33" s="1"/>
      <c r="L33" s="1">
        <f t="shared" ref="L33:L52" si="18">+D33-H33</f>
        <v>-11865.44</v>
      </c>
      <c r="M33" s="1"/>
      <c r="N33" s="5">
        <f t="shared" ref="N33:N52" si="19">IF(H33=0,0,L33/H33)</f>
        <v>-0.99622180204929456</v>
      </c>
      <c r="O33" s="13"/>
      <c r="P33" s="1">
        <f>SUM(OSRRefP22_2x_0)</f>
        <v>11409.89</v>
      </c>
      <c r="Q33" s="1"/>
      <c r="R33" s="5">
        <f t="shared" ref="R33:R52" si="20">IF(P$12=0,0,P33/P$12)</f>
        <v>0</v>
      </c>
      <c r="S33" s="1"/>
      <c r="T33" s="1">
        <f>SUM(OSRRefT22_2x_0)</f>
        <v>70328.760000000009</v>
      </c>
      <c r="U33" s="1"/>
      <c r="V33" s="5">
        <f t="shared" ref="V33:V52" si="21">IF(T$12=0,0,T33/T$12)</f>
        <v>0</v>
      </c>
      <c r="W33" s="1"/>
      <c r="X33" s="1">
        <f t="shared" ref="X33:X52" si="22">+P33-T33</f>
        <v>-58918.87000000001</v>
      </c>
      <c r="Y33" s="1"/>
      <c r="Z33" s="5">
        <f t="shared" ref="Z33:Z52" si="23">IF(T33=0,0,X33/T33)</f>
        <v>-0.83776352661414766</v>
      </c>
    </row>
    <row r="34" spans="1:26" s="24" customFormat="1" hidden="1" outlineLevel="2" x14ac:dyDescent="0.25">
      <c r="A34" s="26"/>
      <c r="B34" s="11" t="str">
        <f>CONCATENATE("          ", "6362", " - ", "ADVERTISING EXPENSE")</f>
        <v xml:space="preserve">          6362 - ADVERTISING EXPENSE</v>
      </c>
      <c r="C34" s="11"/>
      <c r="D34" s="6">
        <v>45</v>
      </c>
      <c r="E34" s="2"/>
      <c r="F34" s="7">
        <f t="shared" si="16"/>
        <v>0</v>
      </c>
      <c r="G34" s="2"/>
      <c r="H34" s="6">
        <v>11910.44</v>
      </c>
      <c r="I34" s="2"/>
      <c r="J34" s="7">
        <f t="shared" si="17"/>
        <v>0</v>
      </c>
      <c r="K34" s="2"/>
      <c r="L34" s="6">
        <f t="shared" si="18"/>
        <v>-11865.44</v>
      </c>
      <c r="M34" s="2"/>
      <c r="N34" s="7">
        <f t="shared" si="19"/>
        <v>-0.99622180204929456</v>
      </c>
      <c r="O34" s="11"/>
      <c r="P34" s="6">
        <v>11409.89</v>
      </c>
      <c r="Q34" s="2"/>
      <c r="R34" s="7">
        <f t="shared" si="20"/>
        <v>0</v>
      </c>
      <c r="S34" s="2"/>
      <c r="T34" s="6">
        <v>70328.760000000009</v>
      </c>
      <c r="U34" s="2"/>
      <c r="V34" s="7">
        <f t="shared" si="21"/>
        <v>0</v>
      </c>
      <c r="W34" s="2"/>
      <c r="X34" s="6">
        <f t="shared" si="22"/>
        <v>-58918.87000000001</v>
      </c>
      <c r="Y34" s="2"/>
      <c r="Z34" s="7">
        <f t="shared" si="23"/>
        <v>-0.83776352661414766</v>
      </c>
    </row>
    <row r="35" spans="1:26" s="25" customFormat="1" outlineLevel="1" collapsed="1" x14ac:dyDescent="0.25">
      <c r="A35" s="27"/>
      <c r="B35" s="13" t="str">
        <f>CONCATENATE("     ","Depreciation                                      ")</f>
        <v xml:space="preserve">     Depreciation                                      </v>
      </c>
      <c r="C35" s="13"/>
      <c r="D35" s="1">
        <f>SUM(OSRRefD22_3x_0)</f>
        <v>345.23</v>
      </c>
      <c r="E35" s="1"/>
      <c r="F35" s="5">
        <f t="shared" si="16"/>
        <v>0</v>
      </c>
      <c r="G35" s="1"/>
      <c r="H35" s="1">
        <f>SUM(OSRRefH22_3x_0)</f>
        <v>345.23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3"/>
      <c r="P35" s="1">
        <f>SUM(OSRRefP22_3x_0)</f>
        <v>1726.15</v>
      </c>
      <c r="Q35" s="1"/>
      <c r="R35" s="5">
        <f t="shared" si="20"/>
        <v>0</v>
      </c>
      <c r="S35" s="1"/>
      <c r="T35" s="1">
        <f>SUM(OSRRefT22_3x_0)</f>
        <v>1726.15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6"/>
      <c r="B36" s="11" t="str">
        <f>CONCATENATE("          ", "6322", " - ", "EQUIPMENT DEPRECIATION EXPENSE")</f>
        <v xml:space="preserve">          6322 - EQUIPMENT DEPRECIATION EXPENSE</v>
      </c>
      <c r="C36" s="11"/>
      <c r="D36" s="6">
        <v>345.23</v>
      </c>
      <c r="E36" s="2"/>
      <c r="F36" s="7">
        <f t="shared" si="16"/>
        <v>0</v>
      </c>
      <c r="G36" s="2"/>
      <c r="H36" s="6">
        <v>345.23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1726.15</v>
      </c>
      <c r="Q36" s="2"/>
      <c r="R36" s="7">
        <f t="shared" si="20"/>
        <v>0</v>
      </c>
      <c r="S36" s="2"/>
      <c r="T36" s="6">
        <v>1726.15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5" customFormat="1" outlineLevel="1" collapsed="1" x14ac:dyDescent="0.25">
      <c r="A37" s="27"/>
      <c r="B37" s="13" t="str">
        <f>CONCATENATE("     ","Donations                                         ")</f>
        <v xml:space="preserve">     Donations                                         </v>
      </c>
      <c r="C37" s="13"/>
      <c r="D37" s="1">
        <f>SUM(OSRRefD22_4x_0)</f>
        <v>1265.54</v>
      </c>
      <c r="E37" s="1"/>
      <c r="F37" s="5">
        <f t="shared" si="16"/>
        <v>0</v>
      </c>
      <c r="G37" s="1"/>
      <c r="H37" s="1">
        <f>SUM(OSRRefH22_4x_0)</f>
        <v>699.04</v>
      </c>
      <c r="I37" s="1"/>
      <c r="J37" s="5">
        <f t="shared" si="17"/>
        <v>0</v>
      </c>
      <c r="K37" s="1"/>
      <c r="L37" s="1">
        <f t="shared" si="18"/>
        <v>566.5</v>
      </c>
      <c r="M37" s="1"/>
      <c r="N37" s="5">
        <f t="shared" si="19"/>
        <v>0.81039711604486153</v>
      </c>
      <c r="O37" s="13"/>
      <c r="P37" s="1">
        <f>SUM(OSRRefP22_4x_0)</f>
        <v>145642.79</v>
      </c>
      <c r="Q37" s="1"/>
      <c r="R37" s="5">
        <f t="shared" si="20"/>
        <v>0</v>
      </c>
      <c r="S37" s="1"/>
      <c r="T37" s="1">
        <f>SUM(OSRRefT22_4x_0)</f>
        <v>43625.46</v>
      </c>
      <c r="U37" s="1"/>
      <c r="V37" s="5">
        <f t="shared" si="21"/>
        <v>0</v>
      </c>
      <c r="W37" s="1"/>
      <c r="X37" s="1">
        <f t="shared" si="22"/>
        <v>102017.33000000002</v>
      </c>
      <c r="Y37" s="1"/>
      <c r="Z37" s="5">
        <f t="shared" si="23"/>
        <v>2.3384814738916226</v>
      </c>
    </row>
    <row r="38" spans="1:26" s="24" customFormat="1" hidden="1" outlineLevel="2" x14ac:dyDescent="0.25">
      <c r="A38" s="26"/>
      <c r="B38" s="11" t="str">
        <f>CONCATENATE("          ", "6399", " - ", "DONATION-ON CAMPUS")</f>
        <v xml:space="preserve">          6399 - DONATION-ON CAMPUS</v>
      </c>
      <c r="C38" s="11"/>
      <c r="D38" s="6">
        <v>1265.54</v>
      </c>
      <c r="E38" s="2"/>
      <c r="F38" s="7">
        <f t="shared" si="16"/>
        <v>0</v>
      </c>
      <c r="G38" s="2"/>
      <c r="H38" s="6">
        <v>699.04</v>
      </c>
      <c r="I38" s="2"/>
      <c r="J38" s="7">
        <f t="shared" si="17"/>
        <v>0</v>
      </c>
      <c r="K38" s="2"/>
      <c r="L38" s="6">
        <f t="shared" si="18"/>
        <v>566.5</v>
      </c>
      <c r="M38" s="2"/>
      <c r="N38" s="7">
        <f t="shared" si="19"/>
        <v>0.81039711604486153</v>
      </c>
      <c r="O38" s="11"/>
      <c r="P38" s="6">
        <v>145642.79</v>
      </c>
      <c r="Q38" s="2"/>
      <c r="R38" s="7">
        <f t="shared" si="20"/>
        <v>0</v>
      </c>
      <c r="S38" s="2"/>
      <c r="T38" s="6">
        <v>43625.46</v>
      </c>
      <c r="U38" s="2"/>
      <c r="V38" s="7">
        <f t="shared" si="21"/>
        <v>0</v>
      </c>
      <c r="W38" s="2"/>
      <c r="X38" s="6">
        <f t="shared" si="22"/>
        <v>102017.33000000002</v>
      </c>
      <c r="Y38" s="2"/>
      <c r="Z38" s="7">
        <f t="shared" si="23"/>
        <v>2.3384814738916226</v>
      </c>
    </row>
    <row r="39" spans="1:26" s="25" customFormat="1" outlineLevel="1" collapsed="1" x14ac:dyDescent="0.25">
      <c r="A39" s="27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SUM(OSRRefD22_5x_0)</f>
        <v>0</v>
      </c>
      <c r="E39" s="1"/>
      <c r="F39" s="5">
        <f t="shared" si="16"/>
        <v>0</v>
      </c>
      <c r="G39" s="1"/>
      <c r="H39" s="1">
        <f>SUM(OSRRefH22_5x_0)</f>
        <v>282.58</v>
      </c>
      <c r="I39" s="1"/>
      <c r="J39" s="5">
        <f t="shared" si="17"/>
        <v>0</v>
      </c>
      <c r="K39" s="1"/>
      <c r="L39" s="1">
        <f t="shared" si="18"/>
        <v>-282.58</v>
      </c>
      <c r="M39" s="1"/>
      <c r="N39" s="5">
        <f t="shared" si="19"/>
        <v>-1</v>
      </c>
      <c r="O39" s="13"/>
      <c r="P39" s="1">
        <f>SUM(OSRRefP22_5x_0)</f>
        <v>0</v>
      </c>
      <c r="Q39" s="1"/>
      <c r="R39" s="5">
        <f t="shared" si="20"/>
        <v>0</v>
      </c>
      <c r="S39" s="1"/>
      <c r="T39" s="1">
        <f>SUM(OSRRefT22_5x_0)</f>
        <v>282.58</v>
      </c>
      <c r="U39" s="1"/>
      <c r="V39" s="5">
        <f t="shared" si="21"/>
        <v>0</v>
      </c>
      <c r="W39" s="1"/>
      <c r="X39" s="1">
        <f t="shared" si="22"/>
        <v>-282.58</v>
      </c>
      <c r="Y39" s="1"/>
      <c r="Z39" s="5">
        <f t="shared" si="23"/>
        <v>-1</v>
      </c>
    </row>
    <row r="40" spans="1:26" s="24" customFormat="1" hidden="1" outlineLevel="2" x14ac:dyDescent="0.25">
      <c r="A40" s="26"/>
      <c r="B40" s="11" t="str">
        <f>CONCATENATE("          ", "6277", " - ", "EMPLOYEE APPRECIATION")</f>
        <v xml:space="preserve">          6277 - EMPLOYEE APPRECIATION</v>
      </c>
      <c r="C40" s="11"/>
      <c r="D40" s="6"/>
      <c r="E40" s="2"/>
      <c r="F40" s="7">
        <f t="shared" si="16"/>
        <v>0</v>
      </c>
      <c r="G40" s="2"/>
      <c r="H40" s="6">
        <v>282.58</v>
      </c>
      <c r="I40" s="2"/>
      <c r="J40" s="7">
        <f t="shared" si="17"/>
        <v>0</v>
      </c>
      <c r="K40" s="2"/>
      <c r="L40" s="6">
        <f t="shared" si="18"/>
        <v>-282.58</v>
      </c>
      <c r="M40" s="2"/>
      <c r="N40" s="7">
        <f t="shared" si="19"/>
        <v>-1</v>
      </c>
      <c r="O40" s="11"/>
      <c r="P40" s="6"/>
      <c r="Q40" s="2"/>
      <c r="R40" s="7">
        <f t="shared" si="20"/>
        <v>0</v>
      </c>
      <c r="S40" s="2"/>
      <c r="T40" s="6">
        <v>282.58</v>
      </c>
      <c r="U40" s="2"/>
      <c r="V40" s="7">
        <f t="shared" si="21"/>
        <v>0</v>
      </c>
      <c r="W40" s="2"/>
      <c r="X40" s="6">
        <f t="shared" si="22"/>
        <v>-282.58</v>
      </c>
      <c r="Y40" s="2"/>
      <c r="Z40" s="7">
        <f t="shared" si="23"/>
        <v>-1</v>
      </c>
    </row>
    <row r="41" spans="1:26" s="25" customFormat="1" outlineLevel="1" collapsed="1" x14ac:dyDescent="0.25">
      <c r="A41" s="27"/>
      <c r="B41" s="13" t="str">
        <f>CONCATENATE("     ","Equipment Rental                                  ")</f>
        <v xml:space="preserve">     Equipment Rental                                  </v>
      </c>
      <c r="C41" s="13"/>
      <c r="D41" s="1">
        <f>SUM(OSRRefD22_6x_0)</f>
        <v>117.72</v>
      </c>
      <c r="E41" s="1"/>
      <c r="F41" s="5">
        <f t="shared" si="16"/>
        <v>0</v>
      </c>
      <c r="G41" s="1"/>
      <c r="H41" s="1">
        <f>SUM(OSRRefH22_6x_0)</f>
        <v>117.72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3"/>
      <c r="P41" s="1">
        <f>SUM(OSRRefP22_6x_0)</f>
        <v>706.32</v>
      </c>
      <c r="Q41" s="1"/>
      <c r="R41" s="5">
        <f t="shared" si="20"/>
        <v>0</v>
      </c>
      <c r="S41" s="1"/>
      <c r="T41" s="1">
        <f>SUM(OSRRefT22_6x_0)</f>
        <v>588.6</v>
      </c>
      <c r="U41" s="1"/>
      <c r="V41" s="5">
        <f t="shared" si="21"/>
        <v>0</v>
      </c>
      <c r="W41" s="1"/>
      <c r="X41" s="1">
        <f t="shared" si="22"/>
        <v>117.72000000000003</v>
      </c>
      <c r="Y41" s="1"/>
      <c r="Z41" s="5">
        <f t="shared" si="23"/>
        <v>0.20000000000000004</v>
      </c>
    </row>
    <row r="42" spans="1:26" s="24" customFormat="1" hidden="1" outlineLevel="2" x14ac:dyDescent="0.25">
      <c r="A42" s="26"/>
      <c r="B42" s="11" t="str">
        <f>CONCATENATE("          ", "6351", " - ", "EQUIPMENT RENTAL")</f>
        <v xml:space="preserve">          6351 - EQUIPMENT RENTAL</v>
      </c>
      <c r="C42" s="11"/>
      <c r="D42" s="6">
        <v>117.72</v>
      </c>
      <c r="E42" s="2"/>
      <c r="F42" s="7">
        <f t="shared" si="16"/>
        <v>0</v>
      </c>
      <c r="G42" s="2"/>
      <c r="H42" s="6">
        <v>117.72</v>
      </c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706.32</v>
      </c>
      <c r="Q42" s="2"/>
      <c r="R42" s="7">
        <f t="shared" si="20"/>
        <v>0</v>
      </c>
      <c r="S42" s="2"/>
      <c r="T42" s="6">
        <v>588.6</v>
      </c>
      <c r="U42" s="2"/>
      <c r="V42" s="7">
        <f t="shared" si="21"/>
        <v>0</v>
      </c>
      <c r="W42" s="2"/>
      <c r="X42" s="6">
        <f t="shared" si="22"/>
        <v>117.72000000000003</v>
      </c>
      <c r="Y42" s="2"/>
      <c r="Z42" s="7">
        <f t="shared" si="23"/>
        <v>0.20000000000000004</v>
      </c>
    </row>
    <row r="43" spans="1:26" s="25" customFormat="1" outlineLevel="1" collapsed="1" x14ac:dyDescent="0.25">
      <c r="A43" s="27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SUM(OSRRefD22_7x_0)</f>
        <v>0.5</v>
      </c>
      <c r="E43" s="1"/>
      <c r="F43" s="5">
        <f t="shared" si="16"/>
        <v>0</v>
      </c>
      <c r="G43" s="1"/>
      <c r="H43" s="1">
        <f>SUM(OSRRefH22_7x_0)</f>
        <v>0</v>
      </c>
      <c r="I43" s="1"/>
      <c r="J43" s="5">
        <f t="shared" si="17"/>
        <v>0</v>
      </c>
      <c r="K43" s="1"/>
      <c r="L43" s="1">
        <f t="shared" si="18"/>
        <v>0.5</v>
      </c>
      <c r="M43" s="1"/>
      <c r="N43" s="5">
        <f t="shared" si="19"/>
        <v>0</v>
      </c>
      <c r="O43" s="13"/>
      <c r="P43" s="1">
        <f>SUM(OSRRefP22_7x_0)</f>
        <v>9.25</v>
      </c>
      <c r="Q43" s="1"/>
      <c r="R43" s="5">
        <f t="shared" si="20"/>
        <v>0</v>
      </c>
      <c r="S43" s="1"/>
      <c r="T43" s="1">
        <f>SUM(OSRRefT22_7x_0)</f>
        <v>1.41</v>
      </c>
      <c r="U43" s="1"/>
      <c r="V43" s="5">
        <f t="shared" si="21"/>
        <v>0</v>
      </c>
      <c r="W43" s="1"/>
      <c r="X43" s="1">
        <f t="shared" si="22"/>
        <v>7.84</v>
      </c>
      <c r="Y43" s="1"/>
      <c r="Z43" s="5">
        <f t="shared" si="23"/>
        <v>5.5602836879432624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6">
        <v>0.5</v>
      </c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0.5</v>
      </c>
      <c r="M44" s="2"/>
      <c r="N44" s="7">
        <f t="shared" si="19"/>
        <v>0</v>
      </c>
      <c r="O44" s="11"/>
      <c r="P44" s="6">
        <v>9.25</v>
      </c>
      <c r="Q44" s="2"/>
      <c r="R44" s="7">
        <f t="shared" si="20"/>
        <v>0</v>
      </c>
      <c r="S44" s="2"/>
      <c r="T44" s="6">
        <v>1.41</v>
      </c>
      <c r="U44" s="2"/>
      <c r="V44" s="7">
        <f t="shared" si="21"/>
        <v>0</v>
      </c>
      <c r="W44" s="2"/>
      <c r="X44" s="6">
        <f t="shared" si="22"/>
        <v>7.84</v>
      </c>
      <c r="Y44" s="2"/>
      <c r="Z44" s="7">
        <f t="shared" si="23"/>
        <v>5.5602836879432624</v>
      </c>
    </row>
    <row r="45" spans="1:26" s="25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SUM(OSRRefD22_8x_0)</f>
        <v>0</v>
      </c>
      <c r="E45" s="1"/>
      <c r="F45" s="5">
        <f t="shared" si="16"/>
        <v>0</v>
      </c>
      <c r="G45" s="1"/>
      <c r="H45" s="1">
        <f>SUM(OSRRefH22_8x_0)</f>
        <v>50</v>
      </c>
      <c r="I45" s="1"/>
      <c r="J45" s="5">
        <f t="shared" si="17"/>
        <v>0</v>
      </c>
      <c r="K45" s="1"/>
      <c r="L45" s="1">
        <f t="shared" si="18"/>
        <v>-50</v>
      </c>
      <c r="M45" s="1"/>
      <c r="N45" s="5">
        <f t="shared" si="19"/>
        <v>-1</v>
      </c>
      <c r="O45" s="13"/>
      <c r="P45" s="1">
        <f>SUM(OSRRefP22_8x_0)</f>
        <v>11700.62</v>
      </c>
      <c r="Q45" s="1"/>
      <c r="R45" s="5">
        <f t="shared" si="20"/>
        <v>0</v>
      </c>
      <c r="S45" s="1"/>
      <c r="T45" s="1">
        <f>SUM(OSRRefT22_8x_0)</f>
        <v>10183</v>
      </c>
      <c r="U45" s="1"/>
      <c r="V45" s="5">
        <f t="shared" si="21"/>
        <v>0</v>
      </c>
      <c r="W45" s="1"/>
      <c r="X45" s="1">
        <f t="shared" si="22"/>
        <v>1517.6200000000008</v>
      </c>
      <c r="Y45" s="1"/>
      <c r="Z45" s="5">
        <f t="shared" si="23"/>
        <v>0.14903466561916928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16"/>
        <v>0</v>
      </c>
      <c r="G46" s="2"/>
      <c r="H46" s="6">
        <v>50</v>
      </c>
      <c r="I46" s="2"/>
      <c r="J46" s="7">
        <f t="shared" si="17"/>
        <v>0</v>
      </c>
      <c r="K46" s="2"/>
      <c r="L46" s="6">
        <f t="shared" si="18"/>
        <v>-50</v>
      </c>
      <c r="M46" s="2"/>
      <c r="N46" s="7">
        <f t="shared" si="19"/>
        <v>-1</v>
      </c>
      <c r="O46" s="11"/>
      <c r="P46" s="6">
        <v>11700.62</v>
      </c>
      <c r="Q46" s="2"/>
      <c r="R46" s="7">
        <f t="shared" si="20"/>
        <v>0</v>
      </c>
      <c r="S46" s="2"/>
      <c r="T46" s="6">
        <v>10183</v>
      </c>
      <c r="U46" s="2"/>
      <c r="V46" s="7">
        <f t="shared" si="21"/>
        <v>0</v>
      </c>
      <c r="W46" s="2"/>
      <c r="X46" s="6">
        <f t="shared" si="22"/>
        <v>1517.6200000000008</v>
      </c>
      <c r="Y46" s="2"/>
      <c r="Z46" s="7">
        <f t="shared" si="23"/>
        <v>0.14903466561916928</v>
      </c>
    </row>
    <row r="47" spans="1:26" s="25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SUM(OSRRefD22_9x_0)</f>
        <v>115.13</v>
      </c>
      <c r="E47" s="1"/>
      <c r="F47" s="5">
        <f t="shared" si="16"/>
        <v>0</v>
      </c>
      <c r="G47" s="1"/>
      <c r="H47" s="1">
        <f>SUM(OSRRefH22_9x_0)</f>
        <v>108.47</v>
      </c>
      <c r="I47" s="1"/>
      <c r="J47" s="5">
        <f t="shared" si="17"/>
        <v>0</v>
      </c>
      <c r="K47" s="1"/>
      <c r="L47" s="1">
        <f t="shared" si="18"/>
        <v>6.6599999999999966</v>
      </c>
      <c r="M47" s="1"/>
      <c r="N47" s="5">
        <f t="shared" si="19"/>
        <v>6.139946528994189E-2</v>
      </c>
      <c r="O47" s="13"/>
      <c r="P47" s="1">
        <f>SUM(OSRRefP22_9x_0)</f>
        <v>575.65</v>
      </c>
      <c r="Q47" s="1"/>
      <c r="R47" s="5">
        <f t="shared" si="20"/>
        <v>0</v>
      </c>
      <c r="S47" s="1"/>
      <c r="T47" s="1">
        <f>SUM(OSRRefT22_9x_0)</f>
        <v>542.35</v>
      </c>
      <c r="U47" s="1"/>
      <c r="V47" s="5">
        <f t="shared" si="21"/>
        <v>0</v>
      </c>
      <c r="W47" s="1"/>
      <c r="X47" s="1">
        <f t="shared" si="22"/>
        <v>33.299999999999955</v>
      </c>
      <c r="Y47" s="1"/>
      <c r="Z47" s="5">
        <f t="shared" si="23"/>
        <v>6.1399465289941835E-2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6">
        <v>115.13</v>
      </c>
      <c r="E48" s="2"/>
      <c r="F48" s="7">
        <f t="shared" si="16"/>
        <v>0</v>
      </c>
      <c r="G48" s="2"/>
      <c r="H48" s="6">
        <v>108.47</v>
      </c>
      <c r="I48" s="2"/>
      <c r="J48" s="7">
        <f t="shared" si="17"/>
        <v>0</v>
      </c>
      <c r="K48" s="2"/>
      <c r="L48" s="6">
        <f t="shared" si="18"/>
        <v>6.6599999999999966</v>
      </c>
      <c r="M48" s="2"/>
      <c r="N48" s="7">
        <f t="shared" si="19"/>
        <v>6.139946528994189E-2</v>
      </c>
      <c r="O48" s="11"/>
      <c r="P48" s="6">
        <v>575.65</v>
      </c>
      <c r="Q48" s="2"/>
      <c r="R48" s="7">
        <f t="shared" si="20"/>
        <v>0</v>
      </c>
      <c r="S48" s="2"/>
      <c r="T48" s="6">
        <v>542.35</v>
      </c>
      <c r="U48" s="2"/>
      <c r="V48" s="7">
        <f t="shared" si="21"/>
        <v>0</v>
      </c>
      <c r="W48" s="2"/>
      <c r="X48" s="6">
        <f t="shared" si="22"/>
        <v>33.299999999999955</v>
      </c>
      <c r="Y48" s="2"/>
      <c r="Z48" s="7">
        <f t="shared" si="23"/>
        <v>6.1399465289941835E-2</v>
      </c>
    </row>
    <row r="49" spans="1:26" s="25" customFormat="1" outlineLevel="1" collapsed="1" x14ac:dyDescent="0.25">
      <c r="A49" s="27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SUM(OSRRefD22_10x_0)</f>
        <v>18725</v>
      </c>
      <c r="E49" s="1"/>
      <c r="F49" s="5">
        <f t="shared" si="16"/>
        <v>0</v>
      </c>
      <c r="G49" s="1"/>
      <c r="H49" s="1">
        <f>SUM(OSRRefH22_10x_0)</f>
        <v>19250</v>
      </c>
      <c r="I49" s="1"/>
      <c r="J49" s="5">
        <f t="shared" si="17"/>
        <v>0</v>
      </c>
      <c r="K49" s="1"/>
      <c r="L49" s="1">
        <f t="shared" si="18"/>
        <v>-525</v>
      </c>
      <c r="M49" s="1"/>
      <c r="N49" s="5">
        <f t="shared" si="19"/>
        <v>-2.7272727272727271E-2</v>
      </c>
      <c r="O49" s="13"/>
      <c r="P49" s="1">
        <f>SUM(OSRRefP22_10x_0)</f>
        <v>50760</v>
      </c>
      <c r="Q49" s="1"/>
      <c r="R49" s="5">
        <f t="shared" si="20"/>
        <v>0</v>
      </c>
      <c r="S49" s="1"/>
      <c r="T49" s="1">
        <f>SUM(OSRRefT22_10x_0)</f>
        <v>44325</v>
      </c>
      <c r="U49" s="1"/>
      <c r="V49" s="5">
        <f t="shared" si="21"/>
        <v>0</v>
      </c>
      <c r="W49" s="1"/>
      <c r="X49" s="1">
        <f t="shared" si="22"/>
        <v>6435</v>
      </c>
      <c r="Y49" s="1"/>
      <c r="Z49" s="5">
        <f t="shared" si="23"/>
        <v>0.14517766497461929</v>
      </c>
    </row>
    <row r="50" spans="1:26" s="24" customFormat="1" hidden="1" outlineLevel="2" x14ac:dyDescent="0.25">
      <c r="A50" s="26"/>
      <c r="B50" s="11" t="str">
        <f>CONCATENATE("          ", "6331", " - ", "INDIRECT COSTS-AUXILIARY ORGAN")</f>
        <v xml:space="preserve">          6331 - INDIRECT COSTS-AUXILIARY ORGAN</v>
      </c>
      <c r="C50" s="11"/>
      <c r="D50" s="6">
        <v>18550</v>
      </c>
      <c r="E50" s="2"/>
      <c r="F50" s="7">
        <f t="shared" si="16"/>
        <v>0</v>
      </c>
      <c r="G50" s="2"/>
      <c r="H50" s="6">
        <v>19250</v>
      </c>
      <c r="I50" s="2"/>
      <c r="J50" s="7">
        <f t="shared" si="17"/>
        <v>0</v>
      </c>
      <c r="K50" s="2"/>
      <c r="L50" s="6">
        <f t="shared" si="18"/>
        <v>-700</v>
      </c>
      <c r="M50" s="2"/>
      <c r="N50" s="7">
        <f t="shared" si="19"/>
        <v>-3.6363636363636362E-2</v>
      </c>
      <c r="O50" s="11"/>
      <c r="P50" s="6">
        <v>45550</v>
      </c>
      <c r="Q50" s="2"/>
      <c r="R50" s="7">
        <f t="shared" si="20"/>
        <v>0</v>
      </c>
      <c r="S50" s="2"/>
      <c r="T50" s="6">
        <v>39250</v>
      </c>
      <c r="U50" s="2"/>
      <c r="V50" s="7">
        <f t="shared" si="21"/>
        <v>0</v>
      </c>
      <c r="W50" s="2"/>
      <c r="X50" s="6">
        <f t="shared" si="22"/>
        <v>6300</v>
      </c>
      <c r="Y50" s="2"/>
      <c r="Z50" s="7">
        <f t="shared" si="23"/>
        <v>0.16050955414012738</v>
      </c>
    </row>
    <row r="51" spans="1:26" s="24" customFormat="1" hidden="1" outlineLevel="2" x14ac:dyDescent="0.25">
      <c r="A51" s="26"/>
      <c r="B51" s="11" t="str">
        <f>CONCATENATE("          ", "6334", " - ", "LEGAL COUNCIL EXPENSE")</f>
        <v xml:space="preserve">          6334 - LEGAL COUNCIL EXPENSE</v>
      </c>
      <c r="C51" s="11"/>
      <c r="D51" s="6">
        <v>175</v>
      </c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175</v>
      </c>
      <c r="M51" s="2"/>
      <c r="N51" s="7">
        <f t="shared" si="19"/>
        <v>0</v>
      </c>
      <c r="O51" s="11"/>
      <c r="P51" s="6">
        <v>190</v>
      </c>
      <c r="Q51" s="2"/>
      <c r="R51" s="7">
        <f t="shared" si="20"/>
        <v>0</v>
      </c>
      <c r="S51" s="2"/>
      <c r="T51" s="6">
        <v>75</v>
      </c>
      <c r="U51" s="2"/>
      <c r="V51" s="7">
        <f t="shared" si="21"/>
        <v>0</v>
      </c>
      <c r="W51" s="2"/>
      <c r="X51" s="6">
        <f t="shared" si="22"/>
        <v>115</v>
      </c>
      <c r="Y51" s="2"/>
      <c r="Z51" s="7">
        <f t="shared" si="23"/>
        <v>1.5333333333333334</v>
      </c>
    </row>
    <row r="52" spans="1:26" s="24" customFormat="1" hidden="1" outlineLevel="2" x14ac:dyDescent="0.25">
      <c r="A52" s="26"/>
      <c r="B52" s="11" t="str">
        <f>CONCATENATE("          ", "6336", " - ", "PROFESSIONAL SERVICES")</f>
        <v xml:space="preserve">          6336 - PROFESSIONAL SERVICES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5020</v>
      </c>
      <c r="Q52" s="2"/>
      <c r="R52" s="7">
        <f t="shared" si="20"/>
        <v>0</v>
      </c>
      <c r="S52" s="2"/>
      <c r="T52" s="6">
        <v>5000</v>
      </c>
      <c r="U52" s="2"/>
      <c r="V52" s="7">
        <f t="shared" si="21"/>
        <v>0</v>
      </c>
      <c r="W52" s="2"/>
      <c r="X52" s="6">
        <f t="shared" si="22"/>
        <v>20</v>
      </c>
      <c r="Y52" s="2"/>
      <c r="Z52" s="7">
        <f t="shared" si="23"/>
        <v>4.0000000000000001E-3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SUM(OSRRefD22_11x_0)</f>
        <v>2656.02</v>
      </c>
      <c r="E53" s="1"/>
      <c r="F53" s="5">
        <f t="shared" ref="F53:F56" si="24">IF(D$12=0,0,D53/D$12)</f>
        <v>0</v>
      </c>
      <c r="G53" s="1"/>
      <c r="H53" s="1">
        <f>SUM(OSRRefH22_11x_0)</f>
        <v>5396.17</v>
      </c>
      <c r="I53" s="1"/>
      <c r="J53" s="5">
        <f t="shared" ref="J53:J56" si="25">IF(H$12=0,0,H53/H$12)</f>
        <v>0</v>
      </c>
      <c r="K53" s="1"/>
      <c r="L53" s="1">
        <f t="shared" ref="L53:L56" si="26">+D53-H53</f>
        <v>-2740.15</v>
      </c>
      <c r="M53" s="1"/>
      <c r="N53" s="5">
        <f t="shared" ref="N53:N56" si="27">IF(H53=0,0,L53/H53)</f>
        <v>-0.50779534373453761</v>
      </c>
      <c r="O53" s="13"/>
      <c r="P53" s="1">
        <f>SUM(OSRRefP22_11x_0)</f>
        <v>17620.7</v>
      </c>
      <c r="Q53" s="1"/>
      <c r="R53" s="5">
        <f t="shared" ref="R53:R56" si="28">IF(P$12=0,0,P53/P$12)</f>
        <v>0</v>
      </c>
      <c r="S53" s="1"/>
      <c r="T53" s="1">
        <f>SUM(OSRRefT22_11x_0)</f>
        <v>20007.82</v>
      </c>
      <c r="U53" s="1"/>
      <c r="V53" s="5">
        <f t="shared" ref="V53:V56" si="29">IF(T$12=0,0,T53/T$12)</f>
        <v>0</v>
      </c>
      <c r="W53" s="1"/>
      <c r="X53" s="1">
        <f t="shared" ref="X53:X56" si="30">+P53-T53</f>
        <v>-2387.119999999999</v>
      </c>
      <c r="Y53" s="1"/>
      <c r="Z53" s="5">
        <f t="shared" ref="Z53:Z56" si="31">IF(T53=0,0,X53/T53)</f>
        <v>-0.11930935004413269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>
        <v>31.58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31.58</v>
      </c>
      <c r="Y54" s="2"/>
      <c r="Z54" s="7">
        <f t="shared" si="31"/>
        <v>0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>
        <v>2656.02</v>
      </c>
      <c r="E55" s="2"/>
      <c r="F55" s="7">
        <f t="shared" si="24"/>
        <v>0</v>
      </c>
      <c r="G55" s="2"/>
      <c r="H55" s="6">
        <v>3007.03</v>
      </c>
      <c r="I55" s="2"/>
      <c r="J55" s="7">
        <f t="shared" si="25"/>
        <v>0</v>
      </c>
      <c r="K55" s="2"/>
      <c r="L55" s="6">
        <f t="shared" si="26"/>
        <v>-351.01000000000022</v>
      </c>
      <c r="M55" s="2"/>
      <c r="N55" s="7">
        <f t="shared" si="27"/>
        <v>-0.11672979651017788</v>
      </c>
      <c r="O55" s="11"/>
      <c r="P55" s="6">
        <v>17064.129999999997</v>
      </c>
      <c r="Q55" s="2"/>
      <c r="R55" s="7">
        <f t="shared" si="28"/>
        <v>0</v>
      </c>
      <c r="S55" s="2"/>
      <c r="T55" s="6">
        <v>17483.919999999998</v>
      </c>
      <c r="U55" s="2"/>
      <c r="V55" s="7">
        <f t="shared" si="29"/>
        <v>0</v>
      </c>
      <c r="W55" s="2"/>
      <c r="X55" s="6">
        <f t="shared" si="30"/>
        <v>-419.79000000000087</v>
      </c>
      <c r="Y55" s="2"/>
      <c r="Z55" s="7">
        <f t="shared" si="31"/>
        <v>-2.4010061816800862E-2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24"/>
        <v>0</v>
      </c>
      <c r="G56" s="2"/>
      <c r="H56" s="6">
        <v>2389.14</v>
      </c>
      <c r="I56" s="2"/>
      <c r="J56" s="7">
        <f t="shared" si="25"/>
        <v>0</v>
      </c>
      <c r="K56" s="2"/>
      <c r="L56" s="6">
        <f t="shared" si="26"/>
        <v>-2389.14</v>
      </c>
      <c r="M56" s="2"/>
      <c r="N56" s="7">
        <f t="shared" si="27"/>
        <v>-1</v>
      </c>
      <c r="O56" s="11"/>
      <c r="P56" s="6">
        <v>524.99</v>
      </c>
      <c r="Q56" s="2"/>
      <c r="R56" s="7">
        <f t="shared" si="28"/>
        <v>0</v>
      </c>
      <c r="S56" s="2"/>
      <c r="T56" s="6">
        <v>2523.9</v>
      </c>
      <c r="U56" s="2"/>
      <c r="V56" s="7">
        <f t="shared" si="29"/>
        <v>0</v>
      </c>
      <c r="W56" s="2"/>
      <c r="X56" s="6">
        <f t="shared" si="30"/>
        <v>-1998.91</v>
      </c>
      <c r="Y56" s="2"/>
      <c r="Z56" s="7">
        <f t="shared" si="31"/>
        <v>-0.79199255121042833</v>
      </c>
    </row>
    <row r="57" spans="1:26" s="25" customFormat="1" outlineLevel="1" collapsed="1" x14ac:dyDescent="0.25">
      <c r="A57" s="27"/>
      <c r="B57" s="13" t="str">
        <f>CONCATENATE("     ","Subscriptions &amp; Dues                              ")</f>
        <v xml:space="preserve">     Subscriptions &amp; Dues                              </v>
      </c>
      <c r="C57" s="13"/>
      <c r="D57" s="1">
        <f>SUM(OSRRefD22_12x_0)</f>
        <v>0</v>
      </c>
      <c r="E57" s="1"/>
      <c r="F57" s="5">
        <f t="shared" ref="F57:F62" si="32">IF(D$12=0,0,D57/D$12)</f>
        <v>0</v>
      </c>
      <c r="G57" s="1"/>
      <c r="H57" s="1">
        <f>SUM(OSRRefH22_12x_0)</f>
        <v>0</v>
      </c>
      <c r="I57" s="1"/>
      <c r="J57" s="5">
        <f t="shared" ref="J57:J62" si="33">IF(H$12=0,0,H57/H$12)</f>
        <v>0</v>
      </c>
      <c r="K57" s="1"/>
      <c r="L57" s="1">
        <f t="shared" ref="L57:L62" si="34">+D57-H57</f>
        <v>0</v>
      </c>
      <c r="M57" s="1"/>
      <c r="N57" s="5">
        <f t="shared" ref="N57:N62" si="35">IF(H57=0,0,L57/H57)</f>
        <v>0</v>
      </c>
      <c r="O57" s="13"/>
      <c r="P57" s="1">
        <f>SUM(OSRRefP22_12x_0)</f>
        <v>1000</v>
      </c>
      <c r="Q57" s="1"/>
      <c r="R57" s="5">
        <f t="shared" ref="R57:R62" si="36">IF(P$12=0,0,P57/P$12)</f>
        <v>0</v>
      </c>
      <c r="S57" s="1"/>
      <c r="T57" s="1">
        <f>SUM(OSRRefT22_12x_0)</f>
        <v>1230</v>
      </c>
      <c r="U57" s="1"/>
      <c r="V57" s="5">
        <f t="shared" ref="V57:V62" si="37">IF(T$12=0,0,T57/T$12)</f>
        <v>0</v>
      </c>
      <c r="W57" s="1"/>
      <c r="X57" s="1">
        <f t="shared" ref="X57:X62" si="38">+P57-T57</f>
        <v>-230</v>
      </c>
      <c r="Y57" s="1"/>
      <c r="Z57" s="5">
        <f t="shared" ref="Z57:Z62" si="39">IF(T57=0,0,X57/T57)</f>
        <v>-0.18699186991869918</v>
      </c>
    </row>
    <row r="58" spans="1:26" s="24" customFormat="1" hidden="1" outlineLevel="2" x14ac:dyDescent="0.25">
      <c r="A58" s="26"/>
      <c r="B58" s="11" t="str">
        <f>CONCATENATE("          ", "6258", " - ", "MEMBERSHIP DUES")</f>
        <v xml:space="preserve">          6258 - MEMBERSHIP DUES</v>
      </c>
      <c r="C58" s="11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>
        <v>1000</v>
      </c>
      <c r="Q58" s="2"/>
      <c r="R58" s="7">
        <f t="shared" si="36"/>
        <v>0</v>
      </c>
      <c r="S58" s="2"/>
      <c r="T58" s="6">
        <v>1230</v>
      </c>
      <c r="U58" s="2"/>
      <c r="V58" s="7">
        <f t="shared" si="37"/>
        <v>0</v>
      </c>
      <c r="W58" s="2"/>
      <c r="X58" s="6">
        <f t="shared" si="38"/>
        <v>-230</v>
      </c>
      <c r="Y58" s="2"/>
      <c r="Z58" s="7">
        <f t="shared" si="39"/>
        <v>-0.18699186991869918</v>
      </c>
    </row>
    <row r="59" spans="1:26" s="25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SUM(OSRRefD22_13x_0)</f>
        <v>1263.8</v>
      </c>
      <c r="E59" s="1"/>
      <c r="F59" s="5">
        <f t="shared" si="32"/>
        <v>0</v>
      </c>
      <c r="G59" s="1"/>
      <c r="H59" s="1">
        <f>SUM(OSRRefH22_13x_0)</f>
        <v>158.14000000000001</v>
      </c>
      <c r="I59" s="1"/>
      <c r="J59" s="5">
        <f t="shared" si="33"/>
        <v>0</v>
      </c>
      <c r="K59" s="1"/>
      <c r="L59" s="1">
        <f t="shared" si="34"/>
        <v>1105.6599999999999</v>
      </c>
      <c r="M59" s="1"/>
      <c r="N59" s="5">
        <f t="shared" si="35"/>
        <v>6.99165296572657</v>
      </c>
      <c r="O59" s="13"/>
      <c r="P59" s="1">
        <f>SUM(OSRRefP22_13x_0)</f>
        <v>3140.1</v>
      </c>
      <c r="Q59" s="1"/>
      <c r="R59" s="5">
        <f t="shared" si="36"/>
        <v>0</v>
      </c>
      <c r="S59" s="1"/>
      <c r="T59" s="1">
        <f>SUM(OSRRefT22_13x_0)</f>
        <v>1495.09</v>
      </c>
      <c r="U59" s="1"/>
      <c r="V59" s="5">
        <f t="shared" si="37"/>
        <v>0</v>
      </c>
      <c r="W59" s="1"/>
      <c r="X59" s="1">
        <f t="shared" si="38"/>
        <v>1645.01</v>
      </c>
      <c r="Y59" s="1"/>
      <c r="Z59" s="5">
        <f t="shared" si="39"/>
        <v>1.1002748998388057</v>
      </c>
    </row>
    <row r="60" spans="1:26" s="24" customFormat="1" hidden="1" outlineLevel="2" x14ac:dyDescent="0.25">
      <c r="A60" s="26"/>
      <c r="B60" s="11" t="str">
        <f>CONCATENATE("          ", "6234", " - ", "EXPENDABLE SUPPLIES &amp; EQUIPMEN")</f>
        <v xml:space="preserve">          6234 - EXPENDABLE SUPPLIES &amp; EQUIPMEN</v>
      </c>
      <c r="C60" s="11"/>
      <c r="D60" s="6"/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1"/>
      <c r="P60" s="6">
        <v>217.02</v>
      </c>
      <c r="Q60" s="2"/>
      <c r="R60" s="7">
        <f t="shared" si="36"/>
        <v>0</v>
      </c>
      <c r="S60" s="2"/>
      <c r="T60" s="6">
        <v>517.49</v>
      </c>
      <c r="U60" s="2"/>
      <c r="V60" s="7">
        <f t="shared" si="37"/>
        <v>0</v>
      </c>
      <c r="W60" s="2"/>
      <c r="X60" s="6">
        <f t="shared" si="38"/>
        <v>-300.47000000000003</v>
      </c>
      <c r="Y60" s="2"/>
      <c r="Z60" s="7">
        <f t="shared" si="39"/>
        <v>-0.58062957738313792</v>
      </c>
    </row>
    <row r="61" spans="1:26" s="24" customFormat="1" hidden="1" outlineLevel="2" x14ac:dyDescent="0.25">
      <c r="A61" s="26"/>
      <c r="B61" s="11" t="str">
        <f>CONCATENATE("          ", "6241", " - ", "OFFICE EXPENSE")</f>
        <v xml:space="preserve">          6241 - OFFICE EXPENSE</v>
      </c>
      <c r="C61" s="11"/>
      <c r="D61" s="6">
        <v>1263.8</v>
      </c>
      <c r="E61" s="2"/>
      <c r="F61" s="7">
        <f t="shared" si="32"/>
        <v>0</v>
      </c>
      <c r="G61" s="2"/>
      <c r="H61" s="6">
        <v>136.09</v>
      </c>
      <c r="I61" s="2"/>
      <c r="J61" s="7">
        <f t="shared" si="33"/>
        <v>0</v>
      </c>
      <c r="K61" s="2"/>
      <c r="L61" s="6">
        <f t="shared" si="34"/>
        <v>1127.71</v>
      </c>
      <c r="M61" s="2"/>
      <c r="N61" s="7">
        <f t="shared" si="35"/>
        <v>8.2865015798368731</v>
      </c>
      <c r="O61" s="11"/>
      <c r="P61" s="6">
        <v>2891.22</v>
      </c>
      <c r="Q61" s="2"/>
      <c r="R61" s="7">
        <f t="shared" si="36"/>
        <v>0</v>
      </c>
      <c r="S61" s="2"/>
      <c r="T61" s="6">
        <v>857.65</v>
      </c>
      <c r="U61" s="2"/>
      <c r="V61" s="7">
        <f t="shared" si="37"/>
        <v>0</v>
      </c>
      <c r="W61" s="2"/>
      <c r="X61" s="6">
        <f t="shared" si="38"/>
        <v>2033.5699999999997</v>
      </c>
      <c r="Y61" s="2"/>
      <c r="Z61" s="7">
        <f t="shared" si="39"/>
        <v>2.3710954352008393</v>
      </c>
    </row>
    <row r="62" spans="1:26" s="24" customFormat="1" hidden="1" outlineLevel="2" x14ac:dyDescent="0.25">
      <c r="A62" s="26"/>
      <c r="B62" s="11" t="str">
        <f>CONCATENATE("          ", "6245", " - ", "PRINTING")</f>
        <v xml:space="preserve">          6245 - PRINTING</v>
      </c>
      <c r="C62" s="11"/>
      <c r="D62" s="6"/>
      <c r="E62" s="2"/>
      <c r="F62" s="7">
        <f t="shared" si="32"/>
        <v>0</v>
      </c>
      <c r="G62" s="2"/>
      <c r="H62" s="6">
        <v>22.05</v>
      </c>
      <c r="I62" s="2"/>
      <c r="J62" s="7">
        <f t="shared" si="33"/>
        <v>0</v>
      </c>
      <c r="K62" s="2"/>
      <c r="L62" s="6">
        <f t="shared" si="34"/>
        <v>-22.05</v>
      </c>
      <c r="M62" s="2"/>
      <c r="N62" s="7">
        <f t="shared" si="35"/>
        <v>-1</v>
      </c>
      <c r="O62" s="11"/>
      <c r="P62" s="6">
        <v>31.86</v>
      </c>
      <c r="Q62" s="2"/>
      <c r="R62" s="7">
        <f t="shared" si="36"/>
        <v>0</v>
      </c>
      <c r="S62" s="2"/>
      <c r="T62" s="6">
        <v>119.95</v>
      </c>
      <c r="U62" s="2"/>
      <c r="V62" s="7">
        <f t="shared" si="37"/>
        <v>0</v>
      </c>
      <c r="W62" s="2"/>
      <c r="X62" s="6">
        <f t="shared" si="38"/>
        <v>-88.09</v>
      </c>
      <c r="Y62" s="2"/>
      <c r="Z62" s="7">
        <f t="shared" si="39"/>
        <v>-0.73438932888703623</v>
      </c>
    </row>
    <row r="63" spans="1:26" s="25" customFormat="1" outlineLevel="1" collapsed="1" x14ac:dyDescent="0.25">
      <c r="A63" s="27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SUM(OSRRefD22_14x_0)</f>
        <v>240.1</v>
      </c>
      <c r="E63" s="1"/>
      <c r="F63" s="5">
        <f t="shared" ref="F63:F69" si="40">IF(D$12=0,0,D63/D$12)</f>
        <v>0</v>
      </c>
      <c r="G63" s="1"/>
      <c r="H63" s="1">
        <f>SUM(OSRRefH22_14x_0)</f>
        <v>92.87</v>
      </c>
      <c r="I63" s="1"/>
      <c r="J63" s="5">
        <f t="shared" ref="J63:J69" si="41">IF(H$12=0,0,H63/H$12)</f>
        <v>0</v>
      </c>
      <c r="K63" s="1"/>
      <c r="L63" s="1">
        <f t="shared" ref="L63:L69" si="42">+D63-H63</f>
        <v>147.22999999999999</v>
      </c>
      <c r="M63" s="1"/>
      <c r="N63" s="5">
        <f t="shared" ref="N63:N69" si="43">IF(H63=0,0,L63/H63)</f>
        <v>1.5853343383223859</v>
      </c>
      <c r="O63" s="13"/>
      <c r="P63" s="1">
        <f>SUM(OSRRefP22_14x_0)</f>
        <v>1402.48</v>
      </c>
      <c r="Q63" s="1"/>
      <c r="R63" s="5">
        <f t="shared" ref="R63:R69" si="44">IF(P$12=0,0,P63/P$12)</f>
        <v>0</v>
      </c>
      <c r="S63" s="1"/>
      <c r="T63" s="1">
        <f>SUM(OSRRefT22_14x_0)</f>
        <v>1631.37</v>
      </c>
      <c r="U63" s="1"/>
      <c r="V63" s="5">
        <f t="shared" ref="V63:V69" si="45">IF(T$12=0,0,T63/T$12)</f>
        <v>0</v>
      </c>
      <c r="W63" s="1"/>
      <c r="X63" s="1">
        <f t="shared" ref="X63:X69" si="46">+P63-T63</f>
        <v>-228.88999999999987</v>
      </c>
      <c r="Y63" s="1"/>
      <c r="Z63" s="5">
        <f t="shared" ref="Z63:Z69" si="47">IF(T63=0,0,X63/T63)</f>
        <v>-0.14030538749639868</v>
      </c>
    </row>
    <row r="64" spans="1:26" s="24" customFormat="1" hidden="1" outlineLevel="2" x14ac:dyDescent="0.25">
      <c r="A64" s="26"/>
      <c r="B64" s="11" t="str">
        <f>CONCATENATE("          ", "6309", " - ", "TELEPHONE")</f>
        <v xml:space="preserve">          6309 - TELEPHONE</v>
      </c>
      <c r="C64" s="11"/>
      <c r="D64" s="6">
        <v>240.1</v>
      </c>
      <c r="E64" s="2"/>
      <c r="F64" s="7">
        <f t="shared" si="40"/>
        <v>0</v>
      </c>
      <c r="G64" s="2"/>
      <c r="H64" s="6">
        <v>92.87</v>
      </c>
      <c r="I64" s="2"/>
      <c r="J64" s="7">
        <f t="shared" si="41"/>
        <v>0</v>
      </c>
      <c r="K64" s="2"/>
      <c r="L64" s="6">
        <f t="shared" si="42"/>
        <v>147.22999999999999</v>
      </c>
      <c r="M64" s="2"/>
      <c r="N64" s="7">
        <f t="shared" si="43"/>
        <v>1.5853343383223859</v>
      </c>
      <c r="O64" s="11"/>
      <c r="P64" s="6">
        <v>1402.48</v>
      </c>
      <c r="Q64" s="2"/>
      <c r="R64" s="7">
        <f t="shared" si="44"/>
        <v>0</v>
      </c>
      <c r="S64" s="2"/>
      <c r="T64" s="6">
        <v>1631.37</v>
      </c>
      <c r="U64" s="2"/>
      <c r="V64" s="7">
        <f t="shared" si="45"/>
        <v>0</v>
      </c>
      <c r="W64" s="2"/>
      <c r="X64" s="6">
        <f t="shared" si="46"/>
        <v>-228.88999999999987</v>
      </c>
      <c r="Y64" s="2"/>
      <c r="Z64" s="7">
        <f t="shared" si="47"/>
        <v>-0.14030538749639868</v>
      </c>
    </row>
    <row r="65" spans="1:26" s="25" customFormat="1" outlineLevel="1" collapsed="1" x14ac:dyDescent="0.25">
      <c r="A65" s="27"/>
      <c r="B65" s="13" t="str">
        <f>CONCATENATE("     ","Training                                          ")</f>
        <v xml:space="preserve">     Training                                          </v>
      </c>
      <c r="C65" s="13"/>
      <c r="D65" s="1">
        <f>SUM(OSRRefD22_15x_0)</f>
        <v>1399.92</v>
      </c>
      <c r="E65" s="1"/>
      <c r="F65" s="5">
        <f t="shared" si="40"/>
        <v>0</v>
      </c>
      <c r="G65" s="1"/>
      <c r="H65" s="1">
        <f>SUM(OSRRefH22_15x_0)</f>
        <v>0</v>
      </c>
      <c r="I65" s="1"/>
      <c r="J65" s="5">
        <f t="shared" si="41"/>
        <v>0</v>
      </c>
      <c r="K65" s="1"/>
      <c r="L65" s="1">
        <f t="shared" si="42"/>
        <v>1399.92</v>
      </c>
      <c r="M65" s="1"/>
      <c r="N65" s="5">
        <f t="shared" si="43"/>
        <v>0</v>
      </c>
      <c r="O65" s="13"/>
      <c r="P65" s="1">
        <f>SUM(OSRRefP22_15x_0)</f>
        <v>3313.92</v>
      </c>
      <c r="Q65" s="1"/>
      <c r="R65" s="5">
        <f t="shared" si="44"/>
        <v>0</v>
      </c>
      <c r="S65" s="1"/>
      <c r="T65" s="1">
        <f>SUM(OSRRefT22_15x_0)</f>
        <v>2225.4699999999998</v>
      </c>
      <c r="U65" s="1"/>
      <c r="V65" s="5">
        <f t="shared" si="45"/>
        <v>0</v>
      </c>
      <c r="W65" s="1"/>
      <c r="X65" s="1">
        <f t="shared" si="46"/>
        <v>1088.4500000000003</v>
      </c>
      <c r="Y65" s="1"/>
      <c r="Z65" s="5">
        <f t="shared" si="47"/>
        <v>0.48908769832889248</v>
      </c>
    </row>
    <row r="66" spans="1:26" s="24" customFormat="1" hidden="1" outlineLevel="2" x14ac:dyDescent="0.25">
      <c r="A66" s="26"/>
      <c r="B66" s="11" t="str">
        <f>CONCATENATE("          ", "6376", " - ", "TRAINING")</f>
        <v xml:space="preserve">          6376 - TRAINING</v>
      </c>
      <c r="C66" s="11"/>
      <c r="D66" s="6">
        <v>1399.92</v>
      </c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1399.92</v>
      </c>
      <c r="M66" s="2"/>
      <c r="N66" s="7">
        <f t="shared" si="43"/>
        <v>0</v>
      </c>
      <c r="O66" s="11"/>
      <c r="P66" s="6">
        <v>3313.92</v>
      </c>
      <c r="Q66" s="2"/>
      <c r="R66" s="7">
        <f t="shared" si="44"/>
        <v>0</v>
      </c>
      <c r="S66" s="2"/>
      <c r="T66" s="6">
        <v>2225.4699999999998</v>
      </c>
      <c r="U66" s="2"/>
      <c r="V66" s="7">
        <f t="shared" si="45"/>
        <v>0</v>
      </c>
      <c r="W66" s="2"/>
      <c r="X66" s="6">
        <f t="shared" si="46"/>
        <v>1088.4500000000003</v>
      </c>
      <c r="Y66" s="2"/>
      <c r="Z66" s="7">
        <f t="shared" si="47"/>
        <v>0.48908769832889248</v>
      </c>
    </row>
    <row r="67" spans="1:26" s="25" customFormat="1" outlineLevel="1" collapsed="1" x14ac:dyDescent="0.25">
      <c r="A67" s="27"/>
      <c r="B67" s="13" t="str">
        <f>CONCATENATE("     ","Travel                                            ")</f>
        <v xml:space="preserve">     Travel                                            </v>
      </c>
      <c r="C67" s="13"/>
      <c r="D67" s="1">
        <f>SUM(OSRRefD22_16x_0)</f>
        <v>417.93</v>
      </c>
      <c r="E67" s="1"/>
      <c r="F67" s="5">
        <f t="shared" si="40"/>
        <v>0</v>
      </c>
      <c r="G67" s="1"/>
      <c r="H67" s="1">
        <f>SUM(OSRRefH22_16x_0)</f>
        <v>363.69</v>
      </c>
      <c r="I67" s="1"/>
      <c r="J67" s="5">
        <f t="shared" si="41"/>
        <v>0</v>
      </c>
      <c r="K67" s="1"/>
      <c r="L67" s="1">
        <f t="shared" si="42"/>
        <v>54.240000000000009</v>
      </c>
      <c r="M67" s="1"/>
      <c r="N67" s="5">
        <f t="shared" si="43"/>
        <v>0.14913800214468367</v>
      </c>
      <c r="O67" s="13"/>
      <c r="P67" s="1">
        <f>SUM(OSRRefP22_16x_0)</f>
        <v>3615.35</v>
      </c>
      <c r="Q67" s="1"/>
      <c r="R67" s="5">
        <f t="shared" si="44"/>
        <v>0</v>
      </c>
      <c r="S67" s="1"/>
      <c r="T67" s="1">
        <f>SUM(OSRRefT22_16x_0)</f>
        <v>7110.97</v>
      </c>
      <c r="U67" s="1"/>
      <c r="V67" s="5">
        <f t="shared" si="45"/>
        <v>0</v>
      </c>
      <c r="W67" s="1"/>
      <c r="X67" s="1">
        <f t="shared" si="46"/>
        <v>-3495.6200000000003</v>
      </c>
      <c r="Y67" s="1"/>
      <c r="Z67" s="5">
        <f t="shared" si="47"/>
        <v>-0.49158131731676552</v>
      </c>
    </row>
    <row r="68" spans="1:26" s="24" customFormat="1" hidden="1" outlineLevel="2" x14ac:dyDescent="0.25">
      <c r="A68" s="26"/>
      <c r="B68" s="11" t="str">
        <f>CONCATENATE("          ", "6292", " - ", "TRAVEL/CONFERENCE")</f>
        <v xml:space="preserve">          6292 - TRAVEL/CONFERENCE</v>
      </c>
      <c r="C68" s="11"/>
      <c r="D68" s="6">
        <v>417.93</v>
      </c>
      <c r="E68" s="2"/>
      <c r="F68" s="7">
        <f t="shared" si="40"/>
        <v>0</v>
      </c>
      <c r="G68" s="2"/>
      <c r="H68" s="6">
        <v>363.69</v>
      </c>
      <c r="I68" s="2"/>
      <c r="J68" s="7">
        <f t="shared" si="41"/>
        <v>0</v>
      </c>
      <c r="K68" s="2"/>
      <c r="L68" s="6">
        <f t="shared" si="42"/>
        <v>54.240000000000009</v>
      </c>
      <c r="M68" s="2"/>
      <c r="N68" s="7">
        <f t="shared" si="43"/>
        <v>0.14913800214468367</v>
      </c>
      <c r="O68" s="11"/>
      <c r="P68" s="6">
        <v>3615.35</v>
      </c>
      <c r="Q68" s="2"/>
      <c r="R68" s="7">
        <f t="shared" si="44"/>
        <v>0</v>
      </c>
      <c r="S68" s="2"/>
      <c r="T68" s="6">
        <v>5736.54</v>
      </c>
      <c r="U68" s="2"/>
      <c r="V68" s="7">
        <f t="shared" si="45"/>
        <v>0</v>
      </c>
      <c r="W68" s="2"/>
      <c r="X68" s="6">
        <f t="shared" si="46"/>
        <v>-2121.19</v>
      </c>
      <c r="Y68" s="2"/>
      <c r="Z68" s="7">
        <f t="shared" si="47"/>
        <v>-0.36976818779264159</v>
      </c>
    </row>
    <row r="69" spans="1:26" s="24" customFormat="1" hidden="1" outlineLevel="2" x14ac:dyDescent="0.25">
      <c r="A69" s="26"/>
      <c r="B69" s="11" t="str">
        <f>CONCATENATE("          ", "6294", " - ", "TRAVEL OPERATIONAL")</f>
        <v xml:space="preserve">          6294 - TRAVEL OPERATIONAL</v>
      </c>
      <c r="C69" s="11"/>
      <c r="D69" s="6"/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/>
      <c r="Q69" s="2"/>
      <c r="R69" s="7">
        <f t="shared" si="44"/>
        <v>0</v>
      </c>
      <c r="S69" s="2"/>
      <c r="T69" s="6">
        <v>1374.43</v>
      </c>
      <c r="U69" s="2"/>
      <c r="V69" s="7">
        <f t="shared" si="45"/>
        <v>0</v>
      </c>
      <c r="W69" s="2"/>
      <c r="X69" s="6">
        <f t="shared" si="46"/>
        <v>-1374.43</v>
      </c>
      <c r="Y69" s="2"/>
      <c r="Z69" s="7">
        <f t="shared" si="47"/>
        <v>-1</v>
      </c>
    </row>
    <row r="70" spans="1:26" s="53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1">
        <f>+D16-D18+D71</f>
        <v>-55653.32</v>
      </c>
      <c r="E73" s="14"/>
      <c r="F73" s="20">
        <f>IF(D$12=0,0,D73/D$12)</f>
        <v>0</v>
      </c>
      <c r="G73" s="14"/>
      <c r="H73" s="21">
        <f>+H16-H18+H71</f>
        <v>-77734.5</v>
      </c>
      <c r="I73" s="14"/>
      <c r="J73" s="20">
        <f>IF(H$12=0,0,H73/H$12)</f>
        <v>0</v>
      </c>
      <c r="K73" s="15"/>
      <c r="L73" s="21">
        <f>+D73-H73</f>
        <v>22081.18</v>
      </c>
      <c r="M73" s="15"/>
      <c r="N73" s="20">
        <f>IF(H73=0,0,L73/H73)</f>
        <v>-0.28405894422682337</v>
      </c>
      <c r="O73" s="28"/>
      <c r="P73" s="21">
        <f>+P16-P18+P71</f>
        <v>-400662.36999999994</v>
      </c>
      <c r="Q73" s="14"/>
      <c r="R73" s="20">
        <f>IF(P$12=0,0,P73/P$12)</f>
        <v>0</v>
      </c>
      <c r="S73" s="14"/>
      <c r="T73" s="21">
        <f>+T16-T18+T71</f>
        <v>-390369.91999999993</v>
      </c>
      <c r="U73" s="14"/>
      <c r="V73" s="20">
        <f>IF(T$12=0,0,T73/T$12)</f>
        <v>0</v>
      </c>
      <c r="W73" s="15"/>
      <c r="X73" s="21">
        <f>+P73-T73</f>
        <v>-10292.450000000012</v>
      </c>
      <c r="Y73" s="15"/>
      <c r="Z73" s="20">
        <f>IF(T73=0,0,X73/T73)</f>
        <v>2.6365889052107329E-2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1">
        <f>+D73-D75</f>
        <v>-55653.32</v>
      </c>
      <c r="E77" s="14"/>
      <c r="F77" s="32">
        <f>IF(D$12=0,0,D77/D$12)</f>
        <v>0</v>
      </c>
      <c r="G77" s="14"/>
      <c r="H77" s="31">
        <f>+H73-H75</f>
        <v>-77734.5</v>
      </c>
      <c r="I77" s="14"/>
      <c r="J77" s="32">
        <f>IF(H$12=0,0,H77/H$12)</f>
        <v>0</v>
      </c>
      <c r="K77" s="15"/>
      <c r="L77" s="31">
        <f>D77-H77</f>
        <v>22081.18</v>
      </c>
      <c r="M77" s="15"/>
      <c r="N77" s="32">
        <f>IF(H77=0,0,L77/H77)</f>
        <v>-0.28405894422682337</v>
      </c>
      <c r="O77" s="28"/>
      <c r="P77" s="31">
        <f>+P73-P75</f>
        <v>-400662.36999999994</v>
      </c>
      <c r="Q77" s="14"/>
      <c r="R77" s="32">
        <f>IF(P$12=0,0,P77/P$12)</f>
        <v>0</v>
      </c>
      <c r="S77" s="14"/>
      <c r="T77" s="31">
        <f>+T73-T75</f>
        <v>-390369.91999999993</v>
      </c>
      <c r="U77" s="14"/>
      <c r="V77" s="32">
        <f>IF(T$12=0,0,T77/T$12)</f>
        <v>0</v>
      </c>
      <c r="W77" s="15"/>
      <c r="X77" s="31">
        <f>P77-T77</f>
        <v>-10292.450000000012</v>
      </c>
      <c r="Y77" s="15"/>
      <c r="Z77" s="32">
        <f>IF(T77=0,0,X77/T77)</f>
        <v>2.6365889052107329E-2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4">
        <f>SUM(D77:D79)</f>
        <v>-55653.32</v>
      </c>
      <c r="E80" s="14"/>
      <c r="F80" s="30">
        <f>IF(D$12=0,0,D80/D$12)</f>
        <v>0</v>
      </c>
      <c r="G80" s="14"/>
      <c r="H80" s="34">
        <f>SUM(H77:H79)</f>
        <v>-77734.5</v>
      </c>
      <c r="I80" s="14"/>
      <c r="J80" s="30">
        <f>IF(H$12=0,0,H80/H$12)</f>
        <v>0</v>
      </c>
      <c r="K80" s="15"/>
      <c r="L80" s="34">
        <f>+D80-H80</f>
        <v>22081.18</v>
      </c>
      <c r="M80" s="15"/>
      <c r="N80" s="30">
        <f>IF(H80=0,0,L80/H80)</f>
        <v>-0.28405894422682337</v>
      </c>
      <c r="O80" s="28"/>
      <c r="P80" s="34">
        <f>SUM(P77:P79)</f>
        <v>-400662.36999999994</v>
      </c>
      <c r="Q80" s="14"/>
      <c r="R80" s="30">
        <f>IF(P$12=0,0,P80/P$12)</f>
        <v>0</v>
      </c>
      <c r="S80" s="14"/>
      <c r="T80" s="34">
        <f>SUM(T77:T79)</f>
        <v>-390369.91999999993</v>
      </c>
      <c r="U80" s="14"/>
      <c r="V80" s="30">
        <f>IF(T$12=0,0,T80/T$12)</f>
        <v>0</v>
      </c>
      <c r="W80" s="15"/>
      <c r="X80" s="34">
        <f>+P80-T80</f>
        <v>-10292.450000000012</v>
      </c>
      <c r="Y80" s="15"/>
      <c r="Z80" s="30">
        <f>IF(T80=0,0,X80/T80)</f>
        <v>2.6365889052107329E-2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9">
        <v>43815.491521724536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62" t="s">
        <v>313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61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","202", " - ", "Accounting")</f>
        <v>Department 202 - Accounting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44835.369999999988</v>
      </c>
      <c r="E18" s="22"/>
      <c r="F18" s="33">
        <f t="shared" ref="F18:F27" si="0">IF(D$12=0,0,D18/D$12)</f>
        <v>0</v>
      </c>
      <c r="G18" s="22"/>
      <c r="H18" s="22">
        <f>SUM(OSRRefH22x_0)</f>
        <v>46536.260000000009</v>
      </c>
      <c r="I18" s="22"/>
      <c r="J18" s="33">
        <f t="shared" ref="J18:J27" si="1">IF(H$12=0,0,H18/H$12)</f>
        <v>0</v>
      </c>
      <c r="K18" s="4"/>
      <c r="L18" s="22">
        <f t="shared" ref="L18:L27" si="2">+D18-H18</f>
        <v>-1700.8900000000212</v>
      </c>
      <c r="M18" s="4"/>
      <c r="N18" s="33">
        <f t="shared" ref="N18:N27" si="3">IF(H18=0,0,L18/H18)</f>
        <v>-3.6549778602750216E-2</v>
      </c>
      <c r="O18" s="10"/>
      <c r="P18" s="22">
        <f>SUM(OSRRefP22x_0)</f>
        <v>259130.04999999996</v>
      </c>
      <c r="Q18" s="22"/>
      <c r="R18" s="33">
        <f t="shared" ref="R18:R27" si="4">IF(P$12=0,0,P18/P$12)</f>
        <v>0</v>
      </c>
      <c r="S18" s="22"/>
      <c r="T18" s="22">
        <f>SUM(OSRRefT22x_0)</f>
        <v>252629.03000000003</v>
      </c>
      <c r="U18" s="22"/>
      <c r="V18" s="33">
        <f t="shared" ref="V18:V27" si="5">IF(T$12=0,0,T18/T$12)</f>
        <v>0</v>
      </c>
      <c r="W18" s="4"/>
      <c r="X18" s="22">
        <f t="shared" ref="X18:X27" si="6">+P18-T18</f>
        <v>6501.0199999999313</v>
      </c>
      <c r="Y18" s="4"/>
      <c r="Z18" s="33">
        <f t="shared" ref="Z18:Z27" si="7">IF(T18=0,0,X18/T18)</f>
        <v>2.5733463806593925E-2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14248.290000000003</v>
      </c>
      <c r="E19" s="1"/>
      <c r="F19" s="5">
        <f t="shared" si="0"/>
        <v>0</v>
      </c>
      <c r="G19" s="1"/>
      <c r="H19" s="1">
        <f>SUM(OSRRefH22_0x_0)</f>
        <v>14589.360000000002</v>
      </c>
      <c r="I19" s="1"/>
      <c r="J19" s="5">
        <f t="shared" si="1"/>
        <v>0</v>
      </c>
      <c r="K19" s="1"/>
      <c r="L19" s="1">
        <f t="shared" si="2"/>
        <v>-341.06999999999971</v>
      </c>
      <c r="M19" s="1"/>
      <c r="N19" s="5">
        <f t="shared" si="3"/>
        <v>-2.3377996019016575E-2</v>
      </c>
      <c r="O19" s="13"/>
      <c r="P19" s="1">
        <f>SUM(OSRRefP22_0x_0)</f>
        <v>80468.309999999983</v>
      </c>
      <c r="Q19" s="1"/>
      <c r="R19" s="5">
        <f t="shared" si="4"/>
        <v>0</v>
      </c>
      <c r="S19" s="1"/>
      <c r="T19" s="1">
        <f>SUM(OSRRefT22_0x_0)</f>
        <v>83242.19</v>
      </c>
      <c r="U19" s="1"/>
      <c r="V19" s="5">
        <f t="shared" si="5"/>
        <v>0</v>
      </c>
      <c r="W19" s="1"/>
      <c r="X19" s="1">
        <f t="shared" si="6"/>
        <v>-2773.8800000000192</v>
      </c>
      <c r="Y19" s="1"/>
      <c r="Z19" s="5">
        <f t="shared" si="7"/>
        <v>-3.3323006038164293E-2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2035.18</v>
      </c>
      <c r="E20" s="2"/>
      <c r="F20" s="7">
        <f t="shared" si="0"/>
        <v>0</v>
      </c>
      <c r="G20" s="2"/>
      <c r="H20" s="6">
        <v>1962.94</v>
      </c>
      <c r="I20" s="2"/>
      <c r="J20" s="7">
        <f t="shared" si="1"/>
        <v>0</v>
      </c>
      <c r="K20" s="2"/>
      <c r="L20" s="6">
        <f t="shared" si="2"/>
        <v>72.240000000000009</v>
      </c>
      <c r="M20" s="2"/>
      <c r="N20" s="7">
        <f t="shared" si="3"/>
        <v>3.6801939947222029E-2</v>
      </c>
      <c r="O20" s="11"/>
      <c r="P20" s="6">
        <v>13375.49</v>
      </c>
      <c r="Q20" s="2"/>
      <c r="R20" s="7">
        <f t="shared" si="4"/>
        <v>0</v>
      </c>
      <c r="S20" s="2"/>
      <c r="T20" s="6">
        <v>12818.02</v>
      </c>
      <c r="U20" s="2"/>
      <c r="V20" s="7">
        <f t="shared" si="5"/>
        <v>0</v>
      </c>
      <c r="W20" s="2"/>
      <c r="X20" s="6">
        <f t="shared" si="6"/>
        <v>557.46999999999935</v>
      </c>
      <c r="Y20" s="2"/>
      <c r="Z20" s="7">
        <f t="shared" si="7"/>
        <v>4.3491116412675231E-2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106.38</v>
      </c>
      <c r="E21" s="2"/>
      <c r="F21" s="7">
        <f t="shared" si="0"/>
        <v>0</v>
      </c>
      <c r="G21" s="2"/>
      <c r="H21" s="6">
        <v>92.14</v>
      </c>
      <c r="I21" s="2"/>
      <c r="J21" s="7">
        <f t="shared" si="1"/>
        <v>0</v>
      </c>
      <c r="K21" s="2"/>
      <c r="L21" s="6">
        <f t="shared" si="2"/>
        <v>14.239999999999995</v>
      </c>
      <c r="M21" s="2"/>
      <c r="N21" s="7">
        <f t="shared" si="3"/>
        <v>0.15454742782721939</v>
      </c>
      <c r="O21" s="11"/>
      <c r="P21" s="6">
        <v>422.01</v>
      </c>
      <c r="Q21" s="2"/>
      <c r="R21" s="7">
        <f t="shared" si="4"/>
        <v>0</v>
      </c>
      <c r="S21" s="2"/>
      <c r="T21" s="6">
        <v>558.33000000000004</v>
      </c>
      <c r="U21" s="2"/>
      <c r="V21" s="7">
        <f t="shared" si="5"/>
        <v>0</v>
      </c>
      <c r="W21" s="2"/>
      <c r="X21" s="6">
        <f t="shared" si="6"/>
        <v>-136.32000000000005</v>
      </c>
      <c r="Y21" s="2"/>
      <c r="Z21" s="7">
        <f t="shared" si="7"/>
        <v>-0.24415668153242714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5942.02</v>
      </c>
      <c r="E22" s="2"/>
      <c r="F22" s="7">
        <f t="shared" si="0"/>
        <v>0</v>
      </c>
      <c r="G22" s="2"/>
      <c r="H22" s="6">
        <v>6952.65</v>
      </c>
      <c r="I22" s="2"/>
      <c r="J22" s="7">
        <f t="shared" si="1"/>
        <v>0</v>
      </c>
      <c r="K22" s="2"/>
      <c r="L22" s="6">
        <f t="shared" si="2"/>
        <v>-1010.6299999999992</v>
      </c>
      <c r="M22" s="2"/>
      <c r="N22" s="7">
        <f t="shared" si="3"/>
        <v>-0.14535896384831673</v>
      </c>
      <c r="O22" s="11"/>
      <c r="P22" s="6">
        <v>29710.099999999995</v>
      </c>
      <c r="Q22" s="2"/>
      <c r="R22" s="7">
        <f t="shared" si="4"/>
        <v>0</v>
      </c>
      <c r="S22" s="2"/>
      <c r="T22" s="6">
        <v>30410.499999999996</v>
      </c>
      <c r="U22" s="2"/>
      <c r="V22" s="7">
        <f t="shared" si="5"/>
        <v>0</v>
      </c>
      <c r="W22" s="2"/>
      <c r="X22" s="6">
        <f t="shared" si="6"/>
        <v>-700.40000000000146</v>
      </c>
      <c r="Y22" s="2"/>
      <c r="Z22" s="7">
        <f t="shared" si="7"/>
        <v>-2.3031518718863601E-2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81.349999999999994</v>
      </c>
      <c r="E23" s="2"/>
      <c r="F23" s="7">
        <f t="shared" si="0"/>
        <v>0</v>
      </c>
      <c r="G23" s="2"/>
      <c r="H23" s="6">
        <v>77.28</v>
      </c>
      <c r="I23" s="2"/>
      <c r="J23" s="7">
        <f t="shared" si="1"/>
        <v>0</v>
      </c>
      <c r="K23" s="2"/>
      <c r="L23" s="6">
        <f t="shared" si="2"/>
        <v>4.0699999999999932</v>
      </c>
      <c r="M23" s="2"/>
      <c r="N23" s="7">
        <f t="shared" si="3"/>
        <v>5.2665631469979206E-2</v>
      </c>
      <c r="O23" s="11"/>
      <c r="P23" s="6">
        <v>463.47</v>
      </c>
      <c r="Q23" s="2"/>
      <c r="R23" s="7">
        <f t="shared" si="4"/>
        <v>0</v>
      </c>
      <c r="S23" s="2"/>
      <c r="T23" s="6">
        <v>468.28</v>
      </c>
      <c r="U23" s="2"/>
      <c r="V23" s="7">
        <f t="shared" si="5"/>
        <v>0</v>
      </c>
      <c r="W23" s="2"/>
      <c r="X23" s="6">
        <f t="shared" si="6"/>
        <v>-4.8099999999999454</v>
      </c>
      <c r="Y23" s="2"/>
      <c r="Z23" s="7">
        <f t="shared" si="7"/>
        <v>-1.0271632356709545E-2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2196.79</v>
      </c>
      <c r="E24" s="2"/>
      <c r="F24" s="7">
        <f t="shared" si="0"/>
        <v>0</v>
      </c>
      <c r="G24" s="2"/>
      <c r="H24" s="6">
        <v>1978.45</v>
      </c>
      <c r="I24" s="2"/>
      <c r="J24" s="7">
        <f t="shared" si="1"/>
        <v>0</v>
      </c>
      <c r="K24" s="2"/>
      <c r="L24" s="6">
        <f t="shared" si="2"/>
        <v>218.33999999999992</v>
      </c>
      <c r="M24" s="2"/>
      <c r="N24" s="7">
        <f t="shared" si="3"/>
        <v>0.11035911951274983</v>
      </c>
      <c r="O24" s="11"/>
      <c r="P24" s="6">
        <v>12211.74</v>
      </c>
      <c r="Q24" s="2"/>
      <c r="R24" s="7">
        <f t="shared" si="4"/>
        <v>0</v>
      </c>
      <c r="S24" s="2"/>
      <c r="T24" s="6">
        <v>11673.98</v>
      </c>
      <c r="U24" s="2"/>
      <c r="V24" s="7">
        <f t="shared" si="5"/>
        <v>0</v>
      </c>
      <c r="W24" s="2"/>
      <c r="X24" s="6">
        <f t="shared" si="6"/>
        <v>537.76000000000022</v>
      </c>
      <c r="Y24" s="2"/>
      <c r="Z24" s="7">
        <f t="shared" si="7"/>
        <v>4.6064838212846022E-2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1866.76</v>
      </c>
      <c r="E25" s="2"/>
      <c r="F25" s="7">
        <f t="shared" si="0"/>
        <v>0</v>
      </c>
      <c r="G25" s="2"/>
      <c r="H25" s="6">
        <v>1692.46</v>
      </c>
      <c r="I25" s="2"/>
      <c r="J25" s="7">
        <f t="shared" si="1"/>
        <v>0</v>
      </c>
      <c r="K25" s="2"/>
      <c r="L25" s="6">
        <f t="shared" si="2"/>
        <v>174.29999999999995</v>
      </c>
      <c r="M25" s="2"/>
      <c r="N25" s="7">
        <f t="shared" si="3"/>
        <v>0.10298618578873353</v>
      </c>
      <c r="O25" s="11"/>
      <c r="P25" s="6">
        <v>11141.6</v>
      </c>
      <c r="Q25" s="2"/>
      <c r="R25" s="7">
        <f t="shared" si="4"/>
        <v>0</v>
      </c>
      <c r="S25" s="2"/>
      <c r="T25" s="6">
        <v>11185.24</v>
      </c>
      <c r="U25" s="2"/>
      <c r="V25" s="7">
        <f t="shared" si="5"/>
        <v>0</v>
      </c>
      <c r="W25" s="2"/>
      <c r="X25" s="6">
        <f t="shared" si="6"/>
        <v>-43.639999999999418</v>
      </c>
      <c r="Y25" s="2"/>
      <c r="Z25" s="7">
        <f t="shared" si="7"/>
        <v>-3.9015702836952466E-3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1152.2</v>
      </c>
      <c r="E26" s="2"/>
      <c r="F26" s="7">
        <f t="shared" si="0"/>
        <v>0</v>
      </c>
      <c r="G26" s="2"/>
      <c r="H26" s="6">
        <v>1104.42</v>
      </c>
      <c r="I26" s="2"/>
      <c r="J26" s="7">
        <f t="shared" si="1"/>
        <v>0</v>
      </c>
      <c r="K26" s="2"/>
      <c r="L26" s="6">
        <f t="shared" si="2"/>
        <v>47.779999999999973</v>
      </c>
      <c r="M26" s="2"/>
      <c r="N26" s="7">
        <f t="shared" si="3"/>
        <v>4.3262526937215884E-2</v>
      </c>
      <c r="O26" s="11"/>
      <c r="P26" s="6">
        <v>9119.81</v>
      </c>
      <c r="Q26" s="2"/>
      <c r="R26" s="7">
        <f t="shared" si="4"/>
        <v>0</v>
      </c>
      <c r="S26" s="2"/>
      <c r="T26" s="6">
        <v>12424.41</v>
      </c>
      <c r="U26" s="2"/>
      <c r="V26" s="7">
        <f t="shared" si="5"/>
        <v>0</v>
      </c>
      <c r="W26" s="2"/>
      <c r="X26" s="6">
        <f t="shared" si="6"/>
        <v>-3304.6000000000004</v>
      </c>
      <c r="Y26" s="2"/>
      <c r="Z26" s="7">
        <f t="shared" si="7"/>
        <v>-0.26597641256204524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867.61</v>
      </c>
      <c r="E27" s="2"/>
      <c r="F27" s="7">
        <f t="shared" si="0"/>
        <v>0</v>
      </c>
      <c r="G27" s="2"/>
      <c r="H27" s="6">
        <v>729.02</v>
      </c>
      <c r="I27" s="2"/>
      <c r="J27" s="7">
        <f t="shared" si="1"/>
        <v>0</v>
      </c>
      <c r="K27" s="2"/>
      <c r="L27" s="6">
        <f t="shared" si="2"/>
        <v>138.59000000000003</v>
      </c>
      <c r="M27" s="2"/>
      <c r="N27" s="7">
        <f t="shared" si="3"/>
        <v>0.19010452388137505</v>
      </c>
      <c r="O27" s="11"/>
      <c r="P27" s="6">
        <v>4024.09</v>
      </c>
      <c r="Q27" s="2"/>
      <c r="R27" s="7">
        <f t="shared" si="4"/>
        <v>0</v>
      </c>
      <c r="S27" s="2"/>
      <c r="T27" s="6">
        <v>3703.43</v>
      </c>
      <c r="U27" s="2"/>
      <c r="V27" s="7">
        <f t="shared" si="5"/>
        <v>0</v>
      </c>
      <c r="W27" s="2"/>
      <c r="X27" s="6">
        <f t="shared" si="6"/>
        <v>320.66000000000031</v>
      </c>
      <c r="Y27" s="2"/>
      <c r="Z27" s="7">
        <f t="shared" si="7"/>
        <v>8.658459860183676E-2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27514.3</v>
      </c>
      <c r="E28" s="1"/>
      <c r="F28" s="5">
        <f t="shared" ref="F28:F32" si="8">IF(D$12=0,0,D28/D$12)</f>
        <v>0</v>
      </c>
      <c r="G28" s="1"/>
      <c r="H28" s="1">
        <f>SUM(OSRRefH22_1x_0)</f>
        <v>27787.490000000005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-273.19000000000597</v>
      </c>
      <c r="M28" s="1"/>
      <c r="N28" s="5">
        <f t="shared" ref="N28:N32" si="11">IF(H28=0,0,L28/H28)</f>
        <v>-9.8314025484131859E-3</v>
      </c>
      <c r="O28" s="13"/>
      <c r="P28" s="1">
        <f>SUM(OSRRefP22_1x_0)</f>
        <v>155797.57999999999</v>
      </c>
      <c r="Q28" s="1"/>
      <c r="R28" s="5">
        <f t="shared" ref="R28:R32" si="12">IF(P$12=0,0,P28/P$12)</f>
        <v>0</v>
      </c>
      <c r="S28" s="1"/>
      <c r="T28" s="1">
        <f>SUM(OSRRefT22_1x_0)</f>
        <v>147316.44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8481.1399999999849</v>
      </c>
      <c r="Y28" s="1"/>
      <c r="Z28" s="5">
        <f t="shared" ref="Z28:Z32" si="15">IF(T28=0,0,X28/T28)</f>
        <v>5.7570899758370382E-2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6">
        <v>22187.53</v>
      </c>
      <c r="E29" s="2"/>
      <c r="F29" s="7">
        <f t="shared" si="8"/>
        <v>0</v>
      </c>
      <c r="G29" s="2"/>
      <c r="H29" s="6">
        <v>22255.030000000002</v>
      </c>
      <c r="I29" s="2"/>
      <c r="J29" s="7">
        <f t="shared" si="9"/>
        <v>0</v>
      </c>
      <c r="K29" s="2"/>
      <c r="L29" s="6">
        <f t="shared" si="10"/>
        <v>-67.500000000003638</v>
      </c>
      <c r="M29" s="2"/>
      <c r="N29" s="7">
        <f t="shared" si="11"/>
        <v>-3.0330221976786207E-3</v>
      </c>
      <c r="O29" s="11"/>
      <c r="P29" s="6">
        <v>125644.87999999999</v>
      </c>
      <c r="Q29" s="2"/>
      <c r="R29" s="7">
        <f t="shared" si="12"/>
        <v>0</v>
      </c>
      <c r="S29" s="2"/>
      <c r="T29" s="6">
        <v>116659.37999999999</v>
      </c>
      <c r="U29" s="2"/>
      <c r="V29" s="7">
        <f t="shared" si="13"/>
        <v>0</v>
      </c>
      <c r="W29" s="2"/>
      <c r="X29" s="6">
        <f t="shared" si="14"/>
        <v>8985.5</v>
      </c>
      <c r="Y29" s="2"/>
      <c r="Z29" s="7">
        <f t="shared" si="15"/>
        <v>7.7023382088949904E-2</v>
      </c>
    </row>
    <row r="30" spans="1:26" s="24" customFormat="1" hidden="1" outlineLevel="2" x14ac:dyDescent="0.25">
      <c r="A30" s="26"/>
      <c r="B30" s="11" t="str">
        <f>CONCATENATE("          ", "6005", " - ", "TEMPORARY WAGES-HOURLY")</f>
        <v xml:space="preserve">          6005 - TEMPORARY WAGES-HOURLY</v>
      </c>
      <c r="C30" s="11"/>
      <c r="D30" s="6">
        <v>1665.77</v>
      </c>
      <c r="E30" s="2"/>
      <c r="F30" s="7">
        <f t="shared" si="8"/>
        <v>0</v>
      </c>
      <c r="G30" s="2"/>
      <c r="H30" s="6">
        <v>1766.45</v>
      </c>
      <c r="I30" s="2"/>
      <c r="J30" s="7">
        <f t="shared" si="9"/>
        <v>0</v>
      </c>
      <c r="K30" s="2"/>
      <c r="L30" s="6">
        <f t="shared" si="10"/>
        <v>-100.68000000000006</v>
      </c>
      <c r="M30" s="2"/>
      <c r="N30" s="7">
        <f t="shared" si="11"/>
        <v>-5.6995669280194776E-2</v>
      </c>
      <c r="O30" s="11"/>
      <c r="P30" s="6">
        <v>11904.45</v>
      </c>
      <c r="Q30" s="2"/>
      <c r="R30" s="7">
        <f t="shared" si="12"/>
        <v>0</v>
      </c>
      <c r="S30" s="2"/>
      <c r="T30" s="6">
        <v>10959.2</v>
      </c>
      <c r="U30" s="2"/>
      <c r="V30" s="7">
        <f t="shared" si="13"/>
        <v>0</v>
      </c>
      <c r="W30" s="2"/>
      <c r="X30" s="6">
        <f t="shared" si="14"/>
        <v>945.25</v>
      </c>
      <c r="Y30" s="2"/>
      <c r="Z30" s="7">
        <f t="shared" si="15"/>
        <v>8.6251733703190003E-2</v>
      </c>
    </row>
    <row r="31" spans="1:26" s="24" customFormat="1" hidden="1" outlineLevel="2" x14ac:dyDescent="0.25">
      <c r="A31" s="26"/>
      <c r="B31" s="11" t="str">
        <f>CONCATENATE("          ", "6007", " - ", "STUDENT HOURLY")</f>
        <v xml:space="preserve">          6007 - STUDENT HOURLY</v>
      </c>
      <c r="C31" s="11"/>
      <c r="D31" s="6">
        <v>3181</v>
      </c>
      <c r="E31" s="2"/>
      <c r="F31" s="7">
        <f t="shared" si="8"/>
        <v>0</v>
      </c>
      <c r="G31" s="2"/>
      <c r="H31" s="6">
        <v>3766.01</v>
      </c>
      <c r="I31" s="2"/>
      <c r="J31" s="7">
        <f t="shared" si="9"/>
        <v>0</v>
      </c>
      <c r="K31" s="2"/>
      <c r="L31" s="6">
        <f t="shared" si="10"/>
        <v>-585.01000000000022</v>
      </c>
      <c r="M31" s="2"/>
      <c r="N31" s="7">
        <f t="shared" si="11"/>
        <v>-0.15533947068648257</v>
      </c>
      <c r="O31" s="11"/>
      <c r="P31" s="6">
        <v>15743.249999999998</v>
      </c>
      <c r="Q31" s="2"/>
      <c r="R31" s="7">
        <f t="shared" si="12"/>
        <v>0</v>
      </c>
      <c r="S31" s="2"/>
      <c r="T31" s="6">
        <v>19697.86</v>
      </c>
      <c r="U31" s="2"/>
      <c r="V31" s="7">
        <f t="shared" si="13"/>
        <v>0</v>
      </c>
      <c r="W31" s="2"/>
      <c r="X31" s="6">
        <f t="shared" si="14"/>
        <v>-3954.6100000000024</v>
      </c>
      <c r="Y31" s="2"/>
      <c r="Z31" s="7">
        <f t="shared" si="15"/>
        <v>-0.20076343318512785</v>
      </c>
    </row>
    <row r="32" spans="1:26" s="24" customFormat="1" hidden="1" outlineLevel="2" x14ac:dyDescent="0.25">
      <c r="A32" s="26"/>
      <c r="B32" s="11" t="str">
        <f>CONCATENATE("          ", "6008", " - ", "STUDENT HOURLY-FICA EXEMPT")</f>
        <v xml:space="preserve">          6008 - STUDENT HOURLY-FICA EXEMPT</v>
      </c>
      <c r="C32" s="11"/>
      <c r="D32" s="6">
        <v>480</v>
      </c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480</v>
      </c>
      <c r="M32" s="2"/>
      <c r="N32" s="7">
        <f t="shared" si="11"/>
        <v>0</v>
      </c>
      <c r="O32" s="11"/>
      <c r="P32" s="6">
        <v>2505</v>
      </c>
      <c r="Q32" s="2"/>
      <c r="R32" s="7">
        <f t="shared" si="12"/>
        <v>0</v>
      </c>
      <c r="S32" s="2"/>
      <c r="T32" s="6"/>
      <c r="U32" s="2"/>
      <c r="V32" s="7">
        <f t="shared" si="13"/>
        <v>0</v>
      </c>
      <c r="W32" s="2"/>
      <c r="X32" s="6">
        <f t="shared" si="14"/>
        <v>2505</v>
      </c>
      <c r="Y32" s="2"/>
      <c r="Z32" s="7">
        <f t="shared" si="15"/>
        <v>0</v>
      </c>
    </row>
    <row r="33" spans="1:26" s="25" customFormat="1" outlineLevel="1" collapsed="1" x14ac:dyDescent="0.25">
      <c r="A33" s="27"/>
      <c r="B33" s="13" t="str">
        <f>CONCATENATE("     ","Advertising/Promo                                 ")</f>
        <v xml:space="preserve">     Advertising/Promo                                 </v>
      </c>
      <c r="C33" s="13"/>
      <c r="D33" s="1">
        <f>SUM(OSRRefD22_2x_0)</f>
        <v>0</v>
      </c>
      <c r="E33" s="1"/>
      <c r="F33" s="5">
        <f t="shared" ref="F33:F50" si="16">IF(D$12=0,0,D33/D$12)</f>
        <v>0</v>
      </c>
      <c r="G33" s="1"/>
      <c r="H33" s="1">
        <f>SUM(OSRRefH22_2x_0)</f>
        <v>0</v>
      </c>
      <c r="I33" s="1"/>
      <c r="J33" s="5">
        <f t="shared" ref="J33:J50" si="17">IF(H$12=0,0,H33/H$12)</f>
        <v>0</v>
      </c>
      <c r="K33" s="1"/>
      <c r="L33" s="1">
        <f t="shared" ref="L33:L50" si="18">+D33-H33</f>
        <v>0</v>
      </c>
      <c r="M33" s="1"/>
      <c r="N33" s="5">
        <f t="shared" ref="N33:N50" si="19">IF(H33=0,0,L33/H33)</f>
        <v>0</v>
      </c>
      <c r="O33" s="13"/>
      <c r="P33" s="1">
        <f>SUM(OSRRefP22_2x_0)</f>
        <v>0</v>
      </c>
      <c r="Q33" s="1"/>
      <c r="R33" s="5">
        <f t="shared" ref="R33:R50" si="20">IF(P$12=0,0,P33/P$12)</f>
        <v>0</v>
      </c>
      <c r="S33" s="1"/>
      <c r="T33" s="1">
        <f>SUM(OSRRefT22_2x_0)</f>
        <v>389</v>
      </c>
      <c r="U33" s="1"/>
      <c r="V33" s="5">
        <f t="shared" ref="V33:V50" si="21">IF(T$12=0,0,T33/T$12)</f>
        <v>0</v>
      </c>
      <c r="W33" s="1"/>
      <c r="X33" s="1">
        <f t="shared" ref="X33:X50" si="22">+P33-T33</f>
        <v>-389</v>
      </c>
      <c r="Y33" s="1"/>
      <c r="Z33" s="5">
        <f t="shared" ref="Z33:Z50" si="23">IF(T33=0,0,X33/T33)</f>
        <v>-1</v>
      </c>
    </row>
    <row r="34" spans="1:26" s="24" customFormat="1" hidden="1" outlineLevel="2" x14ac:dyDescent="0.25">
      <c r="A34" s="26"/>
      <c r="B34" s="11" t="str">
        <f>CONCATENATE("          ", "6362", " - ", "ADVERTISING EXPENSE")</f>
        <v xml:space="preserve">          6362 - ADVERTISING EXPENSE</v>
      </c>
      <c r="C34" s="11"/>
      <c r="D34" s="6"/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389</v>
      </c>
      <c r="U34" s="2"/>
      <c r="V34" s="7">
        <f t="shared" si="21"/>
        <v>0</v>
      </c>
      <c r="W34" s="2"/>
      <c r="X34" s="6">
        <f t="shared" si="22"/>
        <v>-389</v>
      </c>
      <c r="Y34" s="2"/>
      <c r="Z34" s="7">
        <f t="shared" si="23"/>
        <v>-1</v>
      </c>
    </row>
    <row r="35" spans="1:26" s="25" customFormat="1" outlineLevel="1" collapsed="1" x14ac:dyDescent="0.25">
      <c r="A35" s="27"/>
      <c r="B35" s="13" t="str">
        <f>CONCATENATE("     ","Depreciation                                      ")</f>
        <v xml:space="preserve">     Depreciation                                      </v>
      </c>
      <c r="C35" s="13"/>
      <c r="D35" s="1">
        <f>SUM(OSRRefD22_3x_0)</f>
        <v>1558.88</v>
      </c>
      <c r="E35" s="1"/>
      <c r="F35" s="5">
        <f t="shared" si="16"/>
        <v>0</v>
      </c>
      <c r="G35" s="1"/>
      <c r="H35" s="1">
        <f>SUM(OSRRefH22_3x_0)</f>
        <v>1558.88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3"/>
      <c r="P35" s="1">
        <f>SUM(OSRRefP22_3x_0)</f>
        <v>7794.4</v>
      </c>
      <c r="Q35" s="1"/>
      <c r="R35" s="5">
        <f t="shared" si="20"/>
        <v>0</v>
      </c>
      <c r="S35" s="1"/>
      <c r="T35" s="1">
        <f>SUM(OSRRefT22_3x_0)</f>
        <v>7794.4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6"/>
      <c r="B36" s="11" t="str">
        <f>CONCATENATE("          ", "6322", " - ", "EQUIPMENT DEPRECIATION EXPENSE")</f>
        <v xml:space="preserve">          6322 - EQUIPMENT DEPRECIATION EXPENSE</v>
      </c>
      <c r="C36" s="11"/>
      <c r="D36" s="6">
        <v>1558.88</v>
      </c>
      <c r="E36" s="2"/>
      <c r="F36" s="7">
        <f t="shared" si="16"/>
        <v>0</v>
      </c>
      <c r="G36" s="2"/>
      <c r="H36" s="6">
        <v>1558.88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7794.4</v>
      </c>
      <c r="Q36" s="2"/>
      <c r="R36" s="7">
        <f t="shared" si="20"/>
        <v>0</v>
      </c>
      <c r="S36" s="2"/>
      <c r="T36" s="6">
        <v>7794.4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5" customFormat="1" outlineLevel="1" collapsed="1" x14ac:dyDescent="0.25">
      <c r="A37" s="27"/>
      <c r="B37" s="13" t="str">
        <f>CONCATENATE("     ","Equipment Rental                                  ")</f>
        <v xml:space="preserve">     Equipment Rental                                  </v>
      </c>
      <c r="C37" s="13"/>
      <c r="D37" s="1">
        <f>SUM(OSRRefD22_4x_0)</f>
        <v>91.26</v>
      </c>
      <c r="E37" s="1"/>
      <c r="F37" s="5">
        <f t="shared" si="16"/>
        <v>0</v>
      </c>
      <c r="G37" s="1"/>
      <c r="H37" s="1">
        <f>SUM(OSRRefH22_4x_0)</f>
        <v>91.26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3"/>
      <c r="P37" s="1">
        <f>SUM(OSRRefP22_4x_0)</f>
        <v>547.55999999999995</v>
      </c>
      <c r="Q37" s="1"/>
      <c r="R37" s="5">
        <f t="shared" si="20"/>
        <v>0</v>
      </c>
      <c r="S37" s="1"/>
      <c r="T37" s="1">
        <f>SUM(OSRRefT22_4x_0)</f>
        <v>456.3</v>
      </c>
      <c r="U37" s="1"/>
      <c r="V37" s="5">
        <f t="shared" si="21"/>
        <v>0</v>
      </c>
      <c r="W37" s="1"/>
      <c r="X37" s="1">
        <f t="shared" si="22"/>
        <v>91.259999999999934</v>
      </c>
      <c r="Y37" s="1"/>
      <c r="Z37" s="5">
        <f t="shared" si="23"/>
        <v>0.19999999999999984</v>
      </c>
    </row>
    <row r="38" spans="1:26" s="24" customFormat="1" hidden="1" outlineLevel="2" x14ac:dyDescent="0.25">
      <c r="A38" s="26"/>
      <c r="B38" s="11" t="str">
        <f>CONCATENATE("          ", "6351", " - ", "EQUIPMENT RENTAL")</f>
        <v xml:space="preserve">          6351 - EQUIPMENT RENTAL</v>
      </c>
      <c r="C38" s="11"/>
      <c r="D38" s="6">
        <v>91.26</v>
      </c>
      <c r="E38" s="2"/>
      <c r="F38" s="7">
        <f t="shared" si="16"/>
        <v>0</v>
      </c>
      <c r="G38" s="2"/>
      <c r="H38" s="6">
        <v>91.26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>
        <v>547.55999999999995</v>
      </c>
      <c r="Q38" s="2"/>
      <c r="R38" s="7">
        <f t="shared" si="20"/>
        <v>0</v>
      </c>
      <c r="S38" s="2"/>
      <c r="T38" s="6">
        <v>456.3</v>
      </c>
      <c r="U38" s="2"/>
      <c r="V38" s="7">
        <f t="shared" si="21"/>
        <v>0</v>
      </c>
      <c r="W38" s="2"/>
      <c r="X38" s="6">
        <f t="shared" si="22"/>
        <v>91.259999999999934</v>
      </c>
      <c r="Y38" s="2"/>
      <c r="Z38" s="7">
        <f t="shared" si="23"/>
        <v>0.19999999999999984</v>
      </c>
    </row>
    <row r="39" spans="1:26" s="25" customFormat="1" outlineLevel="1" collapsed="1" x14ac:dyDescent="0.25">
      <c r="A39" s="27"/>
      <c r="B39" s="13" t="str">
        <f>CONCATENATE("     ","Freight out/Postage                               ")</f>
        <v xml:space="preserve">     Freight out/Postage                               </v>
      </c>
      <c r="C39" s="13"/>
      <c r="D39" s="1">
        <f>SUM(OSRRefD22_5x_0)</f>
        <v>126.1</v>
      </c>
      <c r="E39" s="1"/>
      <c r="F39" s="5">
        <f t="shared" si="16"/>
        <v>0</v>
      </c>
      <c r="G39" s="1"/>
      <c r="H39" s="1">
        <f>SUM(OSRRefH22_5x_0)</f>
        <v>150.46</v>
      </c>
      <c r="I39" s="1"/>
      <c r="J39" s="5">
        <f t="shared" si="17"/>
        <v>0</v>
      </c>
      <c r="K39" s="1"/>
      <c r="L39" s="1">
        <f t="shared" si="18"/>
        <v>-24.360000000000014</v>
      </c>
      <c r="M39" s="1"/>
      <c r="N39" s="5">
        <f t="shared" si="19"/>
        <v>-0.16190349594576639</v>
      </c>
      <c r="O39" s="13"/>
      <c r="P39" s="1">
        <f>SUM(OSRRefP22_5x_0)</f>
        <v>665.25</v>
      </c>
      <c r="Q39" s="1"/>
      <c r="R39" s="5">
        <f t="shared" si="20"/>
        <v>0</v>
      </c>
      <c r="S39" s="1"/>
      <c r="T39" s="1">
        <f>SUM(OSRRefT22_5x_0)</f>
        <v>622.39</v>
      </c>
      <c r="U39" s="1"/>
      <c r="V39" s="5">
        <f t="shared" si="21"/>
        <v>0</v>
      </c>
      <c r="W39" s="1"/>
      <c r="X39" s="1">
        <f t="shared" si="22"/>
        <v>42.860000000000014</v>
      </c>
      <c r="Y39" s="1"/>
      <c r="Z39" s="5">
        <f t="shared" si="23"/>
        <v>6.8863574286219281E-2</v>
      </c>
    </row>
    <row r="40" spans="1:26" s="24" customFormat="1" hidden="1" outlineLevel="2" x14ac:dyDescent="0.25">
      <c r="A40" s="26"/>
      <c r="B40" s="11" t="str">
        <f>CONCATENATE("          ", "6307", " - ", "POSTAGE")</f>
        <v xml:space="preserve">          6307 - POSTAGE</v>
      </c>
      <c r="C40" s="11"/>
      <c r="D40" s="6">
        <v>126.1</v>
      </c>
      <c r="E40" s="2"/>
      <c r="F40" s="7">
        <f t="shared" si="16"/>
        <v>0</v>
      </c>
      <c r="G40" s="2"/>
      <c r="H40" s="6">
        <v>150.46</v>
      </c>
      <c r="I40" s="2"/>
      <c r="J40" s="7">
        <f t="shared" si="17"/>
        <v>0</v>
      </c>
      <c r="K40" s="2"/>
      <c r="L40" s="6">
        <f t="shared" si="18"/>
        <v>-24.360000000000014</v>
      </c>
      <c r="M40" s="2"/>
      <c r="N40" s="7">
        <f t="shared" si="19"/>
        <v>-0.16190349594576639</v>
      </c>
      <c r="O40" s="11"/>
      <c r="P40" s="6">
        <v>665.25</v>
      </c>
      <c r="Q40" s="2"/>
      <c r="R40" s="7">
        <f t="shared" si="20"/>
        <v>0</v>
      </c>
      <c r="S40" s="2"/>
      <c r="T40" s="6">
        <v>622.39</v>
      </c>
      <c r="U40" s="2"/>
      <c r="V40" s="7">
        <f t="shared" si="21"/>
        <v>0</v>
      </c>
      <c r="W40" s="2"/>
      <c r="X40" s="6">
        <f t="shared" si="22"/>
        <v>42.860000000000014</v>
      </c>
      <c r="Y40" s="2"/>
      <c r="Z40" s="7">
        <f t="shared" si="23"/>
        <v>6.8863574286219281E-2</v>
      </c>
    </row>
    <row r="41" spans="1:26" s="25" customFormat="1" outlineLevel="1" collapsed="1" x14ac:dyDescent="0.25">
      <c r="A41" s="27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SUM(OSRRefD22_6x_0)</f>
        <v>0</v>
      </c>
      <c r="E41" s="1"/>
      <c r="F41" s="5">
        <f t="shared" si="16"/>
        <v>0</v>
      </c>
      <c r="G41" s="1"/>
      <c r="H41" s="1">
        <f>SUM(OSRRefH22_6x_0)</f>
        <v>90.42</v>
      </c>
      <c r="I41" s="1"/>
      <c r="J41" s="5">
        <f t="shared" si="17"/>
        <v>0</v>
      </c>
      <c r="K41" s="1"/>
      <c r="L41" s="1">
        <f t="shared" si="18"/>
        <v>-90.42</v>
      </c>
      <c r="M41" s="1"/>
      <c r="N41" s="5">
        <f t="shared" si="19"/>
        <v>-1</v>
      </c>
      <c r="O41" s="13"/>
      <c r="P41" s="1">
        <f>SUM(OSRRefP22_6x_0)</f>
        <v>0</v>
      </c>
      <c r="Q41" s="1"/>
      <c r="R41" s="5">
        <f t="shared" si="20"/>
        <v>0</v>
      </c>
      <c r="S41" s="1"/>
      <c r="T41" s="1">
        <f>SUM(OSRRefT22_6x_0)</f>
        <v>90.42</v>
      </c>
      <c r="U41" s="1"/>
      <c r="V41" s="5">
        <f t="shared" si="21"/>
        <v>0</v>
      </c>
      <c r="W41" s="1"/>
      <c r="X41" s="1">
        <f t="shared" si="22"/>
        <v>-90.42</v>
      </c>
      <c r="Y41" s="1"/>
      <c r="Z41" s="5">
        <f t="shared" si="23"/>
        <v>-1</v>
      </c>
    </row>
    <row r="42" spans="1:26" s="24" customFormat="1" hidden="1" outlineLevel="2" x14ac:dyDescent="0.25">
      <c r="A42" s="26"/>
      <c r="B42" s="11" t="str">
        <f>CONCATENATE("          ", "6279", " - ", "GENERAL EXPENSE")</f>
        <v xml:space="preserve">          6279 - GENERAL EXPENSE</v>
      </c>
      <c r="C42" s="11"/>
      <c r="D42" s="6"/>
      <c r="E42" s="2"/>
      <c r="F42" s="7">
        <f t="shared" si="16"/>
        <v>0</v>
      </c>
      <c r="G42" s="2"/>
      <c r="H42" s="6">
        <v>90.42</v>
      </c>
      <c r="I42" s="2"/>
      <c r="J42" s="7">
        <f t="shared" si="17"/>
        <v>0</v>
      </c>
      <c r="K42" s="2"/>
      <c r="L42" s="6">
        <f t="shared" si="18"/>
        <v>-90.42</v>
      </c>
      <c r="M42" s="2"/>
      <c r="N42" s="7">
        <f t="shared" si="19"/>
        <v>-1</v>
      </c>
      <c r="O42" s="11"/>
      <c r="P42" s="6"/>
      <c r="Q42" s="2"/>
      <c r="R42" s="7">
        <f t="shared" si="20"/>
        <v>0</v>
      </c>
      <c r="S42" s="2"/>
      <c r="T42" s="6">
        <v>90.42</v>
      </c>
      <c r="U42" s="2"/>
      <c r="V42" s="7">
        <f t="shared" si="21"/>
        <v>0</v>
      </c>
      <c r="W42" s="2"/>
      <c r="X42" s="6">
        <f t="shared" si="22"/>
        <v>-90.42</v>
      </c>
      <c r="Y42" s="2"/>
      <c r="Z42" s="7">
        <f t="shared" si="23"/>
        <v>-1</v>
      </c>
    </row>
    <row r="43" spans="1:26" s="25" customFormat="1" outlineLevel="1" collapsed="1" x14ac:dyDescent="0.25">
      <c r="A43" s="27"/>
      <c r="B43" s="13" t="str">
        <f>CONCATENATE("     ","Insurance                                         ")</f>
        <v xml:space="preserve">     Insurance                                         </v>
      </c>
      <c r="C43" s="13"/>
      <c r="D43" s="1">
        <f>SUM(OSRRefD22_7x_0)</f>
        <v>132.16999999999999</v>
      </c>
      <c r="E43" s="1"/>
      <c r="F43" s="5">
        <f t="shared" si="16"/>
        <v>0</v>
      </c>
      <c r="G43" s="1"/>
      <c r="H43" s="1">
        <f>SUM(OSRRefH22_7x_0)</f>
        <v>124.52</v>
      </c>
      <c r="I43" s="1"/>
      <c r="J43" s="5">
        <f t="shared" si="17"/>
        <v>0</v>
      </c>
      <c r="K43" s="1"/>
      <c r="L43" s="1">
        <f t="shared" si="18"/>
        <v>7.6499999999999915</v>
      </c>
      <c r="M43" s="1"/>
      <c r="N43" s="5">
        <f t="shared" si="19"/>
        <v>6.1435913909412075E-2</v>
      </c>
      <c r="O43" s="13"/>
      <c r="P43" s="1">
        <f>SUM(OSRRefP22_7x_0)</f>
        <v>660.85</v>
      </c>
      <c r="Q43" s="1"/>
      <c r="R43" s="5">
        <f t="shared" si="20"/>
        <v>0</v>
      </c>
      <c r="S43" s="1"/>
      <c r="T43" s="1">
        <f>SUM(OSRRefT22_7x_0)</f>
        <v>622.6</v>
      </c>
      <c r="U43" s="1"/>
      <c r="V43" s="5">
        <f t="shared" si="21"/>
        <v>0</v>
      </c>
      <c r="W43" s="1"/>
      <c r="X43" s="1">
        <f t="shared" si="22"/>
        <v>38.25</v>
      </c>
      <c r="Y43" s="1"/>
      <c r="Z43" s="5">
        <f t="shared" si="23"/>
        <v>6.1435913909412138E-2</v>
      </c>
    </row>
    <row r="44" spans="1:26" s="24" customFormat="1" hidden="1" outlineLevel="2" x14ac:dyDescent="0.25">
      <c r="A44" s="26"/>
      <c r="B44" s="11" t="str">
        <f>CONCATENATE("          ", "6314", " - ", "LIABILITY INSURANCE")</f>
        <v xml:space="preserve">          6314 - LIABILITY INSURANCE</v>
      </c>
      <c r="C44" s="11"/>
      <c r="D44" s="6">
        <v>132.16999999999999</v>
      </c>
      <c r="E44" s="2"/>
      <c r="F44" s="7">
        <f t="shared" si="16"/>
        <v>0</v>
      </c>
      <c r="G44" s="2"/>
      <c r="H44" s="6">
        <v>124.52</v>
      </c>
      <c r="I44" s="2"/>
      <c r="J44" s="7">
        <f t="shared" si="17"/>
        <v>0</v>
      </c>
      <c r="K44" s="2"/>
      <c r="L44" s="6">
        <f t="shared" si="18"/>
        <v>7.6499999999999915</v>
      </c>
      <c r="M44" s="2"/>
      <c r="N44" s="7">
        <f t="shared" si="19"/>
        <v>6.1435913909412075E-2</v>
      </c>
      <c r="O44" s="11"/>
      <c r="P44" s="6">
        <v>660.85</v>
      </c>
      <c r="Q44" s="2"/>
      <c r="R44" s="7">
        <f t="shared" si="20"/>
        <v>0</v>
      </c>
      <c r="S44" s="2"/>
      <c r="T44" s="6">
        <v>622.6</v>
      </c>
      <c r="U44" s="2"/>
      <c r="V44" s="7">
        <f t="shared" si="21"/>
        <v>0</v>
      </c>
      <c r="W44" s="2"/>
      <c r="X44" s="6">
        <f t="shared" si="22"/>
        <v>38.25</v>
      </c>
      <c r="Y44" s="2"/>
      <c r="Z44" s="7">
        <f t="shared" si="23"/>
        <v>6.1435913909412138E-2</v>
      </c>
    </row>
    <row r="45" spans="1:26" s="25" customFormat="1" outlineLevel="1" collapsed="1" x14ac:dyDescent="0.25">
      <c r="A45" s="27"/>
      <c r="B45" s="13" t="str">
        <f>CONCATENATE("     ","Professional Services                             ")</f>
        <v xml:space="preserve">     Professional Services                             </v>
      </c>
      <c r="C45" s="13"/>
      <c r="D45" s="1">
        <f>SUM(OSRRefD22_8x_0)</f>
        <v>0</v>
      </c>
      <c r="E45" s="1"/>
      <c r="F45" s="5">
        <f t="shared" si="16"/>
        <v>0</v>
      </c>
      <c r="G45" s="1"/>
      <c r="H45" s="1">
        <f>SUM(OSRRefH22_8x_0)</f>
        <v>0</v>
      </c>
      <c r="I45" s="1"/>
      <c r="J45" s="5">
        <f t="shared" si="17"/>
        <v>0</v>
      </c>
      <c r="K45" s="1"/>
      <c r="L45" s="1">
        <f t="shared" si="18"/>
        <v>0</v>
      </c>
      <c r="M45" s="1"/>
      <c r="N45" s="5">
        <f t="shared" si="19"/>
        <v>0</v>
      </c>
      <c r="O45" s="13"/>
      <c r="P45" s="1">
        <f>SUM(OSRRefP22_8x_0)</f>
        <v>82.5</v>
      </c>
      <c r="Q45" s="1"/>
      <c r="R45" s="5">
        <f t="shared" si="20"/>
        <v>0</v>
      </c>
      <c r="S45" s="1"/>
      <c r="T45" s="1">
        <f>SUM(OSRRefT22_8x_0)</f>
        <v>0</v>
      </c>
      <c r="U45" s="1"/>
      <c r="V45" s="5">
        <f t="shared" si="21"/>
        <v>0</v>
      </c>
      <c r="W45" s="1"/>
      <c r="X45" s="1">
        <f t="shared" si="22"/>
        <v>82.5</v>
      </c>
      <c r="Y45" s="1"/>
      <c r="Z45" s="5">
        <f t="shared" si="23"/>
        <v>0</v>
      </c>
    </row>
    <row r="46" spans="1:26" s="24" customFormat="1" hidden="1" outlineLevel="2" x14ac:dyDescent="0.25">
      <c r="A46" s="26"/>
      <c r="B46" s="11" t="str">
        <f>CONCATENATE("          ", "6332", " - ", "CONSULTANT FEES")</f>
        <v xml:space="preserve">          6332 - CONSULTANT FEES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>
        <v>82.5</v>
      </c>
      <c r="Q46" s="2"/>
      <c r="R46" s="7">
        <f t="shared" si="20"/>
        <v>0</v>
      </c>
      <c r="S46" s="2"/>
      <c r="T46" s="6"/>
      <c r="U46" s="2"/>
      <c r="V46" s="7">
        <f t="shared" si="21"/>
        <v>0</v>
      </c>
      <c r="W46" s="2"/>
      <c r="X46" s="6">
        <f t="shared" si="22"/>
        <v>82.5</v>
      </c>
      <c r="Y46" s="2"/>
      <c r="Z46" s="7">
        <f t="shared" si="23"/>
        <v>0</v>
      </c>
    </row>
    <row r="47" spans="1:26" s="25" customFormat="1" outlineLevel="1" collapsed="1" x14ac:dyDescent="0.25">
      <c r="A47" s="27"/>
      <c r="B47" s="13" t="str">
        <f>CONCATENATE("     ","Repair and Maintenance                            ")</f>
        <v xml:space="preserve">     Repair and Maintenance                            </v>
      </c>
      <c r="C47" s="13"/>
      <c r="D47" s="1">
        <f>SUM(OSRRefD22_9x_0)</f>
        <v>16.97</v>
      </c>
      <c r="E47" s="1"/>
      <c r="F47" s="5">
        <f t="shared" si="16"/>
        <v>0</v>
      </c>
      <c r="G47" s="1"/>
      <c r="H47" s="1">
        <f>SUM(OSRRefH22_9x_0)</f>
        <v>18.05</v>
      </c>
      <c r="I47" s="1"/>
      <c r="J47" s="5">
        <f t="shared" si="17"/>
        <v>0</v>
      </c>
      <c r="K47" s="1"/>
      <c r="L47" s="1">
        <f t="shared" si="18"/>
        <v>-1.0800000000000018</v>
      </c>
      <c r="M47" s="1"/>
      <c r="N47" s="5">
        <f t="shared" si="19"/>
        <v>-5.9833795013850513E-2</v>
      </c>
      <c r="O47" s="13"/>
      <c r="P47" s="1">
        <f>SUM(OSRRefP22_9x_0)</f>
        <v>571.48</v>
      </c>
      <c r="Q47" s="1"/>
      <c r="R47" s="5">
        <f t="shared" si="20"/>
        <v>0</v>
      </c>
      <c r="S47" s="1"/>
      <c r="T47" s="1">
        <f>SUM(OSRRefT22_9x_0)</f>
        <v>189.45</v>
      </c>
      <c r="U47" s="1"/>
      <c r="V47" s="5">
        <f t="shared" si="21"/>
        <v>0</v>
      </c>
      <c r="W47" s="1"/>
      <c r="X47" s="1">
        <f t="shared" si="22"/>
        <v>382.03000000000003</v>
      </c>
      <c r="Y47" s="1"/>
      <c r="Z47" s="5">
        <f t="shared" si="23"/>
        <v>2.016521509633149</v>
      </c>
    </row>
    <row r="48" spans="1:26" s="24" customFormat="1" hidden="1" outlineLevel="2" x14ac:dyDescent="0.25">
      <c r="A48" s="26"/>
      <c r="B48" s="11" t="str">
        <f>CONCATENATE("          ", "6371", " - ", "COMPUTER SOFTWARE MAINTENANCE")</f>
        <v xml:space="preserve">          6371 - COMPUTER SOFTWARE MAINTENANCE</v>
      </c>
      <c r="C48" s="11"/>
      <c r="D48" s="6"/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1"/>
      <c r="P48" s="6"/>
      <c r="Q48" s="2"/>
      <c r="R48" s="7">
        <f t="shared" si="20"/>
        <v>0</v>
      </c>
      <c r="S48" s="2"/>
      <c r="T48" s="6">
        <v>75</v>
      </c>
      <c r="U48" s="2"/>
      <c r="V48" s="7">
        <f t="shared" si="21"/>
        <v>0</v>
      </c>
      <c r="W48" s="2"/>
      <c r="X48" s="6">
        <f t="shared" si="22"/>
        <v>-75</v>
      </c>
      <c r="Y48" s="2"/>
      <c r="Z48" s="7">
        <f t="shared" si="23"/>
        <v>-1</v>
      </c>
    </row>
    <row r="49" spans="1:26" s="24" customFormat="1" hidden="1" outlineLevel="2" x14ac:dyDescent="0.25">
      <c r="A49" s="26"/>
      <c r="B49" s="11" t="str">
        <f>CONCATENATE("          ", "6373", " - ", "MAINTENANCE CONTRACTS")</f>
        <v xml:space="preserve">          6373 - MAINTENANCE CONTRACTS</v>
      </c>
      <c r="C49" s="11"/>
      <c r="D49" s="6">
        <v>16.97</v>
      </c>
      <c r="E49" s="2"/>
      <c r="F49" s="7">
        <f t="shared" si="16"/>
        <v>0</v>
      </c>
      <c r="G49" s="2"/>
      <c r="H49" s="6">
        <v>18.05</v>
      </c>
      <c r="I49" s="2"/>
      <c r="J49" s="7">
        <f t="shared" si="17"/>
        <v>0</v>
      </c>
      <c r="K49" s="2"/>
      <c r="L49" s="6">
        <f t="shared" si="18"/>
        <v>-1.0800000000000018</v>
      </c>
      <c r="M49" s="2"/>
      <c r="N49" s="7">
        <f t="shared" si="19"/>
        <v>-5.9833795013850513E-2</v>
      </c>
      <c r="O49" s="11"/>
      <c r="P49" s="6">
        <v>106.9</v>
      </c>
      <c r="Q49" s="2"/>
      <c r="R49" s="7">
        <f t="shared" si="20"/>
        <v>0</v>
      </c>
      <c r="S49" s="2"/>
      <c r="T49" s="6">
        <v>114.45</v>
      </c>
      <c r="U49" s="2"/>
      <c r="V49" s="7">
        <f t="shared" si="21"/>
        <v>0</v>
      </c>
      <c r="W49" s="2"/>
      <c r="X49" s="6">
        <f t="shared" si="22"/>
        <v>-7.5499999999999972</v>
      </c>
      <c r="Y49" s="2"/>
      <c r="Z49" s="7">
        <f t="shared" si="23"/>
        <v>-6.5967671472258599E-2</v>
      </c>
    </row>
    <row r="50" spans="1:26" s="24" customFormat="1" hidden="1" outlineLevel="2" x14ac:dyDescent="0.25">
      <c r="A50" s="26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0</v>
      </c>
      <c r="M50" s="2"/>
      <c r="N50" s="7">
        <f t="shared" si="19"/>
        <v>0</v>
      </c>
      <c r="O50" s="11"/>
      <c r="P50" s="6">
        <v>464.58</v>
      </c>
      <c r="Q50" s="2"/>
      <c r="R50" s="7">
        <f t="shared" si="20"/>
        <v>0</v>
      </c>
      <c r="S50" s="2"/>
      <c r="T50" s="6"/>
      <c r="U50" s="2"/>
      <c r="V50" s="7">
        <f t="shared" si="21"/>
        <v>0</v>
      </c>
      <c r="W50" s="2"/>
      <c r="X50" s="6">
        <f t="shared" si="22"/>
        <v>464.58</v>
      </c>
      <c r="Y50" s="2"/>
      <c r="Z50" s="7">
        <f t="shared" si="23"/>
        <v>0</v>
      </c>
    </row>
    <row r="51" spans="1:26" s="25" customFormat="1" outlineLevel="1" collapsed="1" x14ac:dyDescent="0.25">
      <c r="A51" s="27"/>
      <c r="B51" s="13" t="str">
        <f>CONCATENATE("     ","Services                                          ")</f>
        <v xml:space="preserve">     Services                                          </v>
      </c>
      <c r="C51" s="13"/>
      <c r="D51" s="1">
        <f>SUM(OSRRefD22_10x_0)</f>
        <v>427.96</v>
      </c>
      <c r="E51" s="1"/>
      <c r="F51" s="5">
        <f t="shared" ref="F51:F58" si="24">IF(D$12=0,0,D51/D$12)</f>
        <v>0</v>
      </c>
      <c r="G51" s="1"/>
      <c r="H51" s="1">
        <f>SUM(OSRRefH22_10x_0)</f>
        <v>724.66</v>
      </c>
      <c r="I51" s="1"/>
      <c r="J51" s="5">
        <f t="shared" ref="J51:J58" si="25">IF(H$12=0,0,H51/H$12)</f>
        <v>0</v>
      </c>
      <c r="K51" s="1"/>
      <c r="L51" s="1">
        <f t="shared" ref="L51:L58" si="26">+D51-H51</f>
        <v>-296.7</v>
      </c>
      <c r="M51" s="1"/>
      <c r="N51" s="5">
        <f t="shared" ref="N51:N58" si="27">IF(H51=0,0,L51/H51)</f>
        <v>-0.4094333894516049</v>
      </c>
      <c r="O51" s="13"/>
      <c r="P51" s="1">
        <f>SUM(OSRRefP22_10x_0)</f>
        <v>7595.03</v>
      </c>
      <c r="Q51" s="1"/>
      <c r="R51" s="5">
        <f t="shared" ref="R51:R58" si="28">IF(P$12=0,0,P51/P$12)</f>
        <v>0</v>
      </c>
      <c r="S51" s="1"/>
      <c r="T51" s="1">
        <f>SUM(OSRRefT22_10x_0)</f>
        <v>2707.11</v>
      </c>
      <c r="U51" s="1"/>
      <c r="V51" s="5">
        <f t="shared" ref="V51:V58" si="29">IF(T$12=0,0,T51/T$12)</f>
        <v>0</v>
      </c>
      <c r="W51" s="1"/>
      <c r="X51" s="1">
        <f t="shared" ref="X51:X58" si="30">+P51-T51</f>
        <v>4887.92</v>
      </c>
      <c r="Y51" s="1"/>
      <c r="Z51" s="5">
        <f t="shared" ref="Z51:Z58" si="31">IF(T51=0,0,X51/T51)</f>
        <v>1.8055860308594773</v>
      </c>
    </row>
    <row r="52" spans="1:26" s="24" customFormat="1" hidden="1" outlineLevel="2" x14ac:dyDescent="0.25">
      <c r="A52" s="26"/>
      <c r="B52" s="11" t="str">
        <f>CONCATENATE("          ", "6281", " - ", "STORAGE FEE")</f>
        <v xml:space="preserve">          6281 - STORAGE FEE</v>
      </c>
      <c r="C52" s="11"/>
      <c r="D52" s="6">
        <v>427.96</v>
      </c>
      <c r="E52" s="2"/>
      <c r="F52" s="7">
        <f t="shared" si="24"/>
        <v>0</v>
      </c>
      <c r="G52" s="2"/>
      <c r="H52" s="6">
        <v>724.66</v>
      </c>
      <c r="I52" s="2"/>
      <c r="J52" s="7">
        <f t="shared" si="25"/>
        <v>0</v>
      </c>
      <c r="K52" s="2"/>
      <c r="L52" s="6">
        <f t="shared" si="26"/>
        <v>-296.7</v>
      </c>
      <c r="M52" s="2"/>
      <c r="N52" s="7">
        <f t="shared" si="27"/>
        <v>-0.4094333894516049</v>
      </c>
      <c r="O52" s="11"/>
      <c r="P52" s="6">
        <v>7595.03</v>
      </c>
      <c r="Q52" s="2"/>
      <c r="R52" s="7">
        <f t="shared" si="28"/>
        <v>0</v>
      </c>
      <c r="S52" s="2"/>
      <c r="T52" s="6">
        <v>2707.11</v>
      </c>
      <c r="U52" s="2"/>
      <c r="V52" s="7">
        <f t="shared" si="29"/>
        <v>0</v>
      </c>
      <c r="W52" s="2"/>
      <c r="X52" s="6">
        <f t="shared" si="30"/>
        <v>4887.92</v>
      </c>
      <c r="Y52" s="2"/>
      <c r="Z52" s="7">
        <f t="shared" si="31"/>
        <v>1.8055860308594773</v>
      </c>
    </row>
    <row r="53" spans="1:26" s="25" customFormat="1" outlineLevel="1" collapsed="1" x14ac:dyDescent="0.25">
      <c r="A53" s="27"/>
      <c r="B53" s="13" t="str">
        <f>CONCATENATE("     ","Subscriptions &amp; Dues                              ")</f>
        <v xml:space="preserve">     Subscriptions &amp; Dues                              </v>
      </c>
      <c r="C53" s="13"/>
      <c r="D53" s="1">
        <f>SUM(OSRRefD22_11x_0)</f>
        <v>0</v>
      </c>
      <c r="E53" s="1"/>
      <c r="F53" s="5">
        <f t="shared" si="24"/>
        <v>0</v>
      </c>
      <c r="G53" s="1"/>
      <c r="H53" s="1">
        <f>SUM(OSRRefH22_11x_0)</f>
        <v>0</v>
      </c>
      <c r="I53" s="1"/>
      <c r="J53" s="5">
        <f t="shared" si="25"/>
        <v>0</v>
      </c>
      <c r="K53" s="1"/>
      <c r="L53" s="1">
        <f t="shared" si="26"/>
        <v>0</v>
      </c>
      <c r="M53" s="1"/>
      <c r="N53" s="5">
        <f t="shared" si="27"/>
        <v>0</v>
      </c>
      <c r="O53" s="13"/>
      <c r="P53" s="1">
        <f>SUM(OSRRefP22_11x_0)</f>
        <v>39</v>
      </c>
      <c r="Q53" s="1"/>
      <c r="R53" s="5">
        <f t="shared" si="28"/>
        <v>0</v>
      </c>
      <c r="S53" s="1"/>
      <c r="T53" s="1">
        <f>SUM(OSRRefT22_11x_0)</f>
        <v>0</v>
      </c>
      <c r="U53" s="1"/>
      <c r="V53" s="5">
        <f t="shared" si="29"/>
        <v>0</v>
      </c>
      <c r="W53" s="1"/>
      <c r="X53" s="1">
        <f t="shared" si="30"/>
        <v>39</v>
      </c>
      <c r="Y53" s="1"/>
      <c r="Z53" s="5">
        <f t="shared" si="31"/>
        <v>0</v>
      </c>
    </row>
    <row r="54" spans="1:26" s="24" customFormat="1" hidden="1" outlineLevel="2" x14ac:dyDescent="0.25">
      <c r="A54" s="26"/>
      <c r="B54" s="11" t="str">
        <f>CONCATENATE("          ", "6258", " - ", "MEMBERSHIP DUES")</f>
        <v xml:space="preserve">          6258 - MEMBERSHIP DUES</v>
      </c>
      <c r="C54" s="11"/>
      <c r="D54" s="6"/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>
        <v>39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39</v>
      </c>
      <c r="Y54" s="2"/>
      <c r="Z54" s="7">
        <f t="shared" si="31"/>
        <v>0</v>
      </c>
    </row>
    <row r="55" spans="1:26" s="25" customFormat="1" outlineLevel="1" collapsed="1" x14ac:dyDescent="0.25">
      <c r="A55" s="27"/>
      <c r="B55" s="13" t="str">
        <f>CONCATENATE("     ","Supplies                                          ")</f>
        <v xml:space="preserve">     Supplies                                          </v>
      </c>
      <c r="C55" s="13"/>
      <c r="D55" s="1">
        <f>SUM(OSRRefD22_12x_0)</f>
        <v>277.06</v>
      </c>
      <c r="E55" s="1"/>
      <c r="F55" s="5">
        <f t="shared" si="24"/>
        <v>0</v>
      </c>
      <c r="G55" s="1"/>
      <c r="H55" s="1">
        <f>SUM(OSRRefH22_12x_0)</f>
        <v>301.86</v>
      </c>
      <c r="I55" s="1"/>
      <c r="J55" s="5">
        <f t="shared" si="25"/>
        <v>0</v>
      </c>
      <c r="K55" s="1"/>
      <c r="L55" s="1">
        <f t="shared" si="26"/>
        <v>-24.800000000000011</v>
      </c>
      <c r="M55" s="1"/>
      <c r="N55" s="5">
        <f t="shared" si="27"/>
        <v>-8.2157291459617074E-2</v>
      </c>
      <c r="O55" s="13"/>
      <c r="P55" s="1">
        <f>SUM(OSRRefP22_12x_0)</f>
        <v>2884.95</v>
      </c>
      <c r="Q55" s="1"/>
      <c r="R55" s="5">
        <f t="shared" si="28"/>
        <v>0</v>
      </c>
      <c r="S55" s="1"/>
      <c r="T55" s="1">
        <f>SUM(OSRRefT22_12x_0)</f>
        <v>3375.98</v>
      </c>
      <c r="U55" s="1"/>
      <c r="V55" s="5">
        <f t="shared" si="29"/>
        <v>0</v>
      </c>
      <c r="W55" s="1"/>
      <c r="X55" s="1">
        <f t="shared" si="30"/>
        <v>-491.0300000000002</v>
      </c>
      <c r="Y55" s="1"/>
      <c r="Z55" s="5">
        <f t="shared" si="31"/>
        <v>-0.14544813654109331</v>
      </c>
    </row>
    <row r="56" spans="1:26" s="24" customFormat="1" hidden="1" outlineLevel="2" x14ac:dyDescent="0.25">
      <c r="A56" s="26"/>
      <c r="B56" s="11" t="str">
        <f>CONCATENATE("          ", "6234", " - ", "EXPENDABLE SUPPLIES &amp; EQUIPMEN")</f>
        <v xml:space="preserve">          6234 - EXPENDABLE SUPPLIES &amp; EQUIPMEN</v>
      </c>
      <c r="C56" s="11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1"/>
      <c r="P56" s="6"/>
      <c r="Q56" s="2"/>
      <c r="R56" s="7">
        <f t="shared" si="28"/>
        <v>0</v>
      </c>
      <c r="S56" s="2"/>
      <c r="T56" s="6">
        <v>2355.94</v>
      </c>
      <c r="U56" s="2"/>
      <c r="V56" s="7">
        <f t="shared" si="29"/>
        <v>0</v>
      </c>
      <c r="W56" s="2"/>
      <c r="X56" s="6">
        <f t="shared" si="30"/>
        <v>-2355.94</v>
      </c>
      <c r="Y56" s="2"/>
      <c r="Z56" s="7">
        <f t="shared" si="31"/>
        <v>-1</v>
      </c>
    </row>
    <row r="57" spans="1:26" s="24" customFormat="1" hidden="1" outlineLevel="2" x14ac:dyDescent="0.25">
      <c r="A57" s="26"/>
      <c r="B57" s="11" t="str">
        <f>CONCATENATE("          ", "6241", " - ", "OFFICE EXPENSE")</f>
        <v xml:space="preserve">          6241 - OFFICE EXPENSE</v>
      </c>
      <c r="C57" s="11"/>
      <c r="D57" s="6">
        <v>277.06</v>
      </c>
      <c r="E57" s="2"/>
      <c r="F57" s="7">
        <f t="shared" si="24"/>
        <v>0</v>
      </c>
      <c r="G57" s="2"/>
      <c r="H57" s="6">
        <v>301.86</v>
      </c>
      <c r="I57" s="2"/>
      <c r="J57" s="7">
        <f t="shared" si="25"/>
        <v>0</v>
      </c>
      <c r="K57" s="2"/>
      <c r="L57" s="6">
        <f t="shared" si="26"/>
        <v>-24.800000000000011</v>
      </c>
      <c r="M57" s="2"/>
      <c r="N57" s="7">
        <f t="shared" si="27"/>
        <v>-8.2157291459617074E-2</v>
      </c>
      <c r="O57" s="11"/>
      <c r="P57" s="6">
        <v>2222.04</v>
      </c>
      <c r="Q57" s="2"/>
      <c r="R57" s="7">
        <f t="shared" si="28"/>
        <v>0</v>
      </c>
      <c r="S57" s="2"/>
      <c r="T57" s="6">
        <v>1020.04</v>
      </c>
      <c r="U57" s="2"/>
      <c r="V57" s="7">
        <f t="shared" si="29"/>
        <v>0</v>
      </c>
      <c r="W57" s="2"/>
      <c r="X57" s="6">
        <f t="shared" si="30"/>
        <v>1202</v>
      </c>
      <c r="Y57" s="2"/>
      <c r="Z57" s="7">
        <f t="shared" si="31"/>
        <v>1.1783851613662211</v>
      </c>
    </row>
    <row r="58" spans="1:26" s="24" customFormat="1" hidden="1" outlineLevel="2" x14ac:dyDescent="0.25">
      <c r="A58" s="26"/>
      <c r="B58" s="11" t="str">
        <f>CONCATENATE("          ", "6245", " - ", "PRINTING")</f>
        <v xml:space="preserve">          6245 - PRINTING</v>
      </c>
      <c r="C58" s="11"/>
      <c r="D58" s="6"/>
      <c r="E58" s="2"/>
      <c r="F58" s="7">
        <f t="shared" si="24"/>
        <v>0</v>
      </c>
      <c r="G58" s="2"/>
      <c r="H58" s="6"/>
      <c r="I58" s="2"/>
      <c r="J58" s="7">
        <f t="shared" si="25"/>
        <v>0</v>
      </c>
      <c r="K58" s="2"/>
      <c r="L58" s="6">
        <f t="shared" si="26"/>
        <v>0</v>
      </c>
      <c r="M58" s="2"/>
      <c r="N58" s="7">
        <f t="shared" si="27"/>
        <v>0</v>
      </c>
      <c r="O58" s="11"/>
      <c r="P58" s="6">
        <v>662.91</v>
      </c>
      <c r="Q58" s="2"/>
      <c r="R58" s="7">
        <f t="shared" si="28"/>
        <v>0</v>
      </c>
      <c r="S58" s="2"/>
      <c r="T58" s="6"/>
      <c r="U58" s="2"/>
      <c r="V58" s="7">
        <f t="shared" si="29"/>
        <v>0</v>
      </c>
      <c r="W58" s="2"/>
      <c r="X58" s="6">
        <f t="shared" si="30"/>
        <v>662.91</v>
      </c>
      <c r="Y58" s="2"/>
      <c r="Z58" s="7">
        <f t="shared" si="31"/>
        <v>0</v>
      </c>
    </row>
    <row r="59" spans="1:26" s="25" customFormat="1" outlineLevel="1" collapsed="1" x14ac:dyDescent="0.25">
      <c r="A59" s="27"/>
      <c r="B59" s="13" t="str">
        <f>CONCATENATE("     ","Telephone/Data Lines                              ")</f>
        <v xml:space="preserve">     Telephone/Data Lines                              </v>
      </c>
      <c r="C59" s="13"/>
      <c r="D59" s="1">
        <f>SUM(OSRRefD22_13x_0)</f>
        <v>435.38</v>
      </c>
      <c r="E59" s="1"/>
      <c r="F59" s="5">
        <f t="shared" ref="F59:F62" si="32">IF(D$12=0,0,D59/D$12)</f>
        <v>0</v>
      </c>
      <c r="G59" s="1"/>
      <c r="H59" s="1">
        <f>SUM(OSRRefH22_13x_0)</f>
        <v>379.3</v>
      </c>
      <c r="I59" s="1"/>
      <c r="J59" s="5">
        <f t="shared" ref="J59:J62" si="33">IF(H$12=0,0,H59/H$12)</f>
        <v>0</v>
      </c>
      <c r="K59" s="1"/>
      <c r="L59" s="1">
        <f t="shared" ref="L59:L62" si="34">+D59-H59</f>
        <v>56.079999999999984</v>
      </c>
      <c r="M59" s="1"/>
      <c r="N59" s="5">
        <f t="shared" ref="N59:N62" si="35">IF(H59=0,0,L59/H59)</f>
        <v>0.14785130503559182</v>
      </c>
      <c r="O59" s="13"/>
      <c r="P59" s="1">
        <f>SUM(OSRRefP22_13x_0)</f>
        <v>1995.61</v>
      </c>
      <c r="Q59" s="1"/>
      <c r="R59" s="5">
        <f t="shared" ref="R59:R62" si="36">IF(P$12=0,0,P59/P$12)</f>
        <v>0</v>
      </c>
      <c r="S59" s="1"/>
      <c r="T59" s="1">
        <f>SUM(OSRRefT22_13x_0)</f>
        <v>1850.5</v>
      </c>
      <c r="U59" s="1"/>
      <c r="V59" s="5">
        <f t="shared" ref="V59:V62" si="37">IF(T$12=0,0,T59/T$12)</f>
        <v>0</v>
      </c>
      <c r="W59" s="1"/>
      <c r="X59" s="1">
        <f t="shared" ref="X59:X62" si="38">+P59-T59</f>
        <v>145.1099999999999</v>
      </c>
      <c r="Y59" s="1"/>
      <c r="Z59" s="5">
        <f t="shared" ref="Z59:Z62" si="39">IF(T59=0,0,X59/T59)</f>
        <v>7.8416644150229614E-2</v>
      </c>
    </row>
    <row r="60" spans="1:26" s="24" customFormat="1" hidden="1" outlineLevel="2" x14ac:dyDescent="0.25">
      <c r="A60" s="26"/>
      <c r="B60" s="11" t="str">
        <f>CONCATENATE("          ", "6309", " - ", "TELEPHONE")</f>
        <v xml:space="preserve">          6309 - TELEPHONE</v>
      </c>
      <c r="C60" s="11"/>
      <c r="D60" s="6">
        <v>435.38</v>
      </c>
      <c r="E60" s="2"/>
      <c r="F60" s="7">
        <f t="shared" si="32"/>
        <v>0</v>
      </c>
      <c r="G60" s="2"/>
      <c r="H60" s="6">
        <v>379.3</v>
      </c>
      <c r="I60" s="2"/>
      <c r="J60" s="7">
        <f t="shared" si="33"/>
        <v>0</v>
      </c>
      <c r="K60" s="2"/>
      <c r="L60" s="6">
        <f t="shared" si="34"/>
        <v>56.079999999999984</v>
      </c>
      <c r="M60" s="2"/>
      <c r="N60" s="7">
        <f t="shared" si="35"/>
        <v>0.14785130503559182</v>
      </c>
      <c r="O60" s="11"/>
      <c r="P60" s="6">
        <v>1995.61</v>
      </c>
      <c r="Q60" s="2"/>
      <c r="R60" s="7">
        <f t="shared" si="36"/>
        <v>0</v>
      </c>
      <c r="S60" s="2"/>
      <c r="T60" s="6">
        <v>1850.5</v>
      </c>
      <c r="U60" s="2"/>
      <c r="V60" s="7">
        <f t="shared" si="37"/>
        <v>0</v>
      </c>
      <c r="W60" s="2"/>
      <c r="X60" s="6">
        <f t="shared" si="38"/>
        <v>145.1099999999999</v>
      </c>
      <c r="Y60" s="2"/>
      <c r="Z60" s="7">
        <f t="shared" si="39"/>
        <v>7.8416644150229614E-2</v>
      </c>
    </row>
    <row r="61" spans="1:26" s="25" customFormat="1" outlineLevel="1" collapsed="1" x14ac:dyDescent="0.25">
      <c r="A61" s="27"/>
      <c r="B61" s="13" t="str">
        <f>CONCATENATE("     ","Training                                          ")</f>
        <v xml:space="preserve">     Training                                          </v>
      </c>
      <c r="C61" s="13"/>
      <c r="D61" s="1">
        <f>SUM(OSRRefD22_14x_0)</f>
        <v>7</v>
      </c>
      <c r="E61" s="1"/>
      <c r="F61" s="5">
        <f t="shared" si="32"/>
        <v>0</v>
      </c>
      <c r="G61" s="1"/>
      <c r="H61" s="1">
        <f>SUM(OSRRefH22_14x_0)</f>
        <v>720</v>
      </c>
      <c r="I61" s="1"/>
      <c r="J61" s="5">
        <f t="shared" si="33"/>
        <v>0</v>
      </c>
      <c r="K61" s="1"/>
      <c r="L61" s="1">
        <f t="shared" si="34"/>
        <v>-713</v>
      </c>
      <c r="M61" s="1"/>
      <c r="N61" s="5">
        <f t="shared" si="35"/>
        <v>-0.99027777777777781</v>
      </c>
      <c r="O61" s="13"/>
      <c r="P61" s="1">
        <f>SUM(OSRRefP22_14x_0)</f>
        <v>27.53</v>
      </c>
      <c r="Q61" s="1"/>
      <c r="R61" s="5">
        <f t="shared" si="36"/>
        <v>0</v>
      </c>
      <c r="S61" s="1"/>
      <c r="T61" s="1">
        <f>SUM(OSRRefT22_14x_0)</f>
        <v>3972.25</v>
      </c>
      <c r="U61" s="1"/>
      <c r="V61" s="5">
        <f t="shared" si="37"/>
        <v>0</v>
      </c>
      <c r="W61" s="1"/>
      <c r="X61" s="1">
        <f t="shared" si="38"/>
        <v>-3944.72</v>
      </c>
      <c r="Y61" s="1"/>
      <c r="Z61" s="5">
        <f t="shared" si="39"/>
        <v>-0.99306941909497126</v>
      </c>
    </row>
    <row r="62" spans="1:26" s="24" customFormat="1" hidden="1" outlineLevel="2" x14ac:dyDescent="0.25">
      <c r="A62" s="26"/>
      <c r="B62" s="11" t="str">
        <f>CONCATENATE("          ", "6376", " - ", "TRAINING")</f>
        <v xml:space="preserve">          6376 - TRAINING</v>
      </c>
      <c r="C62" s="11"/>
      <c r="D62" s="6">
        <v>7</v>
      </c>
      <c r="E62" s="2"/>
      <c r="F62" s="7">
        <f t="shared" si="32"/>
        <v>0</v>
      </c>
      <c r="G62" s="2"/>
      <c r="H62" s="6">
        <v>720</v>
      </c>
      <c r="I62" s="2"/>
      <c r="J62" s="7">
        <f t="shared" si="33"/>
        <v>0</v>
      </c>
      <c r="K62" s="2"/>
      <c r="L62" s="6">
        <f t="shared" si="34"/>
        <v>-713</v>
      </c>
      <c r="M62" s="2"/>
      <c r="N62" s="7">
        <f t="shared" si="35"/>
        <v>-0.99027777777777781</v>
      </c>
      <c r="O62" s="11"/>
      <c r="P62" s="6">
        <v>27.53</v>
      </c>
      <c r="Q62" s="2"/>
      <c r="R62" s="7">
        <f t="shared" si="36"/>
        <v>0</v>
      </c>
      <c r="S62" s="2"/>
      <c r="T62" s="6">
        <v>3972.25</v>
      </c>
      <c r="U62" s="2"/>
      <c r="V62" s="7">
        <f t="shared" si="37"/>
        <v>0</v>
      </c>
      <c r="W62" s="2"/>
      <c r="X62" s="6">
        <f t="shared" si="38"/>
        <v>-3944.72</v>
      </c>
      <c r="Y62" s="2"/>
      <c r="Z62" s="7">
        <f t="shared" si="39"/>
        <v>-0.99306941909497126</v>
      </c>
    </row>
    <row r="63" spans="1:26" s="53" customFormat="1" x14ac:dyDescent="0.25">
      <c r="A63" s="37"/>
      <c r="B63" s="37"/>
      <c r="C63" s="37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25">
      <c r="A64" s="10"/>
      <c r="B64" s="28" t="s">
        <v>0</v>
      </c>
      <c r="C64" s="10"/>
      <c r="D64" s="4">
        <f>SUM(0)</f>
        <v>0</v>
      </c>
      <c r="E64" s="4"/>
      <c r="F64" s="12">
        <f>IF(D$12=0,0,D64/D$12)</f>
        <v>0</v>
      </c>
      <c r="G64" s="4"/>
      <c r="H64" s="4">
        <f>SUM(0)</f>
        <v>0</v>
      </c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>
        <f>SUM(0)</f>
        <v>0</v>
      </c>
      <c r="Q64" s="4"/>
      <c r="R64" s="12">
        <f>IF(P$12=0,0,P64/P$12)</f>
        <v>0</v>
      </c>
      <c r="S64" s="4"/>
      <c r="T64" s="4">
        <f>SUM(0)</f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9" t="s">
        <v>3</v>
      </c>
      <c r="C66" s="29"/>
      <c r="D66" s="21">
        <f>+D16-D18+D64</f>
        <v>-44835.369999999988</v>
      </c>
      <c r="E66" s="14"/>
      <c r="F66" s="20">
        <f>IF(D$12=0,0,D66/D$12)</f>
        <v>0</v>
      </c>
      <c r="G66" s="14"/>
      <c r="H66" s="21">
        <f>+H16-H18+H64</f>
        <v>-46536.260000000009</v>
      </c>
      <c r="I66" s="14"/>
      <c r="J66" s="20">
        <f>IF(H$12=0,0,H66/H$12)</f>
        <v>0</v>
      </c>
      <c r="K66" s="15"/>
      <c r="L66" s="21">
        <f>+D66-H66</f>
        <v>1700.8900000000212</v>
      </c>
      <c r="M66" s="15"/>
      <c r="N66" s="20">
        <f>IF(H66=0,0,L66/H66)</f>
        <v>-3.6549778602750216E-2</v>
      </c>
      <c r="O66" s="28"/>
      <c r="P66" s="21">
        <f>+P16-P18+P64</f>
        <v>-259130.04999999996</v>
      </c>
      <c r="Q66" s="14"/>
      <c r="R66" s="20">
        <f>IF(P$12=0,0,P66/P$12)</f>
        <v>0</v>
      </c>
      <c r="S66" s="14"/>
      <c r="T66" s="21">
        <f>+T16-T18+T64</f>
        <v>-252629.03000000003</v>
      </c>
      <c r="U66" s="14"/>
      <c r="V66" s="20">
        <f>IF(T$12=0,0,T66/T$12)</f>
        <v>0</v>
      </c>
      <c r="W66" s="15"/>
      <c r="X66" s="21">
        <f>+P66-T66</f>
        <v>-6501.0199999999313</v>
      </c>
      <c r="Y66" s="15"/>
      <c r="Z66" s="20">
        <f>IF(T66=0,0,X66/T66)</f>
        <v>2.5733463806593925E-2</v>
      </c>
    </row>
    <row r="67" spans="1:26" x14ac:dyDescent="0.25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51"/>
      <c r="B68" s="10" t="s">
        <v>13</v>
      </c>
      <c r="C68" s="10"/>
      <c r="D68" s="4"/>
      <c r="E68" s="4"/>
      <c r="F68" s="12">
        <f>IF(D$12=0,0,D68/D$12)</f>
        <v>0</v>
      </c>
      <c r="G68" s="4"/>
      <c r="H68" s="4"/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/>
      <c r="Q68" s="4"/>
      <c r="R68" s="12">
        <f>IF(P$12=0,0,P68/P$12)</f>
        <v>0</v>
      </c>
      <c r="S68" s="4"/>
      <c r="T68" s="4"/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9" t="s">
        <v>4</v>
      </c>
      <c r="C70" s="29"/>
      <c r="D70" s="31">
        <f>+D66-D68</f>
        <v>-44835.369999999988</v>
      </c>
      <c r="E70" s="14"/>
      <c r="F70" s="32">
        <f>IF(D$12=0,0,D70/D$12)</f>
        <v>0</v>
      </c>
      <c r="G70" s="14"/>
      <c r="H70" s="31">
        <f>+H66-H68</f>
        <v>-46536.260000000009</v>
      </c>
      <c r="I70" s="14"/>
      <c r="J70" s="32">
        <f>IF(H$12=0,0,H70/H$12)</f>
        <v>0</v>
      </c>
      <c r="K70" s="15"/>
      <c r="L70" s="31">
        <f>D70-H70</f>
        <v>1700.8900000000212</v>
      </c>
      <c r="M70" s="15"/>
      <c r="N70" s="32">
        <f>IF(H70=0,0,L70/H70)</f>
        <v>-3.6549778602750216E-2</v>
      </c>
      <c r="O70" s="28"/>
      <c r="P70" s="31">
        <f>+P66-P68</f>
        <v>-259130.04999999996</v>
      </c>
      <c r="Q70" s="14"/>
      <c r="R70" s="32">
        <f>IF(P$12=0,0,P70/P$12)</f>
        <v>0</v>
      </c>
      <c r="S70" s="14"/>
      <c r="T70" s="31">
        <f>+T66-T68</f>
        <v>-252629.03000000003</v>
      </c>
      <c r="U70" s="14"/>
      <c r="V70" s="32">
        <f>IF(T$12=0,0,T70/T$12)</f>
        <v>0</v>
      </c>
      <c r="W70" s="15"/>
      <c r="X70" s="31">
        <f>P70-T70</f>
        <v>-6501.0199999999313</v>
      </c>
      <c r="Y70" s="15"/>
      <c r="Z70" s="32">
        <f>IF(T70=0,0,X70/T70)</f>
        <v>2.5733463806593925E-2</v>
      </c>
    </row>
    <row r="71" spans="1:26" ht="15.75" thickTop="1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9" t="s">
        <v>5</v>
      </c>
      <c r="C73" s="29"/>
      <c r="D73" s="34">
        <f>SUM(D70:D72)</f>
        <v>-44835.369999999988</v>
      </c>
      <c r="E73" s="14"/>
      <c r="F73" s="30">
        <f>IF(D$12=0,0,D73/D$12)</f>
        <v>0</v>
      </c>
      <c r="G73" s="14"/>
      <c r="H73" s="34">
        <f>SUM(H70:H72)</f>
        <v>-46536.260000000009</v>
      </c>
      <c r="I73" s="14"/>
      <c r="J73" s="30">
        <f>IF(H$12=0,0,H73/H$12)</f>
        <v>0</v>
      </c>
      <c r="K73" s="15"/>
      <c r="L73" s="34">
        <f>+D73-H73</f>
        <v>1700.8900000000212</v>
      </c>
      <c r="M73" s="15"/>
      <c r="N73" s="30">
        <f>IF(H73=0,0,L73/H73)</f>
        <v>-3.6549778602750216E-2</v>
      </c>
      <c r="O73" s="28"/>
      <c r="P73" s="34">
        <f>SUM(P70:P72)</f>
        <v>-259130.04999999996</v>
      </c>
      <c r="Q73" s="14"/>
      <c r="R73" s="30">
        <f>IF(P$12=0,0,P73/P$12)</f>
        <v>0</v>
      </c>
      <c r="S73" s="14"/>
      <c r="T73" s="34">
        <f>SUM(T70:T72)</f>
        <v>-252629.03000000003</v>
      </c>
      <c r="U73" s="14"/>
      <c r="V73" s="30">
        <f>IF(T$12=0,0,T73/T$12)</f>
        <v>0</v>
      </c>
      <c r="W73" s="15"/>
      <c r="X73" s="34">
        <f>+P73-T73</f>
        <v>-6501.0199999999313</v>
      </c>
      <c r="Y73" s="15"/>
      <c r="Z73" s="30">
        <f>IF(T73=0,0,X73/T73)</f>
        <v>2.5733463806593925E-2</v>
      </c>
    </row>
    <row r="74" spans="1:26" ht="15.75" thickTop="1" x14ac:dyDescent="0.25">
      <c r="A74" s="9"/>
      <c r="C74" s="9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59">
        <v>43815.491536423608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62" t="s">
        <v>313</v>
      </c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61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","203", " - ", "Human Resources")</f>
        <v>Department 203 - Human Resources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50493.69000000001</v>
      </c>
      <c r="E18" s="22"/>
      <c r="F18" s="33">
        <f t="shared" ref="F18:F29" si="0">IF(D$12=0,0,D18/D$12)</f>
        <v>0</v>
      </c>
      <c r="G18" s="22"/>
      <c r="H18" s="22">
        <f>SUM(OSRRefH22x_0)</f>
        <v>48486.099999999991</v>
      </c>
      <c r="I18" s="22"/>
      <c r="J18" s="33">
        <f t="shared" ref="J18:J29" si="1">IF(H$12=0,0,H18/H$12)</f>
        <v>0</v>
      </c>
      <c r="K18" s="4"/>
      <c r="L18" s="22">
        <f t="shared" ref="L18:L29" si="2">+D18-H18</f>
        <v>2007.5900000000183</v>
      </c>
      <c r="M18" s="4"/>
      <c r="N18" s="33">
        <f t="shared" ref="N18:N29" si="3">IF(H18=0,0,L18/H18)</f>
        <v>4.1405474971177691E-2</v>
      </c>
      <c r="O18" s="10"/>
      <c r="P18" s="22">
        <f>SUM(OSRRefP22x_0)</f>
        <v>340081.28</v>
      </c>
      <c r="Q18" s="22"/>
      <c r="R18" s="33">
        <f t="shared" ref="R18:R29" si="4">IF(P$12=0,0,P18/P$12)</f>
        <v>0</v>
      </c>
      <c r="S18" s="22"/>
      <c r="T18" s="22">
        <f>SUM(OSRRefT22x_0)</f>
        <v>284632.81</v>
      </c>
      <c r="U18" s="22"/>
      <c r="V18" s="33">
        <f t="shared" ref="V18:V29" si="5">IF(T$12=0,0,T18/T$12)</f>
        <v>0</v>
      </c>
      <c r="W18" s="4"/>
      <c r="X18" s="22">
        <f t="shared" ref="X18:X29" si="6">+P18-T18</f>
        <v>55448.47000000003</v>
      </c>
      <c r="Y18" s="4"/>
      <c r="Z18" s="33">
        <f t="shared" ref="Z18:Z29" si="7">IF(T18=0,0,X18/T18)</f>
        <v>0.19480702172037029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12336.43</v>
      </c>
      <c r="E19" s="1"/>
      <c r="F19" s="5">
        <f t="shared" si="0"/>
        <v>0</v>
      </c>
      <c r="G19" s="1"/>
      <c r="H19" s="1">
        <f>SUM(OSRRefH22_0x_0)</f>
        <v>10898.84</v>
      </c>
      <c r="I19" s="1"/>
      <c r="J19" s="5">
        <f t="shared" si="1"/>
        <v>0</v>
      </c>
      <c r="K19" s="1"/>
      <c r="L19" s="1">
        <f t="shared" si="2"/>
        <v>1437.5900000000001</v>
      </c>
      <c r="M19" s="1"/>
      <c r="N19" s="5">
        <f t="shared" si="3"/>
        <v>0.13190302821217673</v>
      </c>
      <c r="O19" s="13"/>
      <c r="P19" s="1">
        <f>SUM(OSRRefP22_0x_0)</f>
        <v>69716.710000000006</v>
      </c>
      <c r="Q19" s="1"/>
      <c r="R19" s="5">
        <f t="shared" si="4"/>
        <v>0</v>
      </c>
      <c r="S19" s="1"/>
      <c r="T19" s="1">
        <f>SUM(OSRRefT22_0x_0)</f>
        <v>55552.94</v>
      </c>
      <c r="U19" s="1"/>
      <c r="V19" s="5">
        <f t="shared" si="5"/>
        <v>0</v>
      </c>
      <c r="W19" s="1"/>
      <c r="X19" s="1">
        <f t="shared" si="6"/>
        <v>14163.770000000004</v>
      </c>
      <c r="Y19" s="1"/>
      <c r="Z19" s="5">
        <f t="shared" si="7"/>
        <v>0.25495986351037414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1665.77</v>
      </c>
      <c r="E20" s="2"/>
      <c r="F20" s="7">
        <f t="shared" si="0"/>
        <v>0</v>
      </c>
      <c r="G20" s="2"/>
      <c r="H20" s="6">
        <v>1476.67</v>
      </c>
      <c r="I20" s="2"/>
      <c r="J20" s="7">
        <f t="shared" si="1"/>
        <v>0</v>
      </c>
      <c r="K20" s="2"/>
      <c r="L20" s="6">
        <f t="shared" si="2"/>
        <v>189.09999999999991</v>
      </c>
      <c r="M20" s="2"/>
      <c r="N20" s="7">
        <f t="shared" si="3"/>
        <v>0.12805840167403679</v>
      </c>
      <c r="O20" s="11"/>
      <c r="P20" s="6">
        <v>10783.9</v>
      </c>
      <c r="Q20" s="2"/>
      <c r="R20" s="7">
        <f t="shared" si="4"/>
        <v>0</v>
      </c>
      <c r="S20" s="2"/>
      <c r="T20" s="6">
        <v>9647.51</v>
      </c>
      <c r="U20" s="2"/>
      <c r="V20" s="7">
        <f t="shared" si="5"/>
        <v>0</v>
      </c>
      <c r="W20" s="2"/>
      <c r="X20" s="6">
        <f t="shared" si="6"/>
        <v>1136.3899999999994</v>
      </c>
      <c r="Y20" s="2"/>
      <c r="Z20" s="7">
        <f t="shared" si="7"/>
        <v>0.11779101550555526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76.23</v>
      </c>
      <c r="E21" s="2"/>
      <c r="F21" s="7">
        <f t="shared" si="0"/>
        <v>0</v>
      </c>
      <c r="G21" s="2"/>
      <c r="H21" s="6">
        <v>64.36</v>
      </c>
      <c r="I21" s="2"/>
      <c r="J21" s="7">
        <f t="shared" si="1"/>
        <v>0</v>
      </c>
      <c r="K21" s="2"/>
      <c r="L21" s="6">
        <f t="shared" si="2"/>
        <v>11.870000000000005</v>
      </c>
      <c r="M21" s="2"/>
      <c r="N21" s="7">
        <f t="shared" si="3"/>
        <v>0.1844313238036048</v>
      </c>
      <c r="O21" s="11"/>
      <c r="P21" s="6">
        <v>311.17</v>
      </c>
      <c r="Q21" s="2"/>
      <c r="R21" s="7">
        <f t="shared" si="4"/>
        <v>0</v>
      </c>
      <c r="S21" s="2"/>
      <c r="T21" s="6">
        <v>400.88</v>
      </c>
      <c r="U21" s="2"/>
      <c r="V21" s="7">
        <f t="shared" si="5"/>
        <v>0</v>
      </c>
      <c r="W21" s="2"/>
      <c r="X21" s="6">
        <f t="shared" si="6"/>
        <v>-89.70999999999998</v>
      </c>
      <c r="Y21" s="2"/>
      <c r="Z21" s="7">
        <f t="shared" si="7"/>
        <v>-0.22378267810816199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5861.63</v>
      </c>
      <c r="E22" s="2"/>
      <c r="F22" s="7">
        <f t="shared" si="0"/>
        <v>0</v>
      </c>
      <c r="G22" s="2"/>
      <c r="H22" s="6">
        <v>6224.79</v>
      </c>
      <c r="I22" s="2"/>
      <c r="J22" s="7">
        <f t="shared" si="1"/>
        <v>0</v>
      </c>
      <c r="K22" s="2"/>
      <c r="L22" s="6">
        <f t="shared" si="2"/>
        <v>-363.15999999999985</v>
      </c>
      <c r="M22" s="2"/>
      <c r="N22" s="7">
        <f t="shared" si="3"/>
        <v>-5.8340923950848118E-2</v>
      </c>
      <c r="O22" s="11"/>
      <c r="P22" s="6">
        <v>29308.9</v>
      </c>
      <c r="Q22" s="2"/>
      <c r="R22" s="7">
        <f t="shared" si="4"/>
        <v>0</v>
      </c>
      <c r="S22" s="2"/>
      <c r="T22" s="6">
        <v>26508.41</v>
      </c>
      <c r="U22" s="2"/>
      <c r="V22" s="7">
        <f t="shared" si="5"/>
        <v>0</v>
      </c>
      <c r="W22" s="2"/>
      <c r="X22" s="6">
        <f t="shared" si="6"/>
        <v>2800.4900000000016</v>
      </c>
      <c r="Y22" s="2"/>
      <c r="Z22" s="7">
        <f t="shared" si="7"/>
        <v>0.10564534047873869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58.29</v>
      </c>
      <c r="E23" s="2"/>
      <c r="F23" s="7">
        <f t="shared" si="0"/>
        <v>0</v>
      </c>
      <c r="G23" s="2"/>
      <c r="H23" s="6">
        <v>53.98</v>
      </c>
      <c r="I23" s="2"/>
      <c r="J23" s="7">
        <f t="shared" si="1"/>
        <v>0</v>
      </c>
      <c r="K23" s="2"/>
      <c r="L23" s="6">
        <f t="shared" si="2"/>
        <v>4.3100000000000023</v>
      </c>
      <c r="M23" s="2"/>
      <c r="N23" s="7">
        <f t="shared" si="3"/>
        <v>7.9844386809929654E-2</v>
      </c>
      <c r="O23" s="11"/>
      <c r="P23" s="6">
        <v>336.65</v>
      </c>
      <c r="Q23" s="2"/>
      <c r="R23" s="7">
        <f t="shared" si="4"/>
        <v>0</v>
      </c>
      <c r="S23" s="2"/>
      <c r="T23" s="6">
        <v>336.22</v>
      </c>
      <c r="U23" s="2"/>
      <c r="V23" s="7">
        <f t="shared" si="5"/>
        <v>0</v>
      </c>
      <c r="W23" s="2"/>
      <c r="X23" s="6">
        <f t="shared" si="6"/>
        <v>0.42999999999994998</v>
      </c>
      <c r="Y23" s="2"/>
      <c r="Z23" s="7">
        <f t="shared" si="7"/>
        <v>1.2789245137111117E-3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919.4</v>
      </c>
      <c r="E24" s="2"/>
      <c r="F24" s="7">
        <f t="shared" si="0"/>
        <v>0</v>
      </c>
      <c r="G24" s="2"/>
      <c r="H24" s="6">
        <v>727.17</v>
      </c>
      <c r="I24" s="2"/>
      <c r="J24" s="7">
        <f t="shared" si="1"/>
        <v>0</v>
      </c>
      <c r="K24" s="2"/>
      <c r="L24" s="6">
        <f t="shared" si="2"/>
        <v>192.23000000000002</v>
      </c>
      <c r="M24" s="2"/>
      <c r="N24" s="7">
        <f t="shared" si="3"/>
        <v>0.26435358994457969</v>
      </c>
      <c r="O24" s="11"/>
      <c r="P24" s="6">
        <v>6120.89</v>
      </c>
      <c r="Q24" s="2"/>
      <c r="R24" s="7">
        <f t="shared" si="4"/>
        <v>0</v>
      </c>
      <c r="S24" s="2"/>
      <c r="T24" s="6">
        <v>5406.83</v>
      </c>
      <c r="U24" s="2"/>
      <c r="V24" s="7">
        <f t="shared" si="5"/>
        <v>0</v>
      </c>
      <c r="W24" s="2"/>
      <c r="X24" s="6">
        <f t="shared" si="6"/>
        <v>714.0600000000004</v>
      </c>
      <c r="Y24" s="2"/>
      <c r="Z24" s="7">
        <f t="shared" si="7"/>
        <v>0.1320662939282353</v>
      </c>
    </row>
    <row r="25" spans="1:26" s="24" customFormat="1" hidden="1" outlineLevel="2" x14ac:dyDescent="0.25">
      <c r="A25" s="26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1971.94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1971.94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"6117", " - ", "RETIREMENT STAFF HOURLY")</f>
        <v xml:space="preserve">          6117 - RETIREMENT STAFF HOURLY</v>
      </c>
      <c r="C26" s="11"/>
      <c r="D26" s="6">
        <v>333.85</v>
      </c>
      <c r="E26" s="2"/>
      <c r="F26" s="7">
        <f t="shared" si="0"/>
        <v>0</v>
      </c>
      <c r="G26" s="2"/>
      <c r="H26" s="6">
        <v>223.89</v>
      </c>
      <c r="I26" s="2"/>
      <c r="J26" s="7">
        <f t="shared" si="1"/>
        <v>0</v>
      </c>
      <c r="K26" s="2"/>
      <c r="L26" s="6">
        <f t="shared" si="2"/>
        <v>109.96000000000004</v>
      </c>
      <c r="M26" s="2"/>
      <c r="N26" s="7">
        <f t="shared" si="3"/>
        <v>0.49113403903702729</v>
      </c>
      <c r="O26" s="11"/>
      <c r="P26" s="6">
        <v>2313.37</v>
      </c>
      <c r="Q26" s="2"/>
      <c r="R26" s="7">
        <f t="shared" si="4"/>
        <v>0</v>
      </c>
      <c r="S26" s="2"/>
      <c r="T26" s="6">
        <v>1204.83</v>
      </c>
      <c r="U26" s="2"/>
      <c r="V26" s="7">
        <f t="shared" si="5"/>
        <v>0</v>
      </c>
      <c r="W26" s="2"/>
      <c r="X26" s="6">
        <f t="shared" si="6"/>
        <v>1108.54</v>
      </c>
      <c r="Y26" s="2"/>
      <c r="Z26" s="7">
        <f t="shared" si="7"/>
        <v>0.92008001128789951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1479.67</v>
      </c>
      <c r="E27" s="2"/>
      <c r="F27" s="7">
        <f t="shared" si="0"/>
        <v>0</v>
      </c>
      <c r="G27" s="2"/>
      <c r="H27" s="6">
        <v>1036.28</v>
      </c>
      <c r="I27" s="2"/>
      <c r="J27" s="7">
        <f t="shared" si="1"/>
        <v>0</v>
      </c>
      <c r="K27" s="2"/>
      <c r="L27" s="6">
        <f t="shared" si="2"/>
        <v>443.3900000000001</v>
      </c>
      <c r="M27" s="2"/>
      <c r="N27" s="7">
        <f t="shared" si="3"/>
        <v>0.42786698575674537</v>
      </c>
      <c r="O27" s="11"/>
      <c r="P27" s="6">
        <v>10085.870000000001</v>
      </c>
      <c r="Q27" s="2"/>
      <c r="R27" s="7">
        <f t="shared" si="4"/>
        <v>0</v>
      </c>
      <c r="S27" s="2"/>
      <c r="T27" s="6">
        <v>6072.09</v>
      </c>
      <c r="U27" s="2"/>
      <c r="V27" s="7">
        <f t="shared" si="5"/>
        <v>0</v>
      </c>
      <c r="W27" s="2"/>
      <c r="X27" s="6">
        <f t="shared" si="6"/>
        <v>4013.7800000000007</v>
      </c>
      <c r="Y27" s="2"/>
      <c r="Z27" s="7">
        <f t="shared" si="7"/>
        <v>0.66102116404730504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1514.86</v>
      </c>
      <c r="E28" s="2"/>
      <c r="F28" s="7">
        <f t="shared" si="0"/>
        <v>0</v>
      </c>
      <c r="G28" s="2"/>
      <c r="H28" s="6">
        <v>742.68</v>
      </c>
      <c r="I28" s="2"/>
      <c r="J28" s="7">
        <f t="shared" si="1"/>
        <v>0</v>
      </c>
      <c r="K28" s="2"/>
      <c r="L28" s="6">
        <f t="shared" si="2"/>
        <v>772.18</v>
      </c>
      <c r="M28" s="2"/>
      <c r="N28" s="7">
        <f t="shared" si="3"/>
        <v>1.0397210103947865</v>
      </c>
      <c r="O28" s="11"/>
      <c r="P28" s="6">
        <v>6551.09</v>
      </c>
      <c r="Q28" s="2"/>
      <c r="R28" s="7">
        <f t="shared" si="4"/>
        <v>0</v>
      </c>
      <c r="S28" s="2"/>
      <c r="T28" s="6">
        <v>4162.59</v>
      </c>
      <c r="U28" s="2"/>
      <c r="V28" s="7">
        <f t="shared" si="5"/>
        <v>0</v>
      </c>
      <c r="W28" s="2"/>
      <c r="X28" s="6">
        <f t="shared" si="6"/>
        <v>2388.5</v>
      </c>
      <c r="Y28" s="2"/>
      <c r="Z28" s="7">
        <f t="shared" si="7"/>
        <v>0.57380140729689921</v>
      </c>
    </row>
    <row r="29" spans="1:26" s="24" customFormat="1" hidden="1" outlineLevel="2" x14ac:dyDescent="0.25">
      <c r="A29" s="26"/>
      <c r="B29" s="11" t="str">
        <f>CONCATENATE("          ", "6156", " - ", "EMPLOYEE MEALS")</f>
        <v xml:space="preserve">          6156 - EMPLOYEE MEALS</v>
      </c>
      <c r="C29" s="11"/>
      <c r="D29" s="6">
        <v>426.73</v>
      </c>
      <c r="E29" s="2"/>
      <c r="F29" s="7">
        <f t="shared" si="0"/>
        <v>0</v>
      </c>
      <c r="G29" s="2"/>
      <c r="H29" s="6">
        <v>349.02</v>
      </c>
      <c r="I29" s="2"/>
      <c r="J29" s="7">
        <f t="shared" si="1"/>
        <v>0</v>
      </c>
      <c r="K29" s="2"/>
      <c r="L29" s="6">
        <f t="shared" si="2"/>
        <v>77.710000000000036</v>
      </c>
      <c r="M29" s="2"/>
      <c r="N29" s="7">
        <f t="shared" si="3"/>
        <v>0.22265199702022817</v>
      </c>
      <c r="O29" s="11"/>
      <c r="P29" s="6">
        <v>1932.93</v>
      </c>
      <c r="Q29" s="2"/>
      <c r="R29" s="7">
        <f t="shared" si="4"/>
        <v>0</v>
      </c>
      <c r="S29" s="2"/>
      <c r="T29" s="6">
        <v>1813.58</v>
      </c>
      <c r="U29" s="2"/>
      <c r="V29" s="7">
        <f t="shared" si="5"/>
        <v>0</v>
      </c>
      <c r="W29" s="2"/>
      <c r="X29" s="6">
        <f t="shared" si="6"/>
        <v>119.35000000000014</v>
      </c>
      <c r="Y29" s="2"/>
      <c r="Z29" s="7">
        <f t="shared" si="7"/>
        <v>6.5809062737789428E-2</v>
      </c>
    </row>
    <row r="30" spans="1:26" s="25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20425.559999999998</v>
      </c>
      <c r="E30" s="1"/>
      <c r="F30" s="5">
        <f t="shared" ref="F30:F34" si="8">IF(D$12=0,0,D30/D$12)</f>
        <v>0</v>
      </c>
      <c r="G30" s="1"/>
      <c r="H30" s="1">
        <f>SUM(OSRRefH22_1x_0)</f>
        <v>18629.149999999998</v>
      </c>
      <c r="I30" s="1"/>
      <c r="J30" s="5">
        <f t="shared" ref="J30:J34" si="9">IF(H$12=0,0,H30/H$12)</f>
        <v>0</v>
      </c>
      <c r="K30" s="1"/>
      <c r="L30" s="1">
        <f t="shared" ref="L30:L34" si="10">+D30-H30</f>
        <v>1796.4099999999999</v>
      </c>
      <c r="M30" s="1"/>
      <c r="N30" s="5">
        <f t="shared" ref="N30:N34" si="11">IF(H30=0,0,L30/H30)</f>
        <v>9.6430057195309504E-2</v>
      </c>
      <c r="O30" s="13"/>
      <c r="P30" s="1">
        <f>SUM(OSRRefP22_1x_0)</f>
        <v>118335.07999999999</v>
      </c>
      <c r="Q30" s="1"/>
      <c r="R30" s="5">
        <f t="shared" ref="R30:R34" si="12">IF(P$12=0,0,P30/P$12)</f>
        <v>0</v>
      </c>
      <c r="S30" s="1"/>
      <c r="T30" s="1">
        <f>SUM(OSRRefT22_1x_0)</f>
        <v>111595.67000000001</v>
      </c>
      <c r="U30" s="1"/>
      <c r="V30" s="5">
        <f t="shared" ref="V30:V34" si="13">IF(T$12=0,0,T30/T$12)</f>
        <v>0</v>
      </c>
      <c r="W30" s="1"/>
      <c r="X30" s="1">
        <f t="shared" ref="X30:X34" si="14">+P30-T30</f>
        <v>6739.4099999999744</v>
      </c>
      <c r="Y30" s="1"/>
      <c r="Z30" s="5">
        <f t="shared" ref="Z30:Z34" si="15">IF(T30=0,0,X30/T30)</f>
        <v>6.0391321634611569E-2</v>
      </c>
    </row>
    <row r="31" spans="1:26" s="24" customFormat="1" hidden="1" outlineLevel="2" x14ac:dyDescent="0.25">
      <c r="A31" s="26"/>
      <c r="B31" s="11" t="str">
        <f>CONCATENATE("          ", "6001", " - ", "ADMINISTRATIVE SALARIES")</f>
        <v xml:space="preserve">          6001 - ADMINISTRATIVE SALARIES</v>
      </c>
      <c r="C31" s="11"/>
      <c r="D31" s="6">
        <v>7645.88</v>
      </c>
      <c r="E31" s="2"/>
      <c r="F31" s="7">
        <f t="shared" si="8"/>
        <v>0</v>
      </c>
      <c r="G31" s="2"/>
      <c r="H31" s="6">
        <v>6569.19</v>
      </c>
      <c r="I31" s="2"/>
      <c r="J31" s="7">
        <f t="shared" si="9"/>
        <v>0</v>
      </c>
      <c r="K31" s="2"/>
      <c r="L31" s="6">
        <f t="shared" si="10"/>
        <v>1076.6900000000005</v>
      </c>
      <c r="M31" s="2"/>
      <c r="N31" s="7">
        <f t="shared" si="11"/>
        <v>0.16389996331358975</v>
      </c>
      <c r="O31" s="11"/>
      <c r="P31" s="6">
        <v>43626.52</v>
      </c>
      <c r="Q31" s="2"/>
      <c r="R31" s="7">
        <f t="shared" si="12"/>
        <v>0</v>
      </c>
      <c r="S31" s="2"/>
      <c r="T31" s="6">
        <v>40187.990000000005</v>
      </c>
      <c r="U31" s="2"/>
      <c r="V31" s="7">
        <f t="shared" si="13"/>
        <v>0</v>
      </c>
      <c r="W31" s="2"/>
      <c r="X31" s="6">
        <f t="shared" si="14"/>
        <v>3438.5299999999916</v>
      </c>
      <c r="Y31" s="2"/>
      <c r="Z31" s="7">
        <f t="shared" si="15"/>
        <v>8.5561134060200356E-2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6">
        <v>9310.7199999999993</v>
      </c>
      <c r="E32" s="2"/>
      <c r="F32" s="7">
        <f t="shared" si="8"/>
        <v>0</v>
      </c>
      <c r="G32" s="2"/>
      <c r="H32" s="6">
        <v>7967.25</v>
      </c>
      <c r="I32" s="2"/>
      <c r="J32" s="7">
        <f t="shared" si="9"/>
        <v>0</v>
      </c>
      <c r="K32" s="2"/>
      <c r="L32" s="6">
        <f t="shared" si="10"/>
        <v>1343.4699999999993</v>
      </c>
      <c r="M32" s="2"/>
      <c r="N32" s="7">
        <f t="shared" si="11"/>
        <v>0.16862405472402639</v>
      </c>
      <c r="O32" s="11"/>
      <c r="P32" s="6">
        <v>48871.28</v>
      </c>
      <c r="Q32" s="2"/>
      <c r="R32" s="7">
        <f t="shared" si="12"/>
        <v>0</v>
      </c>
      <c r="S32" s="2"/>
      <c r="T32" s="6">
        <v>43960.75</v>
      </c>
      <c r="U32" s="2"/>
      <c r="V32" s="7">
        <f t="shared" si="13"/>
        <v>0</v>
      </c>
      <c r="W32" s="2"/>
      <c r="X32" s="6">
        <f t="shared" si="14"/>
        <v>4910.5299999999988</v>
      </c>
      <c r="Y32" s="2"/>
      <c r="Z32" s="7">
        <f t="shared" si="15"/>
        <v>0.11170259834056513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>
        <v>3468.96</v>
      </c>
      <c r="E33" s="2"/>
      <c r="F33" s="7">
        <f t="shared" si="8"/>
        <v>0</v>
      </c>
      <c r="G33" s="2"/>
      <c r="H33" s="6">
        <v>3052.58</v>
      </c>
      <c r="I33" s="2"/>
      <c r="J33" s="7">
        <f t="shared" si="9"/>
        <v>0</v>
      </c>
      <c r="K33" s="2"/>
      <c r="L33" s="6">
        <f t="shared" si="10"/>
        <v>416.38000000000011</v>
      </c>
      <c r="M33" s="2"/>
      <c r="N33" s="7">
        <f t="shared" si="11"/>
        <v>0.13640264956200987</v>
      </c>
      <c r="O33" s="11"/>
      <c r="P33" s="6">
        <v>25837.279999999999</v>
      </c>
      <c r="Q33" s="2"/>
      <c r="R33" s="7">
        <f t="shared" si="12"/>
        <v>0</v>
      </c>
      <c r="S33" s="2"/>
      <c r="T33" s="6">
        <v>19013.86</v>
      </c>
      <c r="U33" s="2"/>
      <c r="V33" s="7">
        <f t="shared" si="13"/>
        <v>0</v>
      </c>
      <c r="W33" s="2"/>
      <c r="X33" s="6">
        <f t="shared" si="14"/>
        <v>6823.4199999999983</v>
      </c>
      <c r="Y33" s="2"/>
      <c r="Z33" s="7">
        <f t="shared" si="15"/>
        <v>0.3588655854203196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/>
      <c r="E34" s="2"/>
      <c r="F34" s="7">
        <f t="shared" si="8"/>
        <v>0</v>
      </c>
      <c r="G34" s="2"/>
      <c r="H34" s="6">
        <v>1040.1300000000001</v>
      </c>
      <c r="I34" s="2"/>
      <c r="J34" s="7">
        <f t="shared" si="9"/>
        <v>0</v>
      </c>
      <c r="K34" s="2"/>
      <c r="L34" s="6">
        <f t="shared" si="10"/>
        <v>-1040.1300000000001</v>
      </c>
      <c r="M34" s="2"/>
      <c r="N34" s="7">
        <f t="shared" si="11"/>
        <v>-1</v>
      </c>
      <c r="O34" s="11"/>
      <c r="P34" s="6">
        <v>0</v>
      </c>
      <c r="Q34" s="2"/>
      <c r="R34" s="7">
        <f t="shared" si="12"/>
        <v>0</v>
      </c>
      <c r="S34" s="2"/>
      <c r="T34" s="6">
        <v>8433.07</v>
      </c>
      <c r="U34" s="2"/>
      <c r="V34" s="7">
        <f t="shared" si="13"/>
        <v>0</v>
      </c>
      <c r="W34" s="2"/>
      <c r="X34" s="6">
        <f t="shared" si="14"/>
        <v>-8433.07</v>
      </c>
      <c r="Y34" s="2"/>
      <c r="Z34" s="7">
        <f t="shared" si="15"/>
        <v>-1</v>
      </c>
    </row>
    <row r="35" spans="1:26" s="25" customFormat="1" outlineLevel="1" collapsed="1" x14ac:dyDescent="0.25">
      <c r="A35" s="27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285</v>
      </c>
      <c r="E35" s="1"/>
      <c r="F35" s="5">
        <f t="shared" ref="F35:F52" si="16">IF(D$12=0,0,D35/D$12)</f>
        <v>0</v>
      </c>
      <c r="G35" s="1"/>
      <c r="H35" s="1">
        <f>SUM(OSRRefH22_2x_0)</f>
        <v>676.76</v>
      </c>
      <c r="I35" s="1"/>
      <c r="J35" s="5">
        <f t="shared" ref="J35:J52" si="17">IF(H$12=0,0,H35/H$12)</f>
        <v>0</v>
      </c>
      <c r="K35" s="1"/>
      <c r="L35" s="1">
        <f t="shared" ref="L35:L52" si="18">+D35-H35</f>
        <v>-391.76</v>
      </c>
      <c r="M35" s="1"/>
      <c r="N35" s="5">
        <f t="shared" ref="N35:N52" si="19">IF(H35=0,0,L35/H35)</f>
        <v>-0.57887582008392935</v>
      </c>
      <c r="O35" s="13"/>
      <c r="P35" s="1">
        <f>SUM(OSRRefP22_2x_0)</f>
        <v>1335.24</v>
      </c>
      <c r="Q35" s="1"/>
      <c r="R35" s="5">
        <f t="shared" ref="R35:R52" si="20">IF(P$12=0,0,P35/P$12)</f>
        <v>0</v>
      </c>
      <c r="S35" s="1"/>
      <c r="T35" s="1">
        <f>SUM(OSRRefT22_2x_0)</f>
        <v>2554.7399999999998</v>
      </c>
      <c r="U35" s="1"/>
      <c r="V35" s="5">
        <f t="shared" ref="V35:V52" si="21">IF(T$12=0,0,T35/T$12)</f>
        <v>0</v>
      </c>
      <c r="W35" s="1"/>
      <c r="X35" s="1">
        <f t="shared" ref="X35:X52" si="22">+P35-T35</f>
        <v>-1219.4999999999998</v>
      </c>
      <c r="Y35" s="1"/>
      <c r="Z35" s="5">
        <f t="shared" ref="Z35:Z52" si="23">IF(T35=0,0,X35/T35)</f>
        <v>-0.47734798844500803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6">
        <v>285</v>
      </c>
      <c r="E36" s="2"/>
      <c r="F36" s="7">
        <f t="shared" si="16"/>
        <v>0</v>
      </c>
      <c r="G36" s="2"/>
      <c r="H36" s="6">
        <v>676.76</v>
      </c>
      <c r="I36" s="2"/>
      <c r="J36" s="7">
        <f t="shared" si="17"/>
        <v>0</v>
      </c>
      <c r="K36" s="2"/>
      <c r="L36" s="6">
        <f t="shared" si="18"/>
        <v>-391.76</v>
      </c>
      <c r="M36" s="2"/>
      <c r="N36" s="7">
        <f t="shared" si="19"/>
        <v>-0.57887582008392935</v>
      </c>
      <c r="O36" s="11"/>
      <c r="P36" s="6">
        <v>1335.24</v>
      </c>
      <c r="Q36" s="2"/>
      <c r="R36" s="7">
        <f t="shared" si="20"/>
        <v>0</v>
      </c>
      <c r="S36" s="2"/>
      <c r="T36" s="6">
        <v>2554.7399999999998</v>
      </c>
      <c r="U36" s="2"/>
      <c r="V36" s="7">
        <f t="shared" si="21"/>
        <v>0</v>
      </c>
      <c r="W36" s="2"/>
      <c r="X36" s="6">
        <f t="shared" si="22"/>
        <v>-1219.4999999999998</v>
      </c>
      <c r="Y36" s="2"/>
      <c r="Z36" s="7">
        <f t="shared" si="23"/>
        <v>-0.47734798844500803</v>
      </c>
    </row>
    <row r="37" spans="1:26" s="25" customFormat="1" outlineLevel="1" collapsed="1" x14ac:dyDescent="0.25">
      <c r="A37" s="27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224.18</v>
      </c>
      <c r="E37" s="1"/>
      <c r="F37" s="5">
        <f t="shared" si="16"/>
        <v>0</v>
      </c>
      <c r="G37" s="1"/>
      <c r="H37" s="1">
        <f>SUM(OSRRefH22_3x_0)</f>
        <v>224.17</v>
      </c>
      <c r="I37" s="1"/>
      <c r="J37" s="5">
        <f t="shared" si="17"/>
        <v>0</v>
      </c>
      <c r="K37" s="1"/>
      <c r="L37" s="1">
        <f t="shared" si="18"/>
        <v>1.0000000000019327E-2</v>
      </c>
      <c r="M37" s="1"/>
      <c r="N37" s="5">
        <f t="shared" si="19"/>
        <v>4.4609002096709314E-5</v>
      </c>
      <c r="O37" s="13"/>
      <c r="P37" s="1">
        <f>SUM(OSRRefP22_3x_0)</f>
        <v>1120.9000000000001</v>
      </c>
      <c r="Q37" s="1"/>
      <c r="R37" s="5">
        <f t="shared" si="20"/>
        <v>0</v>
      </c>
      <c r="S37" s="1"/>
      <c r="T37" s="1">
        <f>SUM(OSRRefT22_3x_0)</f>
        <v>1120.8499999999999</v>
      </c>
      <c r="U37" s="1"/>
      <c r="V37" s="5">
        <f t="shared" si="21"/>
        <v>0</v>
      </c>
      <c r="W37" s="1"/>
      <c r="X37" s="1">
        <f t="shared" si="22"/>
        <v>5.0000000000181899E-2</v>
      </c>
      <c r="Y37" s="1"/>
      <c r="Z37" s="5">
        <f t="shared" si="23"/>
        <v>4.4609002096785391E-5</v>
      </c>
    </row>
    <row r="38" spans="1:26" s="24" customFormat="1" hidden="1" outlineLevel="2" x14ac:dyDescent="0.25">
      <c r="A38" s="26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224.18</v>
      </c>
      <c r="E38" s="2"/>
      <c r="F38" s="7">
        <f t="shared" si="16"/>
        <v>0</v>
      </c>
      <c r="G38" s="2"/>
      <c r="H38" s="6">
        <v>224.17</v>
      </c>
      <c r="I38" s="2"/>
      <c r="J38" s="7">
        <f t="shared" si="17"/>
        <v>0</v>
      </c>
      <c r="K38" s="2"/>
      <c r="L38" s="6">
        <f t="shared" si="18"/>
        <v>1.0000000000019327E-2</v>
      </c>
      <c r="M38" s="2"/>
      <c r="N38" s="7">
        <f t="shared" si="19"/>
        <v>4.4609002096709314E-5</v>
      </c>
      <c r="O38" s="11"/>
      <c r="P38" s="6">
        <v>1120.9000000000001</v>
      </c>
      <c r="Q38" s="2"/>
      <c r="R38" s="7">
        <f t="shared" si="20"/>
        <v>0</v>
      </c>
      <c r="S38" s="2"/>
      <c r="T38" s="6">
        <v>1120.8499999999999</v>
      </c>
      <c r="U38" s="2"/>
      <c r="V38" s="7">
        <f t="shared" si="21"/>
        <v>0</v>
      </c>
      <c r="W38" s="2"/>
      <c r="X38" s="6">
        <f t="shared" si="22"/>
        <v>5.0000000000181899E-2</v>
      </c>
      <c r="Y38" s="2"/>
      <c r="Z38" s="7">
        <f t="shared" si="23"/>
        <v>4.4609002096785391E-5</v>
      </c>
    </row>
    <row r="39" spans="1:26" s="25" customFormat="1" outlineLevel="1" collapsed="1" x14ac:dyDescent="0.25">
      <c r="A39" s="27"/>
      <c r="B39" s="13" t="str">
        <f>CONCATENATE("     ","Employees' Appreciation                           ")</f>
        <v xml:space="preserve">     Employees' Appreciation                           </v>
      </c>
      <c r="C39" s="13"/>
      <c r="D39" s="1">
        <f>SUM(OSRRefD22_4x_0)</f>
        <v>330</v>
      </c>
      <c r="E39" s="1"/>
      <c r="F39" s="5">
        <f t="shared" si="16"/>
        <v>0</v>
      </c>
      <c r="G39" s="1"/>
      <c r="H39" s="1">
        <f>SUM(OSRRefH22_4x_0)</f>
        <v>2875.39</v>
      </c>
      <c r="I39" s="1"/>
      <c r="J39" s="5">
        <f t="shared" si="17"/>
        <v>0</v>
      </c>
      <c r="K39" s="1"/>
      <c r="L39" s="1">
        <f t="shared" si="18"/>
        <v>-2545.39</v>
      </c>
      <c r="M39" s="1"/>
      <c r="N39" s="5">
        <f t="shared" si="19"/>
        <v>-0.88523295970285765</v>
      </c>
      <c r="O39" s="13"/>
      <c r="P39" s="1">
        <f>SUM(OSRRefP22_4x_0)</f>
        <v>12159.12</v>
      </c>
      <c r="Q39" s="1"/>
      <c r="R39" s="5">
        <f t="shared" si="20"/>
        <v>0</v>
      </c>
      <c r="S39" s="1"/>
      <c r="T39" s="1">
        <f>SUM(OSRRefT22_4x_0)</f>
        <v>10820.46</v>
      </c>
      <c r="U39" s="1"/>
      <c r="V39" s="5">
        <f t="shared" si="21"/>
        <v>0</v>
      </c>
      <c r="W39" s="1"/>
      <c r="X39" s="1">
        <f t="shared" si="22"/>
        <v>1338.6600000000017</v>
      </c>
      <c r="Y39" s="1"/>
      <c r="Z39" s="5">
        <f t="shared" si="23"/>
        <v>0.123715627616571</v>
      </c>
    </row>
    <row r="40" spans="1:26" s="24" customFormat="1" hidden="1" outlineLevel="2" x14ac:dyDescent="0.25">
      <c r="A40" s="26"/>
      <c r="B40" s="11" t="str">
        <f>CONCATENATE("          ", "6277", " - ", "EMPLOYEE APPRECIATION")</f>
        <v xml:space="preserve">          6277 - EMPLOYEE APPRECIATION</v>
      </c>
      <c r="C40" s="11"/>
      <c r="D40" s="6">
        <v>330</v>
      </c>
      <c r="E40" s="2"/>
      <c r="F40" s="7">
        <f t="shared" si="16"/>
        <v>0</v>
      </c>
      <c r="G40" s="2"/>
      <c r="H40" s="6">
        <v>2875.39</v>
      </c>
      <c r="I40" s="2"/>
      <c r="J40" s="7">
        <f t="shared" si="17"/>
        <v>0</v>
      </c>
      <c r="K40" s="2"/>
      <c r="L40" s="6">
        <f t="shared" si="18"/>
        <v>-2545.39</v>
      </c>
      <c r="M40" s="2"/>
      <c r="N40" s="7">
        <f t="shared" si="19"/>
        <v>-0.88523295970285765</v>
      </c>
      <c r="O40" s="11"/>
      <c r="P40" s="6">
        <v>12159.12</v>
      </c>
      <c r="Q40" s="2"/>
      <c r="R40" s="7">
        <f t="shared" si="20"/>
        <v>0</v>
      </c>
      <c r="S40" s="2"/>
      <c r="T40" s="6">
        <v>10820.46</v>
      </c>
      <c r="U40" s="2"/>
      <c r="V40" s="7">
        <f t="shared" si="21"/>
        <v>0</v>
      </c>
      <c r="W40" s="2"/>
      <c r="X40" s="6">
        <f t="shared" si="22"/>
        <v>1338.6600000000017</v>
      </c>
      <c r="Y40" s="2"/>
      <c r="Z40" s="7">
        <f t="shared" si="23"/>
        <v>0.123715627616571</v>
      </c>
    </row>
    <row r="41" spans="1:26" s="25" customFormat="1" outlineLevel="1" collapsed="1" x14ac:dyDescent="0.25">
      <c r="A41" s="27"/>
      <c r="B41" s="13" t="str">
        <f>CONCATENATE("     ","Equipment Rental                                  ")</f>
        <v xml:space="preserve">     Equipment Rental                                  </v>
      </c>
      <c r="C41" s="13"/>
      <c r="D41" s="1">
        <f>SUM(OSRRefD22_5x_0)</f>
        <v>0</v>
      </c>
      <c r="E41" s="1"/>
      <c r="F41" s="5">
        <f t="shared" si="16"/>
        <v>0</v>
      </c>
      <c r="G41" s="1"/>
      <c r="H41" s="1">
        <f>SUM(OSRRefH22_5x_0)</f>
        <v>91.26</v>
      </c>
      <c r="I41" s="1"/>
      <c r="J41" s="5">
        <f t="shared" si="17"/>
        <v>0</v>
      </c>
      <c r="K41" s="1"/>
      <c r="L41" s="1">
        <f t="shared" si="18"/>
        <v>-91.26</v>
      </c>
      <c r="M41" s="1"/>
      <c r="N41" s="5">
        <f t="shared" si="19"/>
        <v>-1</v>
      </c>
      <c r="O41" s="13"/>
      <c r="P41" s="1">
        <f>SUM(OSRRefP22_5x_0)</f>
        <v>273.77999999999997</v>
      </c>
      <c r="Q41" s="1"/>
      <c r="R41" s="5">
        <f t="shared" si="20"/>
        <v>0</v>
      </c>
      <c r="S41" s="1"/>
      <c r="T41" s="1">
        <f>SUM(OSRRefT22_5x_0)</f>
        <v>456.3</v>
      </c>
      <c r="U41" s="1"/>
      <c r="V41" s="5">
        <f t="shared" si="21"/>
        <v>0</v>
      </c>
      <c r="W41" s="1"/>
      <c r="X41" s="1">
        <f t="shared" si="22"/>
        <v>-182.52000000000004</v>
      </c>
      <c r="Y41" s="1"/>
      <c r="Z41" s="5">
        <f t="shared" si="23"/>
        <v>-0.40000000000000008</v>
      </c>
    </row>
    <row r="42" spans="1:26" s="24" customFormat="1" hidden="1" outlineLevel="2" x14ac:dyDescent="0.25">
      <c r="A42" s="26"/>
      <c r="B42" s="11" t="str">
        <f>CONCATENATE("          ", "6351", " - ", "EQUIPMENT RENTAL")</f>
        <v xml:space="preserve">          6351 - EQUIPMENT RENTAL</v>
      </c>
      <c r="C42" s="11"/>
      <c r="D42" s="6"/>
      <c r="E42" s="2"/>
      <c r="F42" s="7">
        <f t="shared" si="16"/>
        <v>0</v>
      </c>
      <c r="G42" s="2"/>
      <c r="H42" s="6">
        <v>91.26</v>
      </c>
      <c r="I42" s="2"/>
      <c r="J42" s="7">
        <f t="shared" si="17"/>
        <v>0</v>
      </c>
      <c r="K42" s="2"/>
      <c r="L42" s="6">
        <f t="shared" si="18"/>
        <v>-91.26</v>
      </c>
      <c r="M42" s="2"/>
      <c r="N42" s="7">
        <f t="shared" si="19"/>
        <v>-1</v>
      </c>
      <c r="O42" s="11"/>
      <c r="P42" s="6">
        <v>273.77999999999997</v>
      </c>
      <c r="Q42" s="2"/>
      <c r="R42" s="7">
        <f t="shared" si="20"/>
        <v>0</v>
      </c>
      <c r="S42" s="2"/>
      <c r="T42" s="6">
        <v>456.3</v>
      </c>
      <c r="U42" s="2"/>
      <c r="V42" s="7">
        <f t="shared" si="21"/>
        <v>0</v>
      </c>
      <c r="W42" s="2"/>
      <c r="X42" s="6">
        <f t="shared" si="22"/>
        <v>-182.52000000000004</v>
      </c>
      <c r="Y42" s="2"/>
      <c r="Z42" s="7">
        <f t="shared" si="23"/>
        <v>-0.40000000000000008</v>
      </c>
    </row>
    <row r="43" spans="1:26" s="25" customFormat="1" outlineLevel="1" collapsed="1" x14ac:dyDescent="0.25">
      <c r="A43" s="27"/>
      <c r="B43" s="13" t="str">
        <f>CONCATENATE("     ","Freight out/Postage                               ")</f>
        <v xml:space="preserve">     Freight out/Postage                               </v>
      </c>
      <c r="C43" s="13"/>
      <c r="D43" s="1">
        <f>SUM(OSRRefD22_6x_0)</f>
        <v>45.9</v>
      </c>
      <c r="E43" s="1"/>
      <c r="F43" s="5">
        <f t="shared" si="16"/>
        <v>0</v>
      </c>
      <c r="G43" s="1"/>
      <c r="H43" s="1">
        <f>SUM(OSRRefH22_6x_0)</f>
        <v>45.75</v>
      </c>
      <c r="I43" s="1"/>
      <c r="J43" s="5">
        <f t="shared" si="17"/>
        <v>0</v>
      </c>
      <c r="K43" s="1"/>
      <c r="L43" s="1">
        <f t="shared" si="18"/>
        <v>0.14999999999999858</v>
      </c>
      <c r="M43" s="1"/>
      <c r="N43" s="5">
        <f t="shared" si="19"/>
        <v>3.2786885245901327E-3</v>
      </c>
      <c r="O43" s="13"/>
      <c r="P43" s="1">
        <f>SUM(OSRRefP22_6x_0)</f>
        <v>283.5</v>
      </c>
      <c r="Q43" s="1"/>
      <c r="R43" s="5">
        <f t="shared" si="20"/>
        <v>0</v>
      </c>
      <c r="S43" s="1"/>
      <c r="T43" s="1">
        <f>SUM(OSRRefT22_6x_0)</f>
        <v>423.21</v>
      </c>
      <c r="U43" s="1"/>
      <c r="V43" s="5">
        <f t="shared" si="21"/>
        <v>0</v>
      </c>
      <c r="W43" s="1"/>
      <c r="X43" s="1">
        <f t="shared" si="22"/>
        <v>-139.70999999999998</v>
      </c>
      <c r="Y43" s="1"/>
      <c r="Z43" s="5">
        <f t="shared" si="23"/>
        <v>-0.33011979868150559</v>
      </c>
    </row>
    <row r="44" spans="1:26" s="24" customFormat="1" hidden="1" outlineLevel="2" x14ac:dyDescent="0.25">
      <c r="A44" s="26"/>
      <c r="B44" s="11" t="str">
        <f>CONCATENATE("          ", "6307", " - ", "POSTAGE")</f>
        <v xml:space="preserve">          6307 - POSTAGE</v>
      </c>
      <c r="C44" s="11"/>
      <c r="D44" s="6">
        <v>45.9</v>
      </c>
      <c r="E44" s="2"/>
      <c r="F44" s="7">
        <f t="shared" si="16"/>
        <v>0</v>
      </c>
      <c r="G44" s="2"/>
      <c r="H44" s="6">
        <v>45.75</v>
      </c>
      <c r="I44" s="2"/>
      <c r="J44" s="7">
        <f t="shared" si="17"/>
        <v>0</v>
      </c>
      <c r="K44" s="2"/>
      <c r="L44" s="6">
        <f t="shared" si="18"/>
        <v>0.14999999999999858</v>
      </c>
      <c r="M44" s="2"/>
      <c r="N44" s="7">
        <f t="shared" si="19"/>
        <v>3.2786885245901327E-3</v>
      </c>
      <c r="O44" s="11"/>
      <c r="P44" s="6">
        <v>283.5</v>
      </c>
      <c r="Q44" s="2"/>
      <c r="R44" s="7">
        <f t="shared" si="20"/>
        <v>0</v>
      </c>
      <c r="S44" s="2"/>
      <c r="T44" s="6">
        <v>423.21</v>
      </c>
      <c r="U44" s="2"/>
      <c r="V44" s="7">
        <f t="shared" si="21"/>
        <v>0</v>
      </c>
      <c r="W44" s="2"/>
      <c r="X44" s="6">
        <f t="shared" si="22"/>
        <v>-139.70999999999998</v>
      </c>
      <c r="Y44" s="2"/>
      <c r="Z44" s="7">
        <f t="shared" si="23"/>
        <v>-0.33011979868150559</v>
      </c>
    </row>
    <row r="45" spans="1:26" s="25" customFormat="1" outlineLevel="1" collapsed="1" x14ac:dyDescent="0.25">
      <c r="A45" s="27"/>
      <c r="B45" s="13" t="str">
        <f>CONCATENATE("     ","General                                           ")</f>
        <v xml:space="preserve">     General                                           </v>
      </c>
      <c r="C45" s="13"/>
      <c r="D45" s="1">
        <f>SUM(OSRRefD22_7x_0)</f>
        <v>0</v>
      </c>
      <c r="E45" s="1"/>
      <c r="F45" s="5">
        <f t="shared" si="16"/>
        <v>0</v>
      </c>
      <c r="G45" s="1"/>
      <c r="H45" s="1">
        <f>SUM(OSRRefH22_7x_0)</f>
        <v>0</v>
      </c>
      <c r="I45" s="1"/>
      <c r="J45" s="5">
        <f t="shared" si="17"/>
        <v>0</v>
      </c>
      <c r="K45" s="1"/>
      <c r="L45" s="1">
        <f t="shared" si="18"/>
        <v>0</v>
      </c>
      <c r="M45" s="1"/>
      <c r="N45" s="5">
        <f t="shared" si="19"/>
        <v>0</v>
      </c>
      <c r="O45" s="13"/>
      <c r="P45" s="1">
        <f>SUM(OSRRefP22_7x_0)</f>
        <v>700</v>
      </c>
      <c r="Q45" s="1"/>
      <c r="R45" s="5">
        <f t="shared" si="20"/>
        <v>0</v>
      </c>
      <c r="S45" s="1"/>
      <c r="T45" s="1">
        <f>SUM(OSRRefT22_7x_0)</f>
        <v>700</v>
      </c>
      <c r="U45" s="1"/>
      <c r="V45" s="5">
        <f t="shared" si="21"/>
        <v>0</v>
      </c>
      <c r="W45" s="1"/>
      <c r="X45" s="1">
        <f t="shared" si="22"/>
        <v>0</v>
      </c>
      <c r="Y45" s="1"/>
      <c r="Z45" s="5">
        <f t="shared" si="23"/>
        <v>0</v>
      </c>
    </row>
    <row r="46" spans="1:26" s="24" customFormat="1" hidden="1" outlineLevel="2" x14ac:dyDescent="0.25">
      <c r="A46" s="26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>
        <v>700</v>
      </c>
      <c r="Q46" s="2"/>
      <c r="R46" s="7">
        <f t="shared" si="20"/>
        <v>0</v>
      </c>
      <c r="S46" s="2"/>
      <c r="T46" s="6">
        <v>700</v>
      </c>
      <c r="U46" s="2"/>
      <c r="V46" s="7">
        <f t="shared" si="21"/>
        <v>0</v>
      </c>
      <c r="W46" s="2"/>
      <c r="X46" s="6">
        <f t="shared" si="22"/>
        <v>0</v>
      </c>
      <c r="Y46" s="2"/>
      <c r="Z46" s="7">
        <f t="shared" si="23"/>
        <v>0</v>
      </c>
    </row>
    <row r="47" spans="1:26" s="25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SUM(OSRRefD22_8x_0)</f>
        <v>65.47</v>
      </c>
      <c r="E47" s="1"/>
      <c r="F47" s="5">
        <f t="shared" si="16"/>
        <v>0</v>
      </c>
      <c r="G47" s="1"/>
      <c r="H47" s="1">
        <f>SUM(OSRRefH22_8x_0)</f>
        <v>61.68</v>
      </c>
      <c r="I47" s="1"/>
      <c r="J47" s="5">
        <f t="shared" si="17"/>
        <v>0</v>
      </c>
      <c r="K47" s="1"/>
      <c r="L47" s="1">
        <f t="shared" si="18"/>
        <v>3.7899999999999991</v>
      </c>
      <c r="M47" s="1"/>
      <c r="N47" s="5">
        <f t="shared" si="19"/>
        <v>6.1446173800259393E-2</v>
      </c>
      <c r="O47" s="13"/>
      <c r="P47" s="1">
        <f>SUM(OSRRefP22_8x_0)</f>
        <v>327.35000000000002</v>
      </c>
      <c r="Q47" s="1"/>
      <c r="R47" s="5">
        <f t="shared" si="20"/>
        <v>0</v>
      </c>
      <c r="S47" s="1"/>
      <c r="T47" s="1">
        <f>SUM(OSRRefT22_8x_0)</f>
        <v>308.39999999999998</v>
      </c>
      <c r="U47" s="1"/>
      <c r="V47" s="5">
        <f t="shared" si="21"/>
        <v>0</v>
      </c>
      <c r="W47" s="1"/>
      <c r="X47" s="1">
        <f t="shared" si="22"/>
        <v>18.950000000000045</v>
      </c>
      <c r="Y47" s="1"/>
      <c r="Z47" s="5">
        <f t="shared" si="23"/>
        <v>6.1446173800259553E-2</v>
      </c>
    </row>
    <row r="48" spans="1:26" s="24" customFormat="1" hidden="1" outlineLevel="2" x14ac:dyDescent="0.25">
      <c r="A48" s="26"/>
      <c r="B48" s="11" t="str">
        <f>CONCATENATE("          ", "6314", " - ", "LIABILITY INSURANCE")</f>
        <v xml:space="preserve">          6314 - LIABILITY INSURANCE</v>
      </c>
      <c r="C48" s="11"/>
      <c r="D48" s="6">
        <v>65.47</v>
      </c>
      <c r="E48" s="2"/>
      <c r="F48" s="7">
        <f t="shared" si="16"/>
        <v>0</v>
      </c>
      <c r="G48" s="2"/>
      <c r="H48" s="6">
        <v>61.68</v>
      </c>
      <c r="I48" s="2"/>
      <c r="J48" s="7">
        <f t="shared" si="17"/>
        <v>0</v>
      </c>
      <c r="K48" s="2"/>
      <c r="L48" s="6">
        <f t="shared" si="18"/>
        <v>3.7899999999999991</v>
      </c>
      <c r="M48" s="2"/>
      <c r="N48" s="7">
        <f t="shared" si="19"/>
        <v>6.1446173800259393E-2</v>
      </c>
      <c r="O48" s="11"/>
      <c r="P48" s="6">
        <v>327.35000000000002</v>
      </c>
      <c r="Q48" s="2"/>
      <c r="R48" s="7">
        <f t="shared" si="20"/>
        <v>0</v>
      </c>
      <c r="S48" s="2"/>
      <c r="T48" s="6">
        <v>308.39999999999998</v>
      </c>
      <c r="U48" s="2"/>
      <c r="V48" s="7">
        <f t="shared" si="21"/>
        <v>0</v>
      </c>
      <c r="W48" s="2"/>
      <c r="X48" s="6">
        <f t="shared" si="22"/>
        <v>18.950000000000045</v>
      </c>
      <c r="Y48" s="2"/>
      <c r="Z48" s="7">
        <f t="shared" si="23"/>
        <v>6.1446173800259553E-2</v>
      </c>
    </row>
    <row r="49" spans="1:26" s="25" customFormat="1" outlineLevel="1" collapsed="1" x14ac:dyDescent="0.25">
      <c r="A49" s="27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SUM(OSRRefD22_9x_0)</f>
        <v>455.91</v>
      </c>
      <c r="E49" s="1"/>
      <c r="F49" s="5">
        <f t="shared" si="16"/>
        <v>0</v>
      </c>
      <c r="G49" s="1"/>
      <c r="H49" s="1">
        <f>SUM(OSRRefH22_9x_0)</f>
        <v>870.04</v>
      </c>
      <c r="I49" s="1"/>
      <c r="J49" s="5">
        <f t="shared" si="17"/>
        <v>0</v>
      </c>
      <c r="K49" s="1"/>
      <c r="L49" s="1">
        <f t="shared" si="18"/>
        <v>-414.12999999999994</v>
      </c>
      <c r="M49" s="1"/>
      <c r="N49" s="5">
        <f t="shared" si="19"/>
        <v>-0.47598960967311843</v>
      </c>
      <c r="O49" s="13"/>
      <c r="P49" s="1">
        <f>SUM(OSRRefP22_9x_0)</f>
        <v>54688.09</v>
      </c>
      <c r="Q49" s="1"/>
      <c r="R49" s="5">
        <f t="shared" si="20"/>
        <v>0</v>
      </c>
      <c r="S49" s="1"/>
      <c r="T49" s="1">
        <f>SUM(OSRRefT22_9x_0)</f>
        <v>17892.79</v>
      </c>
      <c r="U49" s="1"/>
      <c r="V49" s="5">
        <f t="shared" si="21"/>
        <v>0</v>
      </c>
      <c r="W49" s="1"/>
      <c r="X49" s="1">
        <f t="shared" si="22"/>
        <v>36795.299999999996</v>
      </c>
      <c r="Y49" s="1"/>
      <c r="Z49" s="5">
        <f t="shared" si="23"/>
        <v>2.0564316688453839</v>
      </c>
    </row>
    <row r="50" spans="1:26" s="24" customFormat="1" hidden="1" outlineLevel="2" x14ac:dyDescent="0.25">
      <c r="A50" s="26"/>
      <c r="B50" s="11" t="str">
        <f>CONCATENATE("          ", "6332", " - ", "CONSULTANT FEES")</f>
        <v xml:space="preserve">          6332 - CONSULTANT FEES</v>
      </c>
      <c r="C50" s="11"/>
      <c r="D50" s="6"/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0</v>
      </c>
      <c r="M50" s="2"/>
      <c r="N50" s="7">
        <f t="shared" si="19"/>
        <v>0</v>
      </c>
      <c r="O50" s="11"/>
      <c r="P50" s="6"/>
      <c r="Q50" s="2"/>
      <c r="R50" s="7">
        <f t="shared" si="20"/>
        <v>0</v>
      </c>
      <c r="S50" s="2"/>
      <c r="T50" s="6">
        <v>14450</v>
      </c>
      <c r="U50" s="2"/>
      <c r="V50" s="7">
        <f t="shared" si="21"/>
        <v>0</v>
      </c>
      <c r="W50" s="2"/>
      <c r="X50" s="6">
        <f t="shared" si="22"/>
        <v>-14450</v>
      </c>
      <c r="Y50" s="2"/>
      <c r="Z50" s="7">
        <f t="shared" si="23"/>
        <v>-1</v>
      </c>
    </row>
    <row r="51" spans="1:26" s="24" customFormat="1" hidden="1" outlineLevel="2" x14ac:dyDescent="0.25">
      <c r="A51" s="26"/>
      <c r="B51" s="11" t="str">
        <f>CONCATENATE("          ", "6334", " - ", "LEGAL COUNCIL EXPENSE")</f>
        <v xml:space="preserve">          6334 - LEGAL COUNCIL EXPENSE</v>
      </c>
      <c r="C51" s="11"/>
      <c r="D51" s="6">
        <v>140</v>
      </c>
      <c r="E51" s="2"/>
      <c r="F51" s="7">
        <f t="shared" si="16"/>
        <v>0</v>
      </c>
      <c r="G51" s="2"/>
      <c r="H51" s="6">
        <v>407.79</v>
      </c>
      <c r="I51" s="2"/>
      <c r="J51" s="7">
        <f t="shared" si="17"/>
        <v>0</v>
      </c>
      <c r="K51" s="2"/>
      <c r="L51" s="6">
        <f t="shared" si="18"/>
        <v>-267.79000000000002</v>
      </c>
      <c r="M51" s="2"/>
      <c r="N51" s="7">
        <f t="shared" si="19"/>
        <v>-0.65668603938301584</v>
      </c>
      <c r="O51" s="11"/>
      <c r="P51" s="6">
        <v>38010</v>
      </c>
      <c r="Q51" s="2"/>
      <c r="R51" s="7">
        <f t="shared" si="20"/>
        <v>0</v>
      </c>
      <c r="S51" s="2"/>
      <c r="T51" s="6">
        <v>407.79</v>
      </c>
      <c r="U51" s="2"/>
      <c r="V51" s="7">
        <f t="shared" si="21"/>
        <v>0</v>
      </c>
      <c r="W51" s="2"/>
      <c r="X51" s="6">
        <f t="shared" si="22"/>
        <v>37602.21</v>
      </c>
      <c r="Y51" s="2"/>
      <c r="Z51" s="7">
        <f t="shared" si="23"/>
        <v>92.209740307511211</v>
      </c>
    </row>
    <row r="52" spans="1:26" s="24" customFormat="1" hidden="1" outlineLevel="2" x14ac:dyDescent="0.25">
      <c r="A52" s="26"/>
      <c r="B52" s="11" t="str">
        <f>CONCATENATE("          ", "6336", " - ", "PROFESSIONAL SERVICES")</f>
        <v xml:space="preserve">          6336 - PROFESSIONAL SERVICES</v>
      </c>
      <c r="C52" s="11"/>
      <c r="D52" s="6">
        <v>315.91000000000003</v>
      </c>
      <c r="E52" s="2"/>
      <c r="F52" s="7">
        <f t="shared" si="16"/>
        <v>0</v>
      </c>
      <c r="G52" s="2"/>
      <c r="H52" s="6">
        <v>462.25</v>
      </c>
      <c r="I52" s="2"/>
      <c r="J52" s="7">
        <f t="shared" si="17"/>
        <v>0</v>
      </c>
      <c r="K52" s="2"/>
      <c r="L52" s="6">
        <f t="shared" si="18"/>
        <v>-146.33999999999997</v>
      </c>
      <c r="M52" s="2"/>
      <c r="N52" s="7">
        <f t="shared" si="19"/>
        <v>-0.31658193618171981</v>
      </c>
      <c r="O52" s="11"/>
      <c r="P52" s="6">
        <v>16678.09</v>
      </c>
      <c r="Q52" s="2"/>
      <c r="R52" s="7">
        <f t="shared" si="20"/>
        <v>0</v>
      </c>
      <c r="S52" s="2"/>
      <c r="T52" s="6">
        <v>3035</v>
      </c>
      <c r="U52" s="2"/>
      <c r="V52" s="7">
        <f t="shared" si="21"/>
        <v>0</v>
      </c>
      <c r="W52" s="2"/>
      <c r="X52" s="6">
        <f t="shared" si="22"/>
        <v>13643.09</v>
      </c>
      <c r="Y52" s="2"/>
      <c r="Z52" s="7">
        <f t="shared" si="23"/>
        <v>4.4952520593080729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SUM(OSRRefD22_10x_0)</f>
        <v>13504.189999999999</v>
      </c>
      <c r="E53" s="1"/>
      <c r="F53" s="5">
        <f t="shared" ref="F53:F55" si="24">IF(D$12=0,0,D53/D$12)</f>
        <v>0</v>
      </c>
      <c r="G53" s="1"/>
      <c r="H53" s="1">
        <f>SUM(OSRRefH22_10x_0)</f>
        <v>13101.5</v>
      </c>
      <c r="I53" s="1"/>
      <c r="J53" s="5">
        <f t="shared" ref="J53:J55" si="25">IF(H$12=0,0,H53/H$12)</f>
        <v>0</v>
      </c>
      <c r="K53" s="1"/>
      <c r="L53" s="1">
        <f t="shared" ref="L53:L55" si="26">+D53-H53</f>
        <v>402.68999999999869</v>
      </c>
      <c r="M53" s="1"/>
      <c r="N53" s="5">
        <f t="shared" ref="N53:N55" si="27">IF(H53=0,0,L53/H53)</f>
        <v>3.0736175247109011E-2</v>
      </c>
      <c r="O53" s="13"/>
      <c r="P53" s="1">
        <f>SUM(OSRRefP22_10x_0)</f>
        <v>58065.46</v>
      </c>
      <c r="Q53" s="1"/>
      <c r="R53" s="5">
        <f t="shared" ref="R53:R55" si="28">IF(P$12=0,0,P53/P$12)</f>
        <v>0</v>
      </c>
      <c r="S53" s="1"/>
      <c r="T53" s="1">
        <f>SUM(OSRRefT22_10x_0)</f>
        <v>58235.880000000005</v>
      </c>
      <c r="U53" s="1"/>
      <c r="V53" s="5">
        <f t="shared" ref="V53:V55" si="29">IF(T$12=0,0,T53/T$12)</f>
        <v>0</v>
      </c>
      <c r="W53" s="1"/>
      <c r="X53" s="1">
        <f t="shared" ref="X53:X55" si="30">+P53-T53</f>
        <v>-170.42000000000553</v>
      </c>
      <c r="Y53" s="1"/>
      <c r="Z53" s="5">
        <f t="shared" ref="Z53:Z55" si="31">IF(T53=0,0,X53/T53)</f>
        <v>-2.9263745993021056E-3</v>
      </c>
    </row>
    <row r="54" spans="1:26" s="24" customFormat="1" hidden="1" outlineLevel="2" x14ac:dyDescent="0.25">
      <c r="A54" s="26"/>
      <c r="B54" s="11" t="str">
        <f>CONCATENATE("          ", "6371", " - ", "COMPUTER SOFTWARE MAINTENANCE")</f>
        <v xml:space="preserve">          6371 - COMPUTER SOFTWARE MAINTENANCE</v>
      </c>
      <c r="C54" s="11"/>
      <c r="D54" s="6">
        <v>13274.73</v>
      </c>
      <c r="E54" s="2"/>
      <c r="F54" s="7">
        <f t="shared" si="24"/>
        <v>0</v>
      </c>
      <c r="G54" s="2"/>
      <c r="H54" s="6">
        <v>13083.05</v>
      </c>
      <c r="I54" s="2"/>
      <c r="J54" s="7">
        <f t="shared" si="25"/>
        <v>0</v>
      </c>
      <c r="K54" s="2"/>
      <c r="L54" s="6">
        <f t="shared" si="26"/>
        <v>191.68000000000029</v>
      </c>
      <c r="M54" s="2"/>
      <c r="N54" s="7">
        <f t="shared" si="27"/>
        <v>1.4651017920133326E-2</v>
      </c>
      <c r="O54" s="11"/>
      <c r="P54" s="6">
        <v>57782.54</v>
      </c>
      <c r="Q54" s="2"/>
      <c r="R54" s="7">
        <f t="shared" si="28"/>
        <v>0</v>
      </c>
      <c r="S54" s="2"/>
      <c r="T54" s="6">
        <v>58081.120000000003</v>
      </c>
      <c r="U54" s="2"/>
      <c r="V54" s="7">
        <f t="shared" si="29"/>
        <v>0</v>
      </c>
      <c r="W54" s="2"/>
      <c r="X54" s="6">
        <f t="shared" si="30"/>
        <v>-298.58000000000175</v>
      </c>
      <c r="Y54" s="2"/>
      <c r="Z54" s="7">
        <f t="shared" si="31"/>
        <v>-5.1407410876374579E-3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>
        <v>229.46</v>
      </c>
      <c r="E55" s="2"/>
      <c r="F55" s="7">
        <f t="shared" si="24"/>
        <v>0</v>
      </c>
      <c r="G55" s="2"/>
      <c r="H55" s="6">
        <v>18.45</v>
      </c>
      <c r="I55" s="2"/>
      <c r="J55" s="7">
        <f t="shared" si="25"/>
        <v>0</v>
      </c>
      <c r="K55" s="2"/>
      <c r="L55" s="6">
        <f t="shared" si="26"/>
        <v>211.01000000000002</v>
      </c>
      <c r="M55" s="2"/>
      <c r="N55" s="7">
        <f t="shared" si="27"/>
        <v>11.436856368563687</v>
      </c>
      <c r="O55" s="11"/>
      <c r="P55" s="6">
        <v>282.92</v>
      </c>
      <c r="Q55" s="2"/>
      <c r="R55" s="7">
        <f t="shared" si="28"/>
        <v>0</v>
      </c>
      <c r="S55" s="2"/>
      <c r="T55" s="6">
        <v>154.76</v>
      </c>
      <c r="U55" s="2"/>
      <c r="V55" s="7">
        <f t="shared" si="29"/>
        <v>0</v>
      </c>
      <c r="W55" s="2"/>
      <c r="X55" s="6">
        <f t="shared" si="30"/>
        <v>128.16000000000003</v>
      </c>
      <c r="Y55" s="2"/>
      <c r="Z55" s="7">
        <f t="shared" si="31"/>
        <v>0.82812096148875702</v>
      </c>
    </row>
    <row r="56" spans="1:26" s="25" customFormat="1" outlineLevel="1" collapsed="1" x14ac:dyDescent="0.25">
      <c r="A56" s="27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SUM(OSRRefD22_11x_0)</f>
        <v>0</v>
      </c>
      <c r="E56" s="1"/>
      <c r="F56" s="5">
        <f t="shared" ref="F56:F61" si="32">IF(D$12=0,0,D56/D$12)</f>
        <v>0</v>
      </c>
      <c r="G56" s="1"/>
      <c r="H56" s="1">
        <f>SUM(OSRRefH22_11x_0)</f>
        <v>0</v>
      </c>
      <c r="I56" s="1"/>
      <c r="J56" s="5">
        <f t="shared" ref="J56:J61" si="33">IF(H$12=0,0,H56/H$12)</f>
        <v>0</v>
      </c>
      <c r="K56" s="1"/>
      <c r="L56" s="1">
        <f t="shared" ref="L56:L61" si="34">+D56-H56</f>
        <v>0</v>
      </c>
      <c r="M56" s="1"/>
      <c r="N56" s="5">
        <f t="shared" ref="N56:N61" si="35">IF(H56=0,0,L56/H56)</f>
        <v>0</v>
      </c>
      <c r="O56" s="13"/>
      <c r="P56" s="1">
        <f>SUM(OSRRefP22_11x_0)</f>
        <v>587</v>
      </c>
      <c r="Q56" s="1"/>
      <c r="R56" s="5">
        <f t="shared" ref="R56:R61" si="36">IF(P$12=0,0,P56/P$12)</f>
        <v>0</v>
      </c>
      <c r="S56" s="1"/>
      <c r="T56" s="1">
        <f>SUM(OSRRefT22_11x_0)</f>
        <v>587</v>
      </c>
      <c r="U56" s="1"/>
      <c r="V56" s="5">
        <f t="shared" ref="V56:V61" si="37">IF(T$12=0,0,T56/T$12)</f>
        <v>0</v>
      </c>
      <c r="W56" s="1"/>
      <c r="X56" s="1">
        <f t="shared" ref="X56:X61" si="38">+P56-T56</f>
        <v>0</v>
      </c>
      <c r="Y56" s="1"/>
      <c r="Z56" s="5">
        <f t="shared" ref="Z56:Z61" si="39">IF(T56=0,0,X56/T56)</f>
        <v>0</v>
      </c>
    </row>
    <row r="57" spans="1:26" s="24" customFormat="1" hidden="1" outlineLevel="2" x14ac:dyDescent="0.25">
      <c r="A57" s="26"/>
      <c r="B57" s="11" t="str">
        <f>CONCATENATE("          ", "6258", " - ", "MEMBERSHIP DUES")</f>
        <v xml:space="preserve">          6258 - MEMBERSHIP DUES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>
        <v>587</v>
      </c>
      <c r="Q57" s="2"/>
      <c r="R57" s="7">
        <f t="shared" si="36"/>
        <v>0</v>
      </c>
      <c r="S57" s="2"/>
      <c r="T57" s="6">
        <v>587</v>
      </c>
      <c r="U57" s="2"/>
      <c r="V57" s="7">
        <f t="shared" si="37"/>
        <v>0</v>
      </c>
      <c r="W57" s="2"/>
      <c r="X57" s="6">
        <f t="shared" si="38"/>
        <v>0</v>
      </c>
      <c r="Y57" s="2"/>
      <c r="Z57" s="7">
        <f t="shared" si="39"/>
        <v>0</v>
      </c>
    </row>
    <row r="58" spans="1:26" s="25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SUM(OSRRefD22_12x_0)</f>
        <v>444.37</v>
      </c>
      <c r="E58" s="1"/>
      <c r="F58" s="5">
        <f t="shared" si="32"/>
        <v>0</v>
      </c>
      <c r="G58" s="1"/>
      <c r="H58" s="1">
        <f>SUM(OSRRefH22_12x_0)</f>
        <v>169.76</v>
      </c>
      <c r="I58" s="1"/>
      <c r="J58" s="5">
        <f t="shared" si="33"/>
        <v>0</v>
      </c>
      <c r="K58" s="1"/>
      <c r="L58" s="1">
        <f t="shared" si="34"/>
        <v>274.61</v>
      </c>
      <c r="M58" s="1"/>
      <c r="N58" s="5">
        <f t="shared" si="35"/>
        <v>1.6176366635249766</v>
      </c>
      <c r="O58" s="13"/>
      <c r="P58" s="1">
        <f>SUM(OSRRefP22_12x_0)</f>
        <v>12023.66</v>
      </c>
      <c r="Q58" s="1"/>
      <c r="R58" s="5">
        <f t="shared" si="36"/>
        <v>0</v>
      </c>
      <c r="S58" s="1"/>
      <c r="T58" s="1">
        <f>SUM(OSRRefT22_12x_0)</f>
        <v>10082.369999999999</v>
      </c>
      <c r="U58" s="1"/>
      <c r="V58" s="5">
        <f t="shared" si="37"/>
        <v>0</v>
      </c>
      <c r="W58" s="1"/>
      <c r="X58" s="1">
        <f t="shared" si="38"/>
        <v>1941.2900000000009</v>
      </c>
      <c r="Y58" s="1"/>
      <c r="Z58" s="5">
        <f t="shared" si="39"/>
        <v>0.19254302311857244</v>
      </c>
    </row>
    <row r="59" spans="1:26" s="24" customFormat="1" hidden="1" outlineLevel="2" x14ac:dyDescent="0.25">
      <c r="A59" s="26"/>
      <c r="B59" s="11" t="str">
        <f>CONCATENATE("          ", "6241", " - ", "OFFICE EXPENSE")</f>
        <v xml:space="preserve">          6241 - OFFICE EXPENSE</v>
      </c>
      <c r="C59" s="11"/>
      <c r="D59" s="6">
        <v>312.51</v>
      </c>
      <c r="E59" s="2"/>
      <c r="F59" s="7">
        <f t="shared" si="32"/>
        <v>0</v>
      </c>
      <c r="G59" s="2"/>
      <c r="H59" s="6">
        <v>19.760000000000002</v>
      </c>
      <c r="I59" s="2"/>
      <c r="J59" s="7">
        <f t="shared" si="33"/>
        <v>0</v>
      </c>
      <c r="K59" s="2"/>
      <c r="L59" s="6">
        <f t="shared" si="34"/>
        <v>292.75</v>
      </c>
      <c r="M59" s="2"/>
      <c r="N59" s="7">
        <f t="shared" si="35"/>
        <v>14.815283400809715</v>
      </c>
      <c r="O59" s="11"/>
      <c r="P59" s="6">
        <v>8581.9599999999991</v>
      </c>
      <c r="Q59" s="2"/>
      <c r="R59" s="7">
        <f t="shared" si="36"/>
        <v>0</v>
      </c>
      <c r="S59" s="2"/>
      <c r="T59" s="6">
        <v>7078.23</v>
      </c>
      <c r="U59" s="2"/>
      <c r="V59" s="7">
        <f t="shared" si="37"/>
        <v>0</v>
      </c>
      <c r="W59" s="2"/>
      <c r="X59" s="6">
        <f t="shared" si="38"/>
        <v>1503.7299999999996</v>
      </c>
      <c r="Y59" s="2"/>
      <c r="Z59" s="7">
        <f t="shared" si="39"/>
        <v>0.21244435402635964</v>
      </c>
    </row>
    <row r="60" spans="1:26" s="24" customFormat="1" hidden="1" outlineLevel="2" x14ac:dyDescent="0.25">
      <c r="A60" s="26"/>
      <c r="B60" s="11" t="str">
        <f>CONCATENATE("          ", "6244", " - ", "SAFETY SUPPLY EXPENSE")</f>
        <v xml:space="preserve">          6244 - SAFETY SUPPLY EXPENSE</v>
      </c>
      <c r="C60" s="11"/>
      <c r="D60" s="6">
        <v>100</v>
      </c>
      <c r="E60" s="2"/>
      <c r="F60" s="7">
        <f t="shared" si="32"/>
        <v>0</v>
      </c>
      <c r="G60" s="2"/>
      <c r="H60" s="6">
        <v>150</v>
      </c>
      <c r="I60" s="2"/>
      <c r="J60" s="7">
        <f t="shared" si="33"/>
        <v>0</v>
      </c>
      <c r="K60" s="2"/>
      <c r="L60" s="6">
        <f t="shared" si="34"/>
        <v>-50</v>
      </c>
      <c r="M60" s="2"/>
      <c r="N60" s="7">
        <f t="shared" si="35"/>
        <v>-0.33333333333333331</v>
      </c>
      <c r="O60" s="11"/>
      <c r="P60" s="6">
        <v>1507.33</v>
      </c>
      <c r="Q60" s="2"/>
      <c r="R60" s="7">
        <f t="shared" si="36"/>
        <v>0</v>
      </c>
      <c r="S60" s="2"/>
      <c r="T60" s="6">
        <v>2228.21</v>
      </c>
      <c r="U60" s="2"/>
      <c r="V60" s="7">
        <f t="shared" si="37"/>
        <v>0</v>
      </c>
      <c r="W60" s="2"/>
      <c r="X60" s="6">
        <f t="shared" si="38"/>
        <v>-720.88000000000011</v>
      </c>
      <c r="Y60" s="2"/>
      <c r="Z60" s="7">
        <f t="shared" si="39"/>
        <v>-0.32352426387099964</v>
      </c>
    </row>
    <row r="61" spans="1:26" s="24" customFormat="1" hidden="1" outlineLevel="2" x14ac:dyDescent="0.25">
      <c r="A61" s="26"/>
      <c r="B61" s="11" t="str">
        <f>CONCATENATE("          ", "6245", " - ", "PRINTING")</f>
        <v xml:space="preserve">          6245 - PRINTING</v>
      </c>
      <c r="C61" s="11"/>
      <c r="D61" s="6">
        <v>31.86</v>
      </c>
      <c r="E61" s="2"/>
      <c r="F61" s="7">
        <f t="shared" si="32"/>
        <v>0</v>
      </c>
      <c r="G61" s="2"/>
      <c r="H61" s="6"/>
      <c r="I61" s="2"/>
      <c r="J61" s="7">
        <f t="shared" si="33"/>
        <v>0</v>
      </c>
      <c r="K61" s="2"/>
      <c r="L61" s="6">
        <f t="shared" si="34"/>
        <v>31.86</v>
      </c>
      <c r="M61" s="2"/>
      <c r="N61" s="7">
        <f t="shared" si="35"/>
        <v>0</v>
      </c>
      <c r="O61" s="11"/>
      <c r="P61" s="6">
        <v>1934.37</v>
      </c>
      <c r="Q61" s="2"/>
      <c r="R61" s="7">
        <f t="shared" si="36"/>
        <v>0</v>
      </c>
      <c r="S61" s="2"/>
      <c r="T61" s="6">
        <v>775.93</v>
      </c>
      <c r="U61" s="2"/>
      <c r="V61" s="7">
        <f t="shared" si="37"/>
        <v>0</v>
      </c>
      <c r="W61" s="2"/>
      <c r="X61" s="6">
        <f t="shared" si="38"/>
        <v>1158.44</v>
      </c>
      <c r="Y61" s="2"/>
      <c r="Z61" s="7">
        <f t="shared" si="39"/>
        <v>1.4929697266506001</v>
      </c>
    </row>
    <row r="62" spans="1:26" s="25" customFormat="1" outlineLevel="1" collapsed="1" x14ac:dyDescent="0.25">
      <c r="A62" s="27"/>
      <c r="B62" s="13" t="str">
        <f>CONCATENATE("     ","Telephone/Data Lines                              ")</f>
        <v xml:space="preserve">     Telephone/Data Lines                              </v>
      </c>
      <c r="C62" s="13"/>
      <c r="D62" s="1">
        <f>SUM(OSRRefD22_13x_0)</f>
        <v>325.55</v>
      </c>
      <c r="E62" s="1"/>
      <c r="F62" s="5">
        <f t="shared" ref="F62:F67" si="40">IF(D$12=0,0,D62/D$12)</f>
        <v>0</v>
      </c>
      <c r="G62" s="1"/>
      <c r="H62" s="1">
        <f>SUM(OSRRefH22_13x_0)</f>
        <v>336.5</v>
      </c>
      <c r="I62" s="1"/>
      <c r="J62" s="5">
        <f t="shared" ref="J62:J67" si="41">IF(H$12=0,0,H62/H$12)</f>
        <v>0</v>
      </c>
      <c r="K62" s="1"/>
      <c r="L62" s="1">
        <f t="shared" ref="L62:L67" si="42">+D62-H62</f>
        <v>-10.949999999999989</v>
      </c>
      <c r="M62" s="1"/>
      <c r="N62" s="5">
        <f t="shared" ref="N62:N67" si="43">IF(H62=0,0,L62/H62)</f>
        <v>-3.2540861812778571E-2</v>
      </c>
      <c r="O62" s="13"/>
      <c r="P62" s="1">
        <f>SUM(OSRRefP22_13x_0)</f>
        <v>1663.4</v>
      </c>
      <c r="Q62" s="1"/>
      <c r="R62" s="5">
        <f t="shared" ref="R62:R67" si="44">IF(P$12=0,0,P62/P$12)</f>
        <v>0</v>
      </c>
      <c r="S62" s="1"/>
      <c r="T62" s="1">
        <f>SUM(OSRRefT22_13x_0)</f>
        <v>1771.7</v>
      </c>
      <c r="U62" s="1"/>
      <c r="V62" s="5">
        <f t="shared" ref="V62:V67" si="45">IF(T$12=0,0,T62/T$12)</f>
        <v>0</v>
      </c>
      <c r="W62" s="1"/>
      <c r="X62" s="1">
        <f t="shared" ref="X62:X67" si="46">+P62-T62</f>
        <v>-108.29999999999995</v>
      </c>
      <c r="Y62" s="1"/>
      <c r="Z62" s="5">
        <f t="shared" ref="Z62:Z67" si="47">IF(T62=0,0,X62/T62)</f>
        <v>-6.1127730428402076E-2</v>
      </c>
    </row>
    <row r="63" spans="1:26" s="24" customFormat="1" hidden="1" outlineLevel="2" x14ac:dyDescent="0.25">
      <c r="A63" s="26"/>
      <c r="B63" s="11" t="str">
        <f>CONCATENATE("          ", "6309", " - ", "TELEPHONE")</f>
        <v xml:space="preserve">          6309 - TELEPHONE</v>
      </c>
      <c r="C63" s="11"/>
      <c r="D63" s="6">
        <v>325.55</v>
      </c>
      <c r="E63" s="2"/>
      <c r="F63" s="7">
        <f t="shared" si="40"/>
        <v>0</v>
      </c>
      <c r="G63" s="2"/>
      <c r="H63" s="6">
        <v>336.5</v>
      </c>
      <c r="I63" s="2"/>
      <c r="J63" s="7">
        <f t="shared" si="41"/>
        <v>0</v>
      </c>
      <c r="K63" s="2"/>
      <c r="L63" s="6">
        <f t="shared" si="42"/>
        <v>-10.949999999999989</v>
      </c>
      <c r="M63" s="2"/>
      <c r="N63" s="7">
        <f t="shared" si="43"/>
        <v>-3.2540861812778571E-2</v>
      </c>
      <c r="O63" s="11"/>
      <c r="P63" s="6">
        <v>1663.4</v>
      </c>
      <c r="Q63" s="2"/>
      <c r="R63" s="7">
        <f t="shared" si="44"/>
        <v>0</v>
      </c>
      <c r="S63" s="2"/>
      <c r="T63" s="6">
        <v>1771.7</v>
      </c>
      <c r="U63" s="2"/>
      <c r="V63" s="7">
        <f t="shared" si="45"/>
        <v>0</v>
      </c>
      <c r="W63" s="2"/>
      <c r="X63" s="6">
        <f t="shared" si="46"/>
        <v>-108.29999999999995</v>
      </c>
      <c r="Y63" s="2"/>
      <c r="Z63" s="7">
        <f t="shared" si="47"/>
        <v>-6.1127730428402076E-2</v>
      </c>
    </row>
    <row r="64" spans="1:26" s="25" customFormat="1" outlineLevel="1" collapsed="1" x14ac:dyDescent="0.25">
      <c r="A64" s="27"/>
      <c r="B64" s="13" t="str">
        <f>CONCATENATE("     ","Training                                          ")</f>
        <v xml:space="preserve">     Training                                          </v>
      </c>
      <c r="C64" s="13"/>
      <c r="D64" s="1">
        <f>SUM(OSRRefD22_14x_0)</f>
        <v>0</v>
      </c>
      <c r="E64" s="1"/>
      <c r="F64" s="5">
        <f t="shared" si="40"/>
        <v>0</v>
      </c>
      <c r="G64" s="1"/>
      <c r="H64" s="1">
        <f>SUM(OSRRefH22_14x_0)</f>
        <v>-649.16</v>
      </c>
      <c r="I64" s="1"/>
      <c r="J64" s="5">
        <f t="shared" si="41"/>
        <v>0</v>
      </c>
      <c r="K64" s="1"/>
      <c r="L64" s="1">
        <f t="shared" si="42"/>
        <v>649.16</v>
      </c>
      <c r="M64" s="1"/>
      <c r="N64" s="5">
        <f t="shared" si="43"/>
        <v>-1</v>
      </c>
      <c r="O64" s="13"/>
      <c r="P64" s="1">
        <f>SUM(OSRRefP22_14x_0)</f>
        <v>5314.98</v>
      </c>
      <c r="Q64" s="1"/>
      <c r="R64" s="5">
        <f t="shared" si="44"/>
        <v>0</v>
      </c>
      <c r="S64" s="1"/>
      <c r="T64" s="1">
        <f>SUM(OSRRefT22_14x_0)</f>
        <v>7945.6</v>
      </c>
      <c r="U64" s="1"/>
      <c r="V64" s="5">
        <f t="shared" si="45"/>
        <v>0</v>
      </c>
      <c r="W64" s="1"/>
      <c r="X64" s="1">
        <f t="shared" si="46"/>
        <v>-2630.6200000000008</v>
      </c>
      <c r="Y64" s="1"/>
      <c r="Z64" s="5">
        <f t="shared" si="47"/>
        <v>-0.33107883608538069</v>
      </c>
    </row>
    <row r="65" spans="1:26" s="24" customFormat="1" hidden="1" outlineLevel="2" x14ac:dyDescent="0.25">
      <c r="A65" s="26"/>
      <c r="B65" s="11" t="str">
        <f>CONCATENATE("          ", "6376", " - ", "TRAINING")</f>
        <v xml:space="preserve">          6376 - TRAINING</v>
      </c>
      <c r="C65" s="11"/>
      <c r="D65" s="6"/>
      <c r="E65" s="2"/>
      <c r="F65" s="7">
        <f t="shared" si="40"/>
        <v>0</v>
      </c>
      <c r="G65" s="2"/>
      <c r="H65" s="6">
        <v>-649.16</v>
      </c>
      <c r="I65" s="2"/>
      <c r="J65" s="7">
        <f t="shared" si="41"/>
        <v>0</v>
      </c>
      <c r="K65" s="2"/>
      <c r="L65" s="6">
        <f t="shared" si="42"/>
        <v>649.16</v>
      </c>
      <c r="M65" s="2"/>
      <c r="N65" s="7">
        <f t="shared" si="43"/>
        <v>-1</v>
      </c>
      <c r="O65" s="11"/>
      <c r="P65" s="6">
        <v>5314.98</v>
      </c>
      <c r="Q65" s="2"/>
      <c r="R65" s="7">
        <f t="shared" si="44"/>
        <v>0</v>
      </c>
      <c r="S65" s="2"/>
      <c r="T65" s="6">
        <v>7945.6</v>
      </c>
      <c r="U65" s="2"/>
      <c r="V65" s="7">
        <f t="shared" si="45"/>
        <v>0</v>
      </c>
      <c r="W65" s="2"/>
      <c r="X65" s="6">
        <f t="shared" si="46"/>
        <v>-2630.6200000000008</v>
      </c>
      <c r="Y65" s="2"/>
      <c r="Z65" s="7">
        <f t="shared" si="47"/>
        <v>-0.33107883608538069</v>
      </c>
    </row>
    <row r="66" spans="1:26" s="25" customFormat="1" outlineLevel="1" collapsed="1" x14ac:dyDescent="0.25">
      <c r="A66" s="27"/>
      <c r="B66" s="13" t="str">
        <f>CONCATENATE("     ","Travel                                            ")</f>
        <v xml:space="preserve">     Travel                                            </v>
      </c>
      <c r="C66" s="13"/>
      <c r="D66" s="1">
        <f>SUM(OSRRefD22_15x_0)</f>
        <v>2051.13</v>
      </c>
      <c r="E66" s="1"/>
      <c r="F66" s="5">
        <f t="shared" si="40"/>
        <v>0</v>
      </c>
      <c r="G66" s="1"/>
      <c r="H66" s="1">
        <f>SUM(OSRRefH22_15x_0)</f>
        <v>1154.46</v>
      </c>
      <c r="I66" s="1"/>
      <c r="J66" s="5">
        <f t="shared" si="41"/>
        <v>0</v>
      </c>
      <c r="K66" s="1"/>
      <c r="L66" s="1">
        <f t="shared" si="42"/>
        <v>896.67000000000007</v>
      </c>
      <c r="M66" s="1"/>
      <c r="N66" s="5">
        <f t="shared" si="43"/>
        <v>0.77670079517696589</v>
      </c>
      <c r="O66" s="13"/>
      <c r="P66" s="1">
        <f>SUM(OSRRefP22_15x_0)</f>
        <v>3487.01</v>
      </c>
      <c r="Q66" s="1"/>
      <c r="R66" s="5">
        <f t="shared" si="44"/>
        <v>0</v>
      </c>
      <c r="S66" s="1"/>
      <c r="T66" s="1">
        <f>SUM(OSRRefT22_15x_0)</f>
        <v>4584.8999999999996</v>
      </c>
      <c r="U66" s="1"/>
      <c r="V66" s="5">
        <f t="shared" si="45"/>
        <v>0</v>
      </c>
      <c r="W66" s="1"/>
      <c r="X66" s="1">
        <f t="shared" si="46"/>
        <v>-1097.8899999999994</v>
      </c>
      <c r="Y66" s="1"/>
      <c r="Z66" s="5">
        <f t="shared" si="47"/>
        <v>-0.23945778533882953</v>
      </c>
    </row>
    <row r="67" spans="1:26" s="24" customFormat="1" hidden="1" outlineLevel="2" x14ac:dyDescent="0.25">
      <c r="A67" s="26"/>
      <c r="B67" s="11" t="str">
        <f>CONCATENATE("          ", "6292", " - ", "TRAVEL/CONFERENCE")</f>
        <v xml:space="preserve">          6292 - TRAVEL/CONFERENCE</v>
      </c>
      <c r="C67" s="11"/>
      <c r="D67" s="6">
        <v>2051.13</v>
      </c>
      <c r="E67" s="2"/>
      <c r="F67" s="7">
        <f t="shared" si="40"/>
        <v>0</v>
      </c>
      <c r="G67" s="2"/>
      <c r="H67" s="6">
        <v>1154.46</v>
      </c>
      <c r="I67" s="2"/>
      <c r="J67" s="7">
        <f t="shared" si="41"/>
        <v>0</v>
      </c>
      <c r="K67" s="2"/>
      <c r="L67" s="6">
        <f t="shared" si="42"/>
        <v>896.67000000000007</v>
      </c>
      <c r="M67" s="2"/>
      <c r="N67" s="7">
        <f t="shared" si="43"/>
        <v>0.77670079517696589</v>
      </c>
      <c r="O67" s="11"/>
      <c r="P67" s="6">
        <v>3487.01</v>
      </c>
      <c r="Q67" s="2"/>
      <c r="R67" s="7">
        <f t="shared" si="44"/>
        <v>0</v>
      </c>
      <c r="S67" s="2"/>
      <c r="T67" s="6">
        <v>4584.8999999999996</v>
      </c>
      <c r="U67" s="2"/>
      <c r="V67" s="7">
        <f t="shared" si="45"/>
        <v>0</v>
      </c>
      <c r="W67" s="2"/>
      <c r="X67" s="6">
        <f t="shared" si="46"/>
        <v>-1097.8899999999994</v>
      </c>
      <c r="Y67" s="2"/>
      <c r="Z67" s="7">
        <f t="shared" si="47"/>
        <v>-0.23945778533882953</v>
      </c>
    </row>
    <row r="68" spans="1:26" s="53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8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9" t="s">
        <v>3</v>
      </c>
      <c r="C71" s="29"/>
      <c r="D71" s="21">
        <f>+D16-D18+D69</f>
        <v>-50493.69000000001</v>
      </c>
      <c r="E71" s="14"/>
      <c r="F71" s="20">
        <f>IF(D$12=0,0,D71/D$12)</f>
        <v>0</v>
      </c>
      <c r="G71" s="14"/>
      <c r="H71" s="21">
        <f>+H16-H18+H69</f>
        <v>-48486.099999999991</v>
      </c>
      <c r="I71" s="14"/>
      <c r="J71" s="20">
        <f>IF(H$12=0,0,H71/H$12)</f>
        <v>0</v>
      </c>
      <c r="K71" s="15"/>
      <c r="L71" s="21">
        <f>+D71-H71</f>
        <v>-2007.5900000000183</v>
      </c>
      <c r="M71" s="15"/>
      <c r="N71" s="20">
        <f>IF(H71=0,0,L71/H71)</f>
        <v>4.1405474971177691E-2</v>
      </c>
      <c r="O71" s="28"/>
      <c r="P71" s="21">
        <f>+P16-P18+P69</f>
        <v>-340081.28</v>
      </c>
      <c r="Q71" s="14"/>
      <c r="R71" s="20">
        <f>IF(P$12=0,0,P71/P$12)</f>
        <v>0</v>
      </c>
      <c r="S71" s="14"/>
      <c r="T71" s="21">
        <f>+T16-T18+T69</f>
        <v>-284632.81</v>
      </c>
      <c r="U71" s="14"/>
      <c r="V71" s="20">
        <f>IF(T$12=0,0,T71/T$12)</f>
        <v>0</v>
      </c>
      <c r="W71" s="15"/>
      <c r="X71" s="21">
        <f>+P71-T71</f>
        <v>-55448.47000000003</v>
      </c>
      <c r="Y71" s="15"/>
      <c r="Z71" s="20">
        <f>IF(T71=0,0,X71/T71)</f>
        <v>0.19480702172037029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9" t="s">
        <v>4</v>
      </c>
      <c r="C75" s="29"/>
      <c r="D75" s="31">
        <f>+D71-D73</f>
        <v>-50493.69000000001</v>
      </c>
      <c r="E75" s="14"/>
      <c r="F75" s="32">
        <f>IF(D$12=0,0,D75/D$12)</f>
        <v>0</v>
      </c>
      <c r="G75" s="14"/>
      <c r="H75" s="31">
        <f>+H71-H73</f>
        <v>-48486.099999999991</v>
      </c>
      <c r="I75" s="14"/>
      <c r="J75" s="32">
        <f>IF(H$12=0,0,H75/H$12)</f>
        <v>0</v>
      </c>
      <c r="K75" s="15"/>
      <c r="L75" s="31">
        <f>D75-H75</f>
        <v>-2007.5900000000183</v>
      </c>
      <c r="M75" s="15"/>
      <c r="N75" s="32">
        <f>IF(H75=0,0,L75/H75)</f>
        <v>4.1405474971177691E-2</v>
      </c>
      <c r="O75" s="28"/>
      <c r="P75" s="31">
        <f>+P71-P73</f>
        <v>-340081.28</v>
      </c>
      <c r="Q75" s="14"/>
      <c r="R75" s="32">
        <f>IF(P$12=0,0,P75/P$12)</f>
        <v>0</v>
      </c>
      <c r="S75" s="14"/>
      <c r="T75" s="31">
        <f>+T71-T73</f>
        <v>-284632.81</v>
      </c>
      <c r="U75" s="14"/>
      <c r="V75" s="32">
        <f>IF(T$12=0,0,T75/T$12)</f>
        <v>0</v>
      </c>
      <c r="W75" s="15"/>
      <c r="X75" s="31">
        <f>P75-T75</f>
        <v>-55448.47000000003</v>
      </c>
      <c r="Y75" s="15"/>
      <c r="Z75" s="32">
        <f>IF(T75=0,0,X75/T75)</f>
        <v>0.19480702172037029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5</v>
      </c>
      <c r="C78" s="29"/>
      <c r="D78" s="34">
        <f>SUM(D75:D77)</f>
        <v>-50493.69000000001</v>
      </c>
      <c r="E78" s="14"/>
      <c r="F78" s="30">
        <f>IF(D$12=0,0,D78/D$12)</f>
        <v>0</v>
      </c>
      <c r="G78" s="14"/>
      <c r="H78" s="34">
        <f>SUM(H75:H77)</f>
        <v>-48486.099999999991</v>
      </c>
      <c r="I78" s="14"/>
      <c r="J78" s="30">
        <f>IF(H$12=0,0,H78/H$12)</f>
        <v>0</v>
      </c>
      <c r="K78" s="15"/>
      <c r="L78" s="34">
        <f>+D78-H78</f>
        <v>-2007.5900000000183</v>
      </c>
      <c r="M78" s="15"/>
      <c r="N78" s="30">
        <f>IF(H78=0,0,L78/H78)</f>
        <v>4.1405474971177691E-2</v>
      </c>
      <c r="O78" s="28"/>
      <c r="P78" s="34">
        <f>SUM(P75:P77)</f>
        <v>-340081.28</v>
      </c>
      <c r="Q78" s="14"/>
      <c r="R78" s="30">
        <f>IF(P$12=0,0,P78/P$12)</f>
        <v>0</v>
      </c>
      <c r="S78" s="14"/>
      <c r="T78" s="34">
        <f>SUM(T75:T77)</f>
        <v>-284632.81</v>
      </c>
      <c r="U78" s="14"/>
      <c r="V78" s="30">
        <f>IF(T$12=0,0,T78/T$12)</f>
        <v>0</v>
      </c>
      <c r="W78" s="15"/>
      <c r="X78" s="34">
        <f>+P78-T78</f>
        <v>-55448.47000000003</v>
      </c>
      <c r="Y78" s="15"/>
      <c r="Z78" s="30">
        <f>IF(T78=0,0,X78/T78)</f>
        <v>0.19480702172037029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9">
        <v>43815.491552314816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62" t="s">
        <v>313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61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","204", " - ", "Information Technology")</f>
        <v>Department 204 - Information Technology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53277.119999999995</v>
      </c>
      <c r="E18" s="22"/>
      <c r="F18" s="33">
        <f t="shared" ref="F18:F28" si="0">IF(D$12=0,0,D18/D$12)</f>
        <v>0</v>
      </c>
      <c r="G18" s="22"/>
      <c r="H18" s="22">
        <f>SUM(OSRRefH22x_0)</f>
        <v>70482.06</v>
      </c>
      <c r="I18" s="22"/>
      <c r="J18" s="33">
        <f t="shared" ref="J18:J28" si="1">IF(H$12=0,0,H18/H$12)</f>
        <v>0</v>
      </c>
      <c r="K18" s="4"/>
      <c r="L18" s="22">
        <f t="shared" ref="L18:L28" si="2">+D18-H18</f>
        <v>-17204.940000000002</v>
      </c>
      <c r="M18" s="4"/>
      <c r="N18" s="33">
        <f t="shared" ref="N18:N28" si="3">IF(H18=0,0,L18/H18)</f>
        <v>-0.24410381875898637</v>
      </c>
      <c r="O18" s="10"/>
      <c r="P18" s="22">
        <f>SUM(OSRRefP22x_0)</f>
        <v>306106.23000000004</v>
      </c>
      <c r="Q18" s="22"/>
      <c r="R18" s="33">
        <f t="shared" ref="R18:R28" si="4">IF(P$12=0,0,P18/P$12)</f>
        <v>0</v>
      </c>
      <c r="S18" s="22"/>
      <c r="T18" s="22">
        <f>SUM(OSRRefT22x_0)</f>
        <v>320682.59000000014</v>
      </c>
      <c r="U18" s="22"/>
      <c r="V18" s="33">
        <f t="shared" ref="V18:V28" si="5">IF(T$12=0,0,T18/T$12)</f>
        <v>0</v>
      </c>
      <c r="W18" s="4"/>
      <c r="X18" s="22">
        <f t="shared" ref="X18:X28" si="6">+P18-T18</f>
        <v>-14576.360000000102</v>
      </c>
      <c r="Y18" s="4"/>
      <c r="Z18" s="33">
        <f t="shared" ref="Z18:Z28" si="7">IF(T18=0,0,X18/T18)</f>
        <v>-4.5454167000460163E-2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12019.230000000001</v>
      </c>
      <c r="E19" s="1"/>
      <c r="F19" s="5">
        <f t="shared" si="0"/>
        <v>0</v>
      </c>
      <c r="G19" s="1"/>
      <c r="H19" s="1">
        <f>SUM(OSRRefH22_0x_0)</f>
        <v>14090.55</v>
      </c>
      <c r="I19" s="1"/>
      <c r="J19" s="5">
        <f t="shared" si="1"/>
        <v>0</v>
      </c>
      <c r="K19" s="1"/>
      <c r="L19" s="1">
        <f t="shared" si="2"/>
        <v>-2071.3199999999979</v>
      </c>
      <c r="M19" s="1"/>
      <c r="N19" s="5">
        <f t="shared" si="3"/>
        <v>-0.14700064937138707</v>
      </c>
      <c r="O19" s="13"/>
      <c r="P19" s="1">
        <f>SUM(OSRRefP22_0x_0)</f>
        <v>65924.899999999994</v>
      </c>
      <c r="Q19" s="1"/>
      <c r="R19" s="5">
        <f t="shared" si="4"/>
        <v>0</v>
      </c>
      <c r="S19" s="1"/>
      <c r="T19" s="1">
        <f>SUM(OSRRefT22_0x_0)</f>
        <v>73340.62000000001</v>
      </c>
      <c r="U19" s="1"/>
      <c r="V19" s="5">
        <f t="shared" si="5"/>
        <v>0</v>
      </c>
      <c r="W19" s="1"/>
      <c r="X19" s="1">
        <f t="shared" si="6"/>
        <v>-7415.7200000000157</v>
      </c>
      <c r="Y19" s="1"/>
      <c r="Z19" s="5">
        <f t="shared" si="7"/>
        <v>-0.1011134075495955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1809.12</v>
      </c>
      <c r="E20" s="2"/>
      <c r="F20" s="7">
        <f t="shared" si="0"/>
        <v>0</v>
      </c>
      <c r="G20" s="2"/>
      <c r="H20" s="6">
        <v>2219.9899999999998</v>
      </c>
      <c r="I20" s="2"/>
      <c r="J20" s="7">
        <f t="shared" si="1"/>
        <v>0</v>
      </c>
      <c r="K20" s="2"/>
      <c r="L20" s="6">
        <f t="shared" si="2"/>
        <v>-410.86999999999989</v>
      </c>
      <c r="M20" s="2"/>
      <c r="N20" s="7">
        <f t="shared" si="3"/>
        <v>-0.18507741025860475</v>
      </c>
      <c r="O20" s="11"/>
      <c r="P20" s="6">
        <v>11353.33</v>
      </c>
      <c r="Q20" s="2"/>
      <c r="R20" s="7">
        <f t="shared" si="4"/>
        <v>0</v>
      </c>
      <c r="S20" s="2"/>
      <c r="T20" s="6">
        <v>11210.64</v>
      </c>
      <c r="U20" s="2"/>
      <c r="V20" s="7">
        <f t="shared" si="5"/>
        <v>0</v>
      </c>
      <c r="W20" s="2"/>
      <c r="X20" s="6">
        <f t="shared" si="6"/>
        <v>142.69000000000051</v>
      </c>
      <c r="Y20" s="2"/>
      <c r="Z20" s="7">
        <f t="shared" si="7"/>
        <v>1.2728086888884178E-2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87.15</v>
      </c>
      <c r="E21" s="2"/>
      <c r="F21" s="7">
        <f t="shared" si="0"/>
        <v>0</v>
      </c>
      <c r="G21" s="2"/>
      <c r="H21" s="6">
        <v>85.79</v>
      </c>
      <c r="I21" s="2"/>
      <c r="J21" s="7">
        <f t="shared" si="1"/>
        <v>0</v>
      </c>
      <c r="K21" s="2"/>
      <c r="L21" s="6">
        <f t="shared" si="2"/>
        <v>1.3599999999999994</v>
      </c>
      <c r="M21" s="2"/>
      <c r="N21" s="7">
        <f t="shared" si="3"/>
        <v>1.5852663480592135E-2</v>
      </c>
      <c r="O21" s="11"/>
      <c r="P21" s="6">
        <v>333.11</v>
      </c>
      <c r="Q21" s="2"/>
      <c r="R21" s="7">
        <f t="shared" si="4"/>
        <v>0</v>
      </c>
      <c r="S21" s="2"/>
      <c r="T21" s="6">
        <v>450.68</v>
      </c>
      <c r="U21" s="2"/>
      <c r="V21" s="7">
        <f t="shared" si="5"/>
        <v>0</v>
      </c>
      <c r="W21" s="2"/>
      <c r="X21" s="6">
        <f t="shared" si="6"/>
        <v>-117.57</v>
      </c>
      <c r="Y21" s="2"/>
      <c r="Z21" s="7">
        <f t="shared" si="7"/>
        <v>-0.26087245939469245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5268.48</v>
      </c>
      <c r="E22" s="2"/>
      <c r="F22" s="7">
        <f t="shared" si="0"/>
        <v>0</v>
      </c>
      <c r="G22" s="2"/>
      <c r="H22" s="6">
        <v>6814.61</v>
      </c>
      <c r="I22" s="2"/>
      <c r="J22" s="7">
        <f t="shared" si="1"/>
        <v>0</v>
      </c>
      <c r="K22" s="2"/>
      <c r="L22" s="6">
        <f t="shared" si="2"/>
        <v>-1546.13</v>
      </c>
      <c r="M22" s="2"/>
      <c r="N22" s="7">
        <f t="shared" si="3"/>
        <v>-0.22688459060753297</v>
      </c>
      <c r="O22" s="11"/>
      <c r="P22" s="6">
        <v>25707.3</v>
      </c>
      <c r="Q22" s="2"/>
      <c r="R22" s="7">
        <f t="shared" si="4"/>
        <v>0</v>
      </c>
      <c r="S22" s="2"/>
      <c r="T22" s="6">
        <v>30038.27</v>
      </c>
      <c r="U22" s="2"/>
      <c r="V22" s="7">
        <f t="shared" si="5"/>
        <v>0</v>
      </c>
      <c r="W22" s="2"/>
      <c r="X22" s="6">
        <f t="shared" si="6"/>
        <v>-4330.9700000000012</v>
      </c>
      <c r="Y22" s="2"/>
      <c r="Z22" s="7">
        <f t="shared" si="7"/>
        <v>-0.14418173882850113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66.64</v>
      </c>
      <c r="E23" s="2"/>
      <c r="F23" s="7">
        <f t="shared" si="0"/>
        <v>0</v>
      </c>
      <c r="G23" s="2"/>
      <c r="H23" s="6">
        <v>71.95</v>
      </c>
      <c r="I23" s="2"/>
      <c r="J23" s="7">
        <f t="shared" si="1"/>
        <v>0</v>
      </c>
      <c r="K23" s="2"/>
      <c r="L23" s="6">
        <f t="shared" si="2"/>
        <v>-5.3100000000000023</v>
      </c>
      <c r="M23" s="2"/>
      <c r="N23" s="7">
        <f t="shared" si="3"/>
        <v>-7.3801250868658824E-2</v>
      </c>
      <c r="O23" s="11"/>
      <c r="P23" s="6">
        <v>380.61</v>
      </c>
      <c r="Q23" s="2"/>
      <c r="R23" s="7">
        <f t="shared" si="4"/>
        <v>0</v>
      </c>
      <c r="S23" s="2"/>
      <c r="T23" s="6">
        <v>377.98</v>
      </c>
      <c r="U23" s="2"/>
      <c r="V23" s="7">
        <f t="shared" si="5"/>
        <v>0</v>
      </c>
      <c r="W23" s="2"/>
      <c r="X23" s="6">
        <f t="shared" si="6"/>
        <v>2.6299999999999955</v>
      </c>
      <c r="Y23" s="2"/>
      <c r="Z23" s="7">
        <f t="shared" si="7"/>
        <v>6.9580401079422068E-3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1339.05</v>
      </c>
      <c r="E24" s="2"/>
      <c r="F24" s="7">
        <f t="shared" si="0"/>
        <v>0</v>
      </c>
      <c r="G24" s="2"/>
      <c r="H24" s="6">
        <v>1380.98</v>
      </c>
      <c r="I24" s="2"/>
      <c r="J24" s="7">
        <f t="shared" si="1"/>
        <v>0</v>
      </c>
      <c r="K24" s="2"/>
      <c r="L24" s="6">
        <f t="shared" si="2"/>
        <v>-41.930000000000064</v>
      </c>
      <c r="M24" s="2"/>
      <c r="N24" s="7">
        <f t="shared" si="3"/>
        <v>-3.0362496198351942E-2</v>
      </c>
      <c r="O24" s="11"/>
      <c r="P24" s="6">
        <v>8436.01</v>
      </c>
      <c r="Q24" s="2"/>
      <c r="R24" s="7">
        <f t="shared" si="4"/>
        <v>0</v>
      </c>
      <c r="S24" s="2"/>
      <c r="T24" s="6">
        <v>9572.84</v>
      </c>
      <c r="U24" s="2"/>
      <c r="V24" s="7">
        <f t="shared" si="5"/>
        <v>0</v>
      </c>
      <c r="W24" s="2"/>
      <c r="X24" s="6">
        <f t="shared" si="6"/>
        <v>-1136.83</v>
      </c>
      <c r="Y24" s="2"/>
      <c r="Z24" s="7">
        <f t="shared" si="7"/>
        <v>-0.11875577153697335</v>
      </c>
    </row>
    <row r="25" spans="1:26" s="24" customFormat="1" hidden="1" outlineLevel="2" x14ac:dyDescent="0.25">
      <c r="A25" s="26"/>
      <c r="B25" s="11" t="str">
        <f>CONCATENATE("          ", "6117", " - ", "RETIREMENT STAFF HOURLY")</f>
        <v xml:space="preserve">          6117 - RETIREMENT STAFF HOURLY</v>
      </c>
      <c r="C25" s="11"/>
      <c r="D25" s="6">
        <v>510.05</v>
      </c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510.05</v>
      </c>
      <c r="M25" s="2"/>
      <c r="N25" s="7">
        <f t="shared" si="3"/>
        <v>0</v>
      </c>
      <c r="O25" s="11"/>
      <c r="P25" s="6">
        <v>2024.27</v>
      </c>
      <c r="Q25" s="2"/>
      <c r="R25" s="7">
        <f t="shared" si="4"/>
        <v>0</v>
      </c>
      <c r="S25" s="2"/>
      <c r="T25" s="6"/>
      <c r="U25" s="2"/>
      <c r="V25" s="7">
        <f t="shared" si="5"/>
        <v>0</v>
      </c>
      <c r="W25" s="2"/>
      <c r="X25" s="6">
        <f t="shared" si="6"/>
        <v>2024.27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1408.62</v>
      </c>
      <c r="E26" s="2"/>
      <c r="F26" s="7">
        <f t="shared" si="0"/>
        <v>0</v>
      </c>
      <c r="G26" s="2"/>
      <c r="H26" s="6">
        <v>1603.3</v>
      </c>
      <c r="I26" s="2"/>
      <c r="J26" s="7">
        <f t="shared" si="1"/>
        <v>0</v>
      </c>
      <c r="K26" s="2"/>
      <c r="L26" s="6">
        <f t="shared" si="2"/>
        <v>-194.68000000000006</v>
      </c>
      <c r="M26" s="2"/>
      <c r="N26" s="7">
        <f t="shared" si="3"/>
        <v>-0.12142456184120257</v>
      </c>
      <c r="O26" s="11"/>
      <c r="P26" s="6">
        <v>8762.18</v>
      </c>
      <c r="Q26" s="2"/>
      <c r="R26" s="7">
        <f t="shared" si="4"/>
        <v>0</v>
      </c>
      <c r="S26" s="2"/>
      <c r="T26" s="6">
        <v>12348.42</v>
      </c>
      <c r="U26" s="2"/>
      <c r="V26" s="7">
        <f t="shared" si="5"/>
        <v>0</v>
      </c>
      <c r="W26" s="2"/>
      <c r="X26" s="6">
        <f t="shared" si="6"/>
        <v>-3586.24</v>
      </c>
      <c r="Y26" s="2"/>
      <c r="Z26" s="7">
        <f t="shared" si="7"/>
        <v>-0.29042096073829687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941.7</v>
      </c>
      <c r="E27" s="2"/>
      <c r="F27" s="7">
        <f t="shared" si="0"/>
        <v>0</v>
      </c>
      <c r="G27" s="2"/>
      <c r="H27" s="6">
        <v>1196.6600000000001</v>
      </c>
      <c r="I27" s="2"/>
      <c r="J27" s="7">
        <f t="shared" si="1"/>
        <v>0</v>
      </c>
      <c r="K27" s="2"/>
      <c r="L27" s="6">
        <f t="shared" si="2"/>
        <v>-254.96000000000004</v>
      </c>
      <c r="M27" s="2"/>
      <c r="N27" s="7">
        <f t="shared" si="3"/>
        <v>-0.21305968278374812</v>
      </c>
      <c r="O27" s="11"/>
      <c r="P27" s="6">
        <v>5864.96</v>
      </c>
      <c r="Q27" s="2"/>
      <c r="R27" s="7">
        <f t="shared" si="4"/>
        <v>0</v>
      </c>
      <c r="S27" s="2"/>
      <c r="T27" s="6">
        <v>6446.08</v>
      </c>
      <c r="U27" s="2"/>
      <c r="V27" s="7">
        <f t="shared" si="5"/>
        <v>0</v>
      </c>
      <c r="W27" s="2"/>
      <c r="X27" s="6">
        <f t="shared" si="6"/>
        <v>-581.11999999999989</v>
      </c>
      <c r="Y27" s="2"/>
      <c r="Z27" s="7">
        <f t="shared" si="7"/>
        <v>-9.0150913423351853E-2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588.41999999999996</v>
      </c>
      <c r="E28" s="2"/>
      <c r="F28" s="7">
        <f t="shared" si="0"/>
        <v>0</v>
      </c>
      <c r="G28" s="2"/>
      <c r="H28" s="6">
        <v>717.27</v>
      </c>
      <c r="I28" s="2"/>
      <c r="J28" s="7">
        <f t="shared" si="1"/>
        <v>0</v>
      </c>
      <c r="K28" s="2"/>
      <c r="L28" s="6">
        <f t="shared" si="2"/>
        <v>-128.85000000000002</v>
      </c>
      <c r="M28" s="2"/>
      <c r="N28" s="7">
        <f t="shared" si="3"/>
        <v>-0.17963946630975786</v>
      </c>
      <c r="O28" s="11"/>
      <c r="P28" s="6">
        <v>3063.13</v>
      </c>
      <c r="Q28" s="2"/>
      <c r="R28" s="7">
        <f t="shared" si="4"/>
        <v>0</v>
      </c>
      <c r="S28" s="2"/>
      <c r="T28" s="6">
        <v>2895.71</v>
      </c>
      <c r="U28" s="2"/>
      <c r="V28" s="7">
        <f t="shared" si="5"/>
        <v>0</v>
      </c>
      <c r="W28" s="2"/>
      <c r="X28" s="6">
        <f t="shared" si="6"/>
        <v>167.42000000000007</v>
      </c>
      <c r="Y28" s="2"/>
      <c r="Z28" s="7">
        <f t="shared" si="7"/>
        <v>5.7816563122688416E-2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23404.21</v>
      </c>
      <c r="E29" s="1"/>
      <c r="F29" s="5">
        <f t="shared" ref="F29:F34" si="8">IF(D$12=0,0,D29/D$12)</f>
        <v>0</v>
      </c>
      <c r="G29" s="1"/>
      <c r="H29" s="1">
        <f>SUM(OSRRefH22_1x_0)</f>
        <v>27823.31</v>
      </c>
      <c r="I29" s="1"/>
      <c r="J29" s="5">
        <f t="shared" ref="J29:J34" si="9">IF(H$12=0,0,H29/H$12)</f>
        <v>0</v>
      </c>
      <c r="K29" s="1"/>
      <c r="L29" s="1">
        <f t="shared" ref="L29:L34" si="10">+D29-H29</f>
        <v>-4419.1000000000022</v>
      </c>
      <c r="M29" s="1"/>
      <c r="N29" s="5">
        <f t="shared" ref="N29:N34" si="11">IF(H29=0,0,L29/H29)</f>
        <v>-0.15882725671388495</v>
      </c>
      <c r="O29" s="13"/>
      <c r="P29" s="1">
        <f>SUM(OSRRefP22_1x_0)</f>
        <v>132990.35999999999</v>
      </c>
      <c r="Q29" s="1"/>
      <c r="R29" s="5">
        <f t="shared" ref="R29:R34" si="12">IF(P$12=0,0,P29/P$12)</f>
        <v>0</v>
      </c>
      <c r="S29" s="1"/>
      <c r="T29" s="1">
        <f>SUM(OSRRefT22_1x_0)</f>
        <v>123134.12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9856.2399999999907</v>
      </c>
      <c r="Y29" s="1"/>
      <c r="Z29" s="5">
        <f t="shared" ref="Z29:Z34" si="15">IF(T29=0,0,X29/T29)</f>
        <v>8.0044751202997116E-2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10507.07</v>
      </c>
      <c r="E30" s="2"/>
      <c r="F30" s="7">
        <f t="shared" si="8"/>
        <v>0</v>
      </c>
      <c r="G30" s="2"/>
      <c r="H30" s="6">
        <v>15560.12</v>
      </c>
      <c r="I30" s="2"/>
      <c r="J30" s="7">
        <f t="shared" si="9"/>
        <v>0</v>
      </c>
      <c r="K30" s="2"/>
      <c r="L30" s="6">
        <f t="shared" si="10"/>
        <v>-5053.0500000000011</v>
      </c>
      <c r="M30" s="2"/>
      <c r="N30" s="7">
        <f t="shared" si="11"/>
        <v>-0.32474363950920693</v>
      </c>
      <c r="O30" s="11"/>
      <c r="P30" s="6">
        <v>62613.799999999996</v>
      </c>
      <c r="Q30" s="2"/>
      <c r="R30" s="7">
        <f t="shared" si="12"/>
        <v>0</v>
      </c>
      <c r="S30" s="2"/>
      <c r="T30" s="6">
        <v>65014.34</v>
      </c>
      <c r="U30" s="2"/>
      <c r="V30" s="7">
        <f t="shared" si="13"/>
        <v>0</v>
      </c>
      <c r="W30" s="2"/>
      <c r="X30" s="6">
        <f t="shared" si="14"/>
        <v>-2400.5400000000009</v>
      </c>
      <c r="Y30" s="2"/>
      <c r="Z30" s="7">
        <f t="shared" si="15"/>
        <v>-3.6923238780859749E-2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>
        <v>8028.64</v>
      </c>
      <c r="E31" s="2"/>
      <c r="F31" s="7">
        <f t="shared" si="8"/>
        <v>0</v>
      </c>
      <c r="G31" s="2"/>
      <c r="H31" s="6">
        <v>8463.31</v>
      </c>
      <c r="I31" s="2"/>
      <c r="J31" s="7">
        <f t="shared" si="9"/>
        <v>0</v>
      </c>
      <c r="K31" s="2"/>
      <c r="L31" s="6">
        <f t="shared" si="10"/>
        <v>-434.66999999999916</v>
      </c>
      <c r="M31" s="2"/>
      <c r="N31" s="7">
        <f t="shared" si="11"/>
        <v>-5.1359338131298414E-2</v>
      </c>
      <c r="O31" s="11"/>
      <c r="P31" s="6">
        <v>40354.049999999996</v>
      </c>
      <c r="Q31" s="2"/>
      <c r="R31" s="7">
        <f t="shared" si="12"/>
        <v>0</v>
      </c>
      <c r="S31" s="2"/>
      <c r="T31" s="6">
        <v>33650.129999999997</v>
      </c>
      <c r="U31" s="2"/>
      <c r="V31" s="7">
        <f t="shared" si="13"/>
        <v>0</v>
      </c>
      <c r="W31" s="2"/>
      <c r="X31" s="6">
        <f t="shared" si="14"/>
        <v>6703.9199999999983</v>
      </c>
      <c r="Y31" s="2"/>
      <c r="Z31" s="7">
        <f t="shared" si="15"/>
        <v>0.19922419319033829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6">
        <v>2519</v>
      </c>
      <c r="E32" s="2"/>
      <c r="F32" s="7">
        <f t="shared" si="8"/>
        <v>0</v>
      </c>
      <c r="G32" s="2"/>
      <c r="H32" s="6">
        <v>2239.75</v>
      </c>
      <c r="I32" s="2"/>
      <c r="J32" s="7">
        <f t="shared" si="9"/>
        <v>0</v>
      </c>
      <c r="K32" s="2"/>
      <c r="L32" s="6">
        <f t="shared" si="10"/>
        <v>279.25</v>
      </c>
      <c r="M32" s="2"/>
      <c r="N32" s="7">
        <f t="shared" si="11"/>
        <v>0.12467909364884473</v>
      </c>
      <c r="O32" s="11"/>
      <c r="P32" s="6">
        <v>13021.5</v>
      </c>
      <c r="Q32" s="2"/>
      <c r="R32" s="7">
        <f t="shared" si="12"/>
        <v>0</v>
      </c>
      <c r="S32" s="2"/>
      <c r="T32" s="6">
        <v>11849.01</v>
      </c>
      <c r="U32" s="2"/>
      <c r="V32" s="7">
        <f t="shared" si="13"/>
        <v>0</v>
      </c>
      <c r="W32" s="2"/>
      <c r="X32" s="6">
        <f t="shared" si="14"/>
        <v>1172.4899999999998</v>
      </c>
      <c r="Y32" s="2"/>
      <c r="Z32" s="7">
        <f t="shared" si="15"/>
        <v>9.8952570721098199E-2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6">
        <v>2349.5</v>
      </c>
      <c r="E33" s="2"/>
      <c r="F33" s="7">
        <f t="shared" si="8"/>
        <v>0</v>
      </c>
      <c r="G33" s="2"/>
      <c r="H33" s="6">
        <v>1560.13</v>
      </c>
      <c r="I33" s="2"/>
      <c r="J33" s="7">
        <f t="shared" si="9"/>
        <v>0</v>
      </c>
      <c r="K33" s="2"/>
      <c r="L33" s="6">
        <f t="shared" si="10"/>
        <v>789.36999999999989</v>
      </c>
      <c r="M33" s="2"/>
      <c r="N33" s="7">
        <f t="shared" si="11"/>
        <v>0.50596424656919603</v>
      </c>
      <c r="O33" s="11"/>
      <c r="P33" s="6">
        <v>14481.01</v>
      </c>
      <c r="Q33" s="2"/>
      <c r="R33" s="7">
        <f t="shared" si="12"/>
        <v>0</v>
      </c>
      <c r="S33" s="2"/>
      <c r="T33" s="6">
        <v>12620.64</v>
      </c>
      <c r="U33" s="2"/>
      <c r="V33" s="7">
        <f t="shared" si="13"/>
        <v>0</v>
      </c>
      <c r="W33" s="2"/>
      <c r="X33" s="6">
        <f t="shared" si="14"/>
        <v>1860.3700000000008</v>
      </c>
      <c r="Y33" s="2"/>
      <c r="Z33" s="7">
        <f t="shared" si="15"/>
        <v>0.14740694608197372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>
        <v>2520</v>
      </c>
      <c r="Q34" s="2"/>
      <c r="R34" s="7">
        <f t="shared" si="12"/>
        <v>0</v>
      </c>
      <c r="S34" s="2"/>
      <c r="T34" s="6"/>
      <c r="U34" s="2"/>
      <c r="V34" s="7">
        <f t="shared" si="13"/>
        <v>0</v>
      </c>
      <c r="W34" s="2"/>
      <c r="X34" s="6">
        <f t="shared" si="14"/>
        <v>2520</v>
      </c>
      <c r="Y34" s="2"/>
      <c r="Z34" s="7">
        <f t="shared" si="15"/>
        <v>0</v>
      </c>
    </row>
    <row r="35" spans="1:26" s="25" customFormat="1" outlineLevel="1" collapsed="1" x14ac:dyDescent="0.25">
      <c r="A35" s="27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0</v>
      </c>
      <c r="E35" s="1"/>
      <c r="F35" s="5">
        <f t="shared" ref="F35:F39" si="16">IF(D$12=0,0,D35/D$12)</f>
        <v>0</v>
      </c>
      <c r="G35" s="1"/>
      <c r="H35" s="1">
        <f>SUM(OSRRefH22_2x_0)</f>
        <v>0</v>
      </c>
      <c r="I35" s="1"/>
      <c r="J35" s="5">
        <f t="shared" ref="J35:J39" si="17">IF(H$12=0,0,H35/H$12)</f>
        <v>0</v>
      </c>
      <c r="K35" s="1"/>
      <c r="L35" s="1">
        <f t="shared" ref="L35:L39" si="18">+D35-H35</f>
        <v>0</v>
      </c>
      <c r="M35" s="1"/>
      <c r="N35" s="5">
        <f t="shared" ref="N35:N39" si="19">IF(H35=0,0,L35/H35)</f>
        <v>0</v>
      </c>
      <c r="O35" s="13"/>
      <c r="P35" s="1">
        <f>SUM(OSRRefP22_2x_0)</f>
        <v>9.99</v>
      </c>
      <c r="Q35" s="1"/>
      <c r="R35" s="5">
        <f t="shared" ref="R35:R39" si="20">IF(P$12=0,0,P35/P$12)</f>
        <v>0</v>
      </c>
      <c r="S35" s="1"/>
      <c r="T35" s="1">
        <f>SUM(OSRRefT22_2x_0)</f>
        <v>6</v>
      </c>
      <c r="U35" s="1"/>
      <c r="V35" s="5">
        <f t="shared" ref="V35:V39" si="21">IF(T$12=0,0,T35/T$12)</f>
        <v>0</v>
      </c>
      <c r="W35" s="1"/>
      <c r="X35" s="1">
        <f t="shared" ref="X35:X39" si="22">+P35-T35</f>
        <v>3.99</v>
      </c>
      <c r="Y35" s="1"/>
      <c r="Z35" s="5">
        <f t="shared" ref="Z35:Z39" si="23">IF(T35=0,0,X35/T35)</f>
        <v>0.66500000000000004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6"/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9.99</v>
      </c>
      <c r="Q36" s="2"/>
      <c r="R36" s="7">
        <f t="shared" si="20"/>
        <v>0</v>
      </c>
      <c r="S36" s="2"/>
      <c r="T36" s="6">
        <v>6</v>
      </c>
      <c r="U36" s="2"/>
      <c r="V36" s="7">
        <f t="shared" si="21"/>
        <v>0</v>
      </c>
      <c r="W36" s="2"/>
      <c r="X36" s="6">
        <f t="shared" si="22"/>
        <v>3.99</v>
      </c>
      <c r="Y36" s="2"/>
      <c r="Z36" s="7">
        <f t="shared" si="23"/>
        <v>0.66500000000000004</v>
      </c>
    </row>
    <row r="37" spans="1:26" s="25" customFormat="1" outlineLevel="1" collapsed="1" x14ac:dyDescent="0.25">
      <c r="A37" s="27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6175.97</v>
      </c>
      <c r="E37" s="1"/>
      <c r="F37" s="5">
        <f t="shared" si="16"/>
        <v>0</v>
      </c>
      <c r="G37" s="1"/>
      <c r="H37" s="1">
        <f>SUM(OSRRefH22_3x_0)</f>
        <v>7869.89</v>
      </c>
      <c r="I37" s="1"/>
      <c r="J37" s="5">
        <f t="shared" si="17"/>
        <v>0</v>
      </c>
      <c r="K37" s="1"/>
      <c r="L37" s="1">
        <f t="shared" si="18"/>
        <v>-1693.92</v>
      </c>
      <c r="M37" s="1"/>
      <c r="N37" s="5">
        <f t="shared" si="19"/>
        <v>-0.21524061962746621</v>
      </c>
      <c r="O37" s="13"/>
      <c r="P37" s="1">
        <f>SUM(OSRRefP22_3x_0)</f>
        <v>30879.85</v>
      </c>
      <c r="Q37" s="1"/>
      <c r="R37" s="5">
        <f t="shared" si="20"/>
        <v>0</v>
      </c>
      <c r="S37" s="1"/>
      <c r="T37" s="1">
        <f>SUM(OSRRefT22_3x_0)</f>
        <v>39349.449999999997</v>
      </c>
      <c r="U37" s="1"/>
      <c r="V37" s="5">
        <f t="shared" si="21"/>
        <v>0</v>
      </c>
      <c r="W37" s="1"/>
      <c r="X37" s="1">
        <f t="shared" si="22"/>
        <v>-8469.5999999999985</v>
      </c>
      <c r="Y37" s="1"/>
      <c r="Z37" s="5">
        <f t="shared" si="23"/>
        <v>-0.21524061962746618</v>
      </c>
    </row>
    <row r="38" spans="1:26" s="24" customFormat="1" hidden="1" outlineLevel="2" x14ac:dyDescent="0.25">
      <c r="A38" s="26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6175.97</v>
      </c>
      <c r="E38" s="2"/>
      <c r="F38" s="7">
        <f t="shared" si="16"/>
        <v>0</v>
      </c>
      <c r="G38" s="2"/>
      <c r="H38" s="6">
        <v>7547.85</v>
      </c>
      <c r="I38" s="2"/>
      <c r="J38" s="7">
        <f t="shared" si="17"/>
        <v>0</v>
      </c>
      <c r="K38" s="2"/>
      <c r="L38" s="6">
        <f t="shared" si="18"/>
        <v>-1371.88</v>
      </c>
      <c r="M38" s="2"/>
      <c r="N38" s="7">
        <f t="shared" si="19"/>
        <v>-0.18175771908556743</v>
      </c>
      <c r="O38" s="11"/>
      <c r="P38" s="6">
        <v>30879.85</v>
      </c>
      <c r="Q38" s="2"/>
      <c r="R38" s="7">
        <f t="shared" si="20"/>
        <v>0</v>
      </c>
      <c r="S38" s="2"/>
      <c r="T38" s="6">
        <v>37739.25</v>
      </c>
      <c r="U38" s="2"/>
      <c r="V38" s="7">
        <f t="shared" si="21"/>
        <v>0</v>
      </c>
      <c r="W38" s="2"/>
      <c r="X38" s="6">
        <f t="shared" si="22"/>
        <v>-6859.4000000000015</v>
      </c>
      <c r="Y38" s="2"/>
      <c r="Z38" s="7">
        <f t="shared" si="23"/>
        <v>-0.18175771908556745</v>
      </c>
    </row>
    <row r="39" spans="1:26" s="24" customFormat="1" hidden="1" outlineLevel="2" x14ac:dyDescent="0.25">
      <c r="A39" s="26"/>
      <c r="B39" s="11" t="str">
        <f>CONCATENATE("          ", "6324", " - ", "FURNITURE + FIXT DEPRECIATION")</f>
        <v xml:space="preserve">          6324 - FURNITURE + FIXT DEPRECIATION</v>
      </c>
      <c r="C39" s="11"/>
      <c r="D39" s="6"/>
      <c r="E39" s="2"/>
      <c r="F39" s="7">
        <f t="shared" si="16"/>
        <v>0</v>
      </c>
      <c r="G39" s="2"/>
      <c r="H39" s="6">
        <v>322.04000000000002</v>
      </c>
      <c r="I39" s="2"/>
      <c r="J39" s="7">
        <f t="shared" si="17"/>
        <v>0</v>
      </c>
      <c r="K39" s="2"/>
      <c r="L39" s="6">
        <f t="shared" si="18"/>
        <v>-322.04000000000002</v>
      </c>
      <c r="M39" s="2"/>
      <c r="N39" s="7">
        <f t="shared" si="19"/>
        <v>-1</v>
      </c>
      <c r="O39" s="11"/>
      <c r="P39" s="6"/>
      <c r="Q39" s="2"/>
      <c r="R39" s="7">
        <f t="shared" si="20"/>
        <v>0</v>
      </c>
      <c r="S39" s="2"/>
      <c r="T39" s="6">
        <v>1610.2</v>
      </c>
      <c r="U39" s="2"/>
      <c r="V39" s="7">
        <f t="shared" si="21"/>
        <v>0</v>
      </c>
      <c r="W39" s="2"/>
      <c r="X39" s="6">
        <f t="shared" si="22"/>
        <v>-1610.2</v>
      </c>
      <c r="Y39" s="2"/>
      <c r="Z39" s="7">
        <f t="shared" si="23"/>
        <v>-1</v>
      </c>
    </row>
    <row r="40" spans="1:26" s="25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ref="F40:F47" si="24">IF(D$12=0,0,D40/D$12)</f>
        <v>0</v>
      </c>
      <c r="G40" s="1"/>
      <c r="H40" s="1">
        <f>SUM(OSRRefH22_4x_0)</f>
        <v>0</v>
      </c>
      <c r="I40" s="1"/>
      <c r="J40" s="5">
        <f t="shared" ref="J40:J47" si="25">IF(H$12=0,0,H40/H$12)</f>
        <v>0</v>
      </c>
      <c r="K40" s="1"/>
      <c r="L40" s="1">
        <f t="shared" ref="L40:L47" si="26">+D40-H40</f>
        <v>0</v>
      </c>
      <c r="M40" s="1"/>
      <c r="N40" s="5">
        <f t="shared" ref="N40:N47" si="27">IF(H40=0,0,L40/H40)</f>
        <v>0</v>
      </c>
      <c r="O40" s="13"/>
      <c r="P40" s="1">
        <f>SUM(OSRRefP22_4x_0)</f>
        <v>0</v>
      </c>
      <c r="Q40" s="1"/>
      <c r="R40" s="5">
        <f t="shared" ref="R40:R47" si="28">IF(P$12=0,0,P40/P$12)</f>
        <v>0</v>
      </c>
      <c r="S40" s="1"/>
      <c r="T40" s="1">
        <f>SUM(OSRRefT22_4x_0)</f>
        <v>486.19</v>
      </c>
      <c r="U40" s="1"/>
      <c r="V40" s="5">
        <f t="shared" ref="V40:V47" si="29">IF(T$12=0,0,T40/T$12)</f>
        <v>0</v>
      </c>
      <c r="W40" s="1"/>
      <c r="X40" s="1">
        <f t="shared" ref="X40:X47" si="30">+P40-T40</f>
        <v>-486.19</v>
      </c>
      <c r="Y40" s="1"/>
      <c r="Z40" s="5">
        <f t="shared" ref="Z40:Z47" si="31">IF(T40=0,0,X40/T40)</f>
        <v>-1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4"/>
        <v>0</v>
      </c>
      <c r="G41" s="2"/>
      <c r="H41" s="6"/>
      <c r="I41" s="2"/>
      <c r="J41" s="7">
        <f t="shared" si="25"/>
        <v>0</v>
      </c>
      <c r="K41" s="2"/>
      <c r="L41" s="6">
        <f t="shared" si="26"/>
        <v>0</v>
      </c>
      <c r="M41" s="2"/>
      <c r="N41" s="7">
        <f t="shared" si="27"/>
        <v>0</v>
      </c>
      <c r="O41" s="11"/>
      <c r="P41" s="6"/>
      <c r="Q41" s="2"/>
      <c r="R41" s="7">
        <f t="shared" si="28"/>
        <v>0</v>
      </c>
      <c r="S41" s="2"/>
      <c r="T41" s="6">
        <v>486.19</v>
      </c>
      <c r="U41" s="2"/>
      <c r="V41" s="7">
        <f t="shared" si="29"/>
        <v>0</v>
      </c>
      <c r="W41" s="2"/>
      <c r="X41" s="6">
        <f t="shared" si="30"/>
        <v>-486.19</v>
      </c>
      <c r="Y41" s="2"/>
      <c r="Z41" s="7">
        <f t="shared" si="31"/>
        <v>-1</v>
      </c>
    </row>
    <row r="42" spans="1:26" s="25" customFormat="1" outlineLevel="1" collapsed="1" x14ac:dyDescent="0.25">
      <c r="A42" s="27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SUM(OSRRefD22_5x_0)</f>
        <v>56.34</v>
      </c>
      <c r="E42" s="1"/>
      <c r="F42" s="5">
        <f t="shared" si="24"/>
        <v>0</v>
      </c>
      <c r="G42" s="1"/>
      <c r="H42" s="1">
        <f>SUM(OSRRefH22_5x_0)</f>
        <v>53.08</v>
      </c>
      <c r="I42" s="1"/>
      <c r="J42" s="5">
        <f t="shared" si="25"/>
        <v>0</v>
      </c>
      <c r="K42" s="1"/>
      <c r="L42" s="1">
        <f t="shared" si="26"/>
        <v>3.2600000000000051</v>
      </c>
      <c r="M42" s="1"/>
      <c r="N42" s="5">
        <f t="shared" si="27"/>
        <v>6.1416729464958651E-2</v>
      </c>
      <c r="O42" s="13"/>
      <c r="P42" s="1">
        <f>SUM(OSRRefP22_5x_0)</f>
        <v>281.7</v>
      </c>
      <c r="Q42" s="1"/>
      <c r="R42" s="5">
        <f t="shared" si="28"/>
        <v>0</v>
      </c>
      <c r="S42" s="1"/>
      <c r="T42" s="1">
        <f>SUM(OSRRefT22_5x_0)</f>
        <v>265.39999999999998</v>
      </c>
      <c r="U42" s="1"/>
      <c r="V42" s="5">
        <f t="shared" si="29"/>
        <v>0</v>
      </c>
      <c r="W42" s="1"/>
      <c r="X42" s="1">
        <f t="shared" si="30"/>
        <v>16.300000000000011</v>
      </c>
      <c r="Y42" s="1"/>
      <c r="Z42" s="5">
        <f t="shared" si="31"/>
        <v>6.1416729464958603E-2</v>
      </c>
    </row>
    <row r="43" spans="1:26" s="24" customFormat="1" hidden="1" outlineLevel="2" x14ac:dyDescent="0.25">
      <c r="A43" s="26"/>
      <c r="B43" s="11" t="str">
        <f>CONCATENATE("          ", "6314", " - ", "LIABILITY INSURANCE")</f>
        <v xml:space="preserve">          6314 - LIABILITY INSURANCE</v>
      </c>
      <c r="C43" s="11"/>
      <c r="D43" s="6">
        <v>56.34</v>
      </c>
      <c r="E43" s="2"/>
      <c r="F43" s="7">
        <f t="shared" si="24"/>
        <v>0</v>
      </c>
      <c r="G43" s="2"/>
      <c r="H43" s="6">
        <v>53.08</v>
      </c>
      <c r="I43" s="2"/>
      <c r="J43" s="7">
        <f t="shared" si="25"/>
        <v>0</v>
      </c>
      <c r="K43" s="2"/>
      <c r="L43" s="6">
        <f t="shared" si="26"/>
        <v>3.2600000000000051</v>
      </c>
      <c r="M43" s="2"/>
      <c r="N43" s="7">
        <f t="shared" si="27"/>
        <v>6.1416729464958651E-2</v>
      </c>
      <c r="O43" s="11"/>
      <c r="P43" s="6">
        <v>281.7</v>
      </c>
      <c r="Q43" s="2"/>
      <c r="R43" s="7">
        <f t="shared" si="28"/>
        <v>0</v>
      </c>
      <c r="S43" s="2"/>
      <c r="T43" s="6">
        <v>265.39999999999998</v>
      </c>
      <c r="U43" s="2"/>
      <c r="V43" s="7">
        <f t="shared" si="29"/>
        <v>0</v>
      </c>
      <c r="W43" s="2"/>
      <c r="X43" s="6">
        <f t="shared" si="30"/>
        <v>16.300000000000011</v>
      </c>
      <c r="Y43" s="2"/>
      <c r="Z43" s="7">
        <f t="shared" si="31"/>
        <v>6.1416729464958603E-2</v>
      </c>
    </row>
    <row r="44" spans="1:26" s="25" customFormat="1" outlineLevel="1" collapsed="1" x14ac:dyDescent="0.25">
      <c r="A44" s="27"/>
      <c r="B44" s="13" t="str">
        <f>CONCATENATE("     ","Repair and Maintenance                            ")</f>
        <v xml:space="preserve">     Repair and Maintenance                            </v>
      </c>
      <c r="C44" s="13"/>
      <c r="D44" s="1">
        <f>SUM(OSRRefD22_6x_0)</f>
        <v>9497.9500000000007</v>
      </c>
      <c r="E44" s="1"/>
      <c r="F44" s="5">
        <f t="shared" si="24"/>
        <v>0</v>
      </c>
      <c r="G44" s="1"/>
      <c r="H44" s="1">
        <f>SUM(OSRRefH22_6x_0)</f>
        <v>8910.58</v>
      </c>
      <c r="I44" s="1"/>
      <c r="J44" s="5">
        <f t="shared" si="25"/>
        <v>0</v>
      </c>
      <c r="K44" s="1"/>
      <c r="L44" s="1">
        <f t="shared" si="26"/>
        <v>587.3700000000008</v>
      </c>
      <c r="M44" s="1"/>
      <c r="N44" s="5">
        <f t="shared" si="27"/>
        <v>6.5918267946643294E-2</v>
      </c>
      <c r="O44" s="13"/>
      <c r="P44" s="1">
        <f>SUM(OSRRefP22_6x_0)</f>
        <v>47662.26</v>
      </c>
      <c r="Q44" s="1"/>
      <c r="R44" s="5">
        <f t="shared" si="28"/>
        <v>0</v>
      </c>
      <c r="S44" s="1"/>
      <c r="T44" s="1">
        <f>SUM(OSRRefT22_6x_0)</f>
        <v>44912.590000000004</v>
      </c>
      <c r="U44" s="1"/>
      <c r="V44" s="5">
        <f t="shared" si="29"/>
        <v>0</v>
      </c>
      <c r="W44" s="1"/>
      <c r="X44" s="1">
        <f t="shared" si="30"/>
        <v>2749.6699999999983</v>
      </c>
      <c r="Y44" s="1"/>
      <c r="Z44" s="5">
        <f t="shared" si="31"/>
        <v>6.122269947023759E-2</v>
      </c>
    </row>
    <row r="45" spans="1:26" s="24" customFormat="1" hidden="1" outlineLevel="2" x14ac:dyDescent="0.25">
      <c r="A45" s="26"/>
      <c r="B45" s="11" t="str">
        <f>CONCATENATE("          ", "6371", " - ", "COMPUTER SOFTWARE MAINTENANCE")</f>
        <v xml:space="preserve">          6371 - COMPUTER SOFTWARE MAINTENANCE</v>
      </c>
      <c r="C45" s="11"/>
      <c r="D45" s="6">
        <v>90.95</v>
      </c>
      <c r="E45" s="2"/>
      <c r="F45" s="7">
        <f t="shared" si="24"/>
        <v>0</v>
      </c>
      <c r="G45" s="2"/>
      <c r="H45" s="6">
        <v>319.89999999999998</v>
      </c>
      <c r="I45" s="2"/>
      <c r="J45" s="7">
        <f t="shared" si="25"/>
        <v>0</v>
      </c>
      <c r="K45" s="2"/>
      <c r="L45" s="6">
        <f t="shared" si="26"/>
        <v>-228.95</v>
      </c>
      <c r="M45" s="2"/>
      <c r="N45" s="7">
        <f t="shared" si="27"/>
        <v>-0.71569240387621136</v>
      </c>
      <c r="O45" s="11"/>
      <c r="P45" s="6">
        <v>454.75</v>
      </c>
      <c r="Q45" s="2"/>
      <c r="R45" s="7">
        <f t="shared" si="28"/>
        <v>0</v>
      </c>
      <c r="S45" s="2"/>
      <c r="T45" s="6">
        <v>1210.07</v>
      </c>
      <c r="U45" s="2"/>
      <c r="V45" s="7">
        <f t="shared" si="29"/>
        <v>0</v>
      </c>
      <c r="W45" s="2"/>
      <c r="X45" s="6">
        <f t="shared" si="30"/>
        <v>-755.31999999999994</v>
      </c>
      <c r="Y45" s="2"/>
      <c r="Z45" s="7">
        <f t="shared" si="31"/>
        <v>-0.62419529448709576</v>
      </c>
    </row>
    <row r="46" spans="1:26" s="24" customFormat="1" hidden="1" outlineLevel="2" x14ac:dyDescent="0.25">
      <c r="A46" s="26"/>
      <c r="B46" s="11" t="str">
        <f>CONCATENATE("          ", "6373", " - ", "MAINTENANCE CONTRACTS")</f>
        <v xml:space="preserve">          6373 - MAINTENANCE CONTRACTS</v>
      </c>
      <c r="C46" s="11"/>
      <c r="D46" s="6">
        <v>9407</v>
      </c>
      <c r="E46" s="2"/>
      <c r="F46" s="7">
        <f t="shared" si="24"/>
        <v>0</v>
      </c>
      <c r="G46" s="2"/>
      <c r="H46" s="6">
        <v>8559</v>
      </c>
      <c r="I46" s="2"/>
      <c r="J46" s="7">
        <f t="shared" si="25"/>
        <v>0</v>
      </c>
      <c r="K46" s="2"/>
      <c r="L46" s="6">
        <f t="shared" si="26"/>
        <v>848</v>
      </c>
      <c r="M46" s="2"/>
      <c r="N46" s="7">
        <f t="shared" si="27"/>
        <v>9.9076994976048605E-2</v>
      </c>
      <c r="O46" s="11"/>
      <c r="P46" s="6">
        <v>47144.15</v>
      </c>
      <c r="Q46" s="2"/>
      <c r="R46" s="7">
        <f t="shared" si="28"/>
        <v>0</v>
      </c>
      <c r="S46" s="2"/>
      <c r="T46" s="6">
        <v>42904.15</v>
      </c>
      <c r="U46" s="2"/>
      <c r="V46" s="7">
        <f t="shared" si="29"/>
        <v>0</v>
      </c>
      <c r="W46" s="2"/>
      <c r="X46" s="6">
        <f t="shared" si="30"/>
        <v>4240</v>
      </c>
      <c r="Y46" s="2"/>
      <c r="Z46" s="7">
        <f t="shared" si="31"/>
        <v>9.8824938846242147E-2</v>
      </c>
    </row>
    <row r="47" spans="1:26" s="24" customFormat="1" hidden="1" outlineLevel="2" x14ac:dyDescent="0.25">
      <c r="A47" s="26"/>
      <c r="B47" s="11" t="str">
        <f>CONCATENATE("          ", "6375", " - ", "OUTSIDE REPAIRS &amp; MAINTENANCE")</f>
        <v xml:space="preserve">          6375 - OUTSIDE REPAIRS &amp; MAINTENANCE</v>
      </c>
      <c r="C47" s="11"/>
      <c r="D47" s="6"/>
      <c r="E47" s="2"/>
      <c r="F47" s="7">
        <f t="shared" si="24"/>
        <v>0</v>
      </c>
      <c r="G47" s="2"/>
      <c r="H47" s="6">
        <v>31.68</v>
      </c>
      <c r="I47" s="2"/>
      <c r="J47" s="7">
        <f t="shared" si="25"/>
        <v>0</v>
      </c>
      <c r="K47" s="2"/>
      <c r="L47" s="6">
        <f t="shared" si="26"/>
        <v>-31.68</v>
      </c>
      <c r="M47" s="2"/>
      <c r="N47" s="7">
        <f t="shared" si="27"/>
        <v>-1</v>
      </c>
      <c r="O47" s="11"/>
      <c r="P47" s="6">
        <v>63.36</v>
      </c>
      <c r="Q47" s="2"/>
      <c r="R47" s="7">
        <f t="shared" si="28"/>
        <v>0</v>
      </c>
      <c r="S47" s="2"/>
      <c r="T47" s="6">
        <v>798.37</v>
      </c>
      <c r="U47" s="2"/>
      <c r="V47" s="7">
        <f t="shared" si="29"/>
        <v>0</v>
      </c>
      <c r="W47" s="2"/>
      <c r="X47" s="6">
        <f t="shared" si="30"/>
        <v>-735.01</v>
      </c>
      <c r="Y47" s="2"/>
      <c r="Z47" s="7">
        <f t="shared" si="31"/>
        <v>-0.92063830053734486</v>
      </c>
    </row>
    <row r="48" spans="1:26" s="25" customFormat="1" outlineLevel="1" collapsed="1" x14ac:dyDescent="0.25">
      <c r="A48" s="27"/>
      <c r="B48" s="13" t="str">
        <f>CONCATENATE("     ","Supplies                                          ")</f>
        <v xml:space="preserve">     Supplies                                          </v>
      </c>
      <c r="C48" s="13"/>
      <c r="D48" s="1">
        <f>SUM(OSRRefD22_7x_0)</f>
        <v>397.73</v>
      </c>
      <c r="E48" s="1"/>
      <c r="F48" s="5">
        <f t="shared" ref="F48:F50" si="32">IF(D$12=0,0,D48/D$12)</f>
        <v>0</v>
      </c>
      <c r="G48" s="1"/>
      <c r="H48" s="1">
        <f>SUM(OSRRefH22_7x_0)</f>
        <v>9006.1</v>
      </c>
      <c r="I48" s="1"/>
      <c r="J48" s="5">
        <f t="shared" ref="J48:J50" si="33">IF(H$12=0,0,H48/H$12)</f>
        <v>0</v>
      </c>
      <c r="K48" s="1"/>
      <c r="L48" s="1">
        <f t="shared" ref="L48:L50" si="34">+D48-H48</f>
        <v>-8608.3700000000008</v>
      </c>
      <c r="M48" s="1"/>
      <c r="N48" s="5">
        <f t="shared" ref="N48:N50" si="35">IF(H48=0,0,L48/H48)</f>
        <v>-0.95583770999655793</v>
      </c>
      <c r="O48" s="13"/>
      <c r="P48" s="1">
        <f>SUM(OSRRefP22_7x_0)</f>
        <v>18752.670000000002</v>
      </c>
      <c r="Q48" s="1"/>
      <c r="R48" s="5">
        <f t="shared" ref="R48:R50" si="36">IF(P$12=0,0,P48/P$12)</f>
        <v>0</v>
      </c>
      <c r="S48" s="1"/>
      <c r="T48" s="1">
        <f>SUM(OSRRefT22_7x_0)</f>
        <v>27770.799999999996</v>
      </c>
      <c r="U48" s="1"/>
      <c r="V48" s="5">
        <f t="shared" ref="V48:V50" si="37">IF(T$12=0,0,T48/T$12)</f>
        <v>0</v>
      </c>
      <c r="W48" s="1"/>
      <c r="X48" s="1">
        <f t="shared" ref="X48:X50" si="38">+P48-T48</f>
        <v>-9018.1299999999937</v>
      </c>
      <c r="Y48" s="1"/>
      <c r="Z48" s="5">
        <f t="shared" ref="Z48:Z50" si="39">IF(T48=0,0,X48/T48)</f>
        <v>-0.32473425324441485</v>
      </c>
    </row>
    <row r="49" spans="1:26" s="24" customFormat="1" hidden="1" outlineLevel="2" x14ac:dyDescent="0.25">
      <c r="A49" s="26"/>
      <c r="B49" s="11" t="str">
        <f>CONCATENATE("          ", "6234", " - ", "EXPENDABLE SUPPLIES &amp; EQUIPMEN")</f>
        <v xml:space="preserve">          6234 - EXPENDABLE SUPPLIES &amp; EQUIPMEN</v>
      </c>
      <c r="C49" s="11"/>
      <c r="D49" s="6"/>
      <c r="E49" s="2"/>
      <c r="F49" s="7">
        <f t="shared" si="32"/>
        <v>0</v>
      </c>
      <c r="G49" s="2"/>
      <c r="H49" s="6"/>
      <c r="I49" s="2"/>
      <c r="J49" s="7">
        <f t="shared" si="33"/>
        <v>0</v>
      </c>
      <c r="K49" s="2"/>
      <c r="L49" s="6">
        <f t="shared" si="34"/>
        <v>0</v>
      </c>
      <c r="M49" s="2"/>
      <c r="N49" s="7">
        <f t="shared" si="35"/>
        <v>0</v>
      </c>
      <c r="O49" s="11"/>
      <c r="P49" s="6"/>
      <c r="Q49" s="2"/>
      <c r="R49" s="7">
        <f t="shared" si="36"/>
        <v>0</v>
      </c>
      <c r="S49" s="2"/>
      <c r="T49" s="6">
        <v>1245.83</v>
      </c>
      <c r="U49" s="2"/>
      <c r="V49" s="7">
        <f t="shared" si="37"/>
        <v>0</v>
      </c>
      <c r="W49" s="2"/>
      <c r="X49" s="6">
        <f t="shared" si="38"/>
        <v>-1245.83</v>
      </c>
      <c r="Y49" s="2"/>
      <c r="Z49" s="7">
        <f t="shared" si="39"/>
        <v>-1</v>
      </c>
    </row>
    <row r="50" spans="1:26" s="24" customFormat="1" hidden="1" outlineLevel="2" x14ac:dyDescent="0.25">
      <c r="A50" s="26"/>
      <c r="B50" s="11" t="str">
        <f>CONCATENATE("          ", "6241", " - ", "OFFICE EXPENSE")</f>
        <v xml:space="preserve">          6241 - OFFICE EXPENSE</v>
      </c>
      <c r="C50" s="11"/>
      <c r="D50" s="6">
        <v>397.73</v>
      </c>
      <c r="E50" s="2"/>
      <c r="F50" s="7">
        <f t="shared" si="32"/>
        <v>0</v>
      </c>
      <c r="G50" s="2"/>
      <c r="H50" s="6">
        <v>9006.1</v>
      </c>
      <c r="I50" s="2"/>
      <c r="J50" s="7">
        <f t="shared" si="33"/>
        <v>0</v>
      </c>
      <c r="K50" s="2"/>
      <c r="L50" s="6">
        <f t="shared" si="34"/>
        <v>-8608.3700000000008</v>
      </c>
      <c r="M50" s="2"/>
      <c r="N50" s="7">
        <f t="shared" si="35"/>
        <v>-0.95583770999655793</v>
      </c>
      <c r="O50" s="11"/>
      <c r="P50" s="6">
        <v>18752.670000000002</v>
      </c>
      <c r="Q50" s="2"/>
      <c r="R50" s="7">
        <f t="shared" si="36"/>
        <v>0</v>
      </c>
      <c r="S50" s="2"/>
      <c r="T50" s="6">
        <v>26524.969999999998</v>
      </c>
      <c r="U50" s="2"/>
      <c r="V50" s="7">
        <f t="shared" si="37"/>
        <v>0</v>
      </c>
      <c r="W50" s="2"/>
      <c r="X50" s="6">
        <f t="shared" si="38"/>
        <v>-7772.2999999999956</v>
      </c>
      <c r="Y50" s="2"/>
      <c r="Z50" s="7">
        <f t="shared" si="39"/>
        <v>-0.29301823904042101</v>
      </c>
    </row>
    <row r="51" spans="1:26" s="25" customFormat="1" outlineLevel="1" collapsed="1" x14ac:dyDescent="0.25">
      <c r="A51" s="27"/>
      <c r="B51" s="13" t="str">
        <f>CONCATENATE("     ","Telephone/Data Lines                              ")</f>
        <v xml:space="preserve">     Telephone/Data Lines                              </v>
      </c>
      <c r="C51" s="13"/>
      <c r="D51" s="1">
        <f>SUM(OSRRefD22_8x_0)</f>
        <v>826.54</v>
      </c>
      <c r="E51" s="1"/>
      <c r="F51" s="5">
        <f t="shared" ref="F51:F53" si="40">IF(D$12=0,0,D51/D$12)</f>
        <v>0</v>
      </c>
      <c r="G51" s="1"/>
      <c r="H51" s="1">
        <f>SUM(OSRRefH22_8x_0)</f>
        <v>2679.5499999999997</v>
      </c>
      <c r="I51" s="1"/>
      <c r="J51" s="5">
        <f t="shared" ref="J51:J53" si="41">IF(H$12=0,0,H51/H$12)</f>
        <v>0</v>
      </c>
      <c r="K51" s="1"/>
      <c r="L51" s="1">
        <f t="shared" ref="L51:L53" si="42">+D51-H51</f>
        <v>-1853.0099999999998</v>
      </c>
      <c r="M51" s="1"/>
      <c r="N51" s="5">
        <f t="shared" ref="N51:N53" si="43">IF(H51=0,0,L51/H51)</f>
        <v>-0.69153775820566887</v>
      </c>
      <c r="O51" s="13"/>
      <c r="P51" s="1">
        <f>SUM(OSRRefP22_8x_0)</f>
        <v>7787.2300000000005</v>
      </c>
      <c r="Q51" s="1"/>
      <c r="R51" s="5">
        <f t="shared" ref="R51:R53" si="44">IF(P$12=0,0,P51/P$12)</f>
        <v>0</v>
      </c>
      <c r="S51" s="1"/>
      <c r="T51" s="1">
        <f>SUM(OSRRefT22_8x_0)</f>
        <v>5892.86</v>
      </c>
      <c r="U51" s="1"/>
      <c r="V51" s="5">
        <f t="shared" ref="V51:V53" si="45">IF(T$12=0,0,T51/T$12)</f>
        <v>0</v>
      </c>
      <c r="W51" s="1"/>
      <c r="X51" s="1">
        <f t="shared" ref="X51:X53" si="46">+P51-T51</f>
        <v>1894.3700000000008</v>
      </c>
      <c r="Y51" s="1"/>
      <c r="Z51" s="5">
        <f t="shared" ref="Z51:Z53" si="47">IF(T51=0,0,X51/T51)</f>
        <v>0.32146869262124012</v>
      </c>
    </row>
    <row r="52" spans="1:26" s="24" customFormat="1" hidden="1" outlineLevel="2" x14ac:dyDescent="0.25">
      <c r="A52" s="26"/>
      <c r="B52" s="11" t="str">
        <f>CONCATENATE("          ", "6303", " - ", "DATA PHONE LINES")</f>
        <v xml:space="preserve">          6303 - DATA PHONE LINES</v>
      </c>
      <c r="C52" s="11"/>
      <c r="D52" s="6">
        <v>141.68</v>
      </c>
      <c r="E52" s="2"/>
      <c r="F52" s="7">
        <f t="shared" si="40"/>
        <v>0</v>
      </c>
      <c r="G52" s="2"/>
      <c r="H52" s="6">
        <v>173.72</v>
      </c>
      <c r="I52" s="2"/>
      <c r="J52" s="7">
        <f t="shared" si="41"/>
        <v>0</v>
      </c>
      <c r="K52" s="2"/>
      <c r="L52" s="6">
        <f t="shared" si="42"/>
        <v>-32.039999999999992</v>
      </c>
      <c r="M52" s="2"/>
      <c r="N52" s="7">
        <f t="shared" si="43"/>
        <v>-0.18443472254202159</v>
      </c>
      <c r="O52" s="11"/>
      <c r="P52" s="6">
        <v>882.09</v>
      </c>
      <c r="Q52" s="2"/>
      <c r="R52" s="7">
        <f t="shared" si="44"/>
        <v>0</v>
      </c>
      <c r="S52" s="2"/>
      <c r="T52" s="6">
        <v>869.71</v>
      </c>
      <c r="U52" s="2"/>
      <c r="V52" s="7">
        <f t="shared" si="45"/>
        <v>0</v>
      </c>
      <c r="W52" s="2"/>
      <c r="X52" s="6">
        <f t="shared" si="46"/>
        <v>12.379999999999995</v>
      </c>
      <c r="Y52" s="2"/>
      <c r="Z52" s="7">
        <f t="shared" si="47"/>
        <v>1.4234629934115964E-2</v>
      </c>
    </row>
    <row r="53" spans="1:26" s="24" customFormat="1" hidden="1" outlineLevel="2" x14ac:dyDescent="0.25">
      <c r="A53" s="26"/>
      <c r="B53" s="11" t="str">
        <f>CONCATENATE("          ", "6309", " - ", "TELEPHONE")</f>
        <v xml:space="preserve">          6309 - TELEPHONE</v>
      </c>
      <c r="C53" s="11"/>
      <c r="D53" s="6">
        <v>684.86</v>
      </c>
      <c r="E53" s="2"/>
      <c r="F53" s="7">
        <f t="shared" si="40"/>
        <v>0</v>
      </c>
      <c r="G53" s="2"/>
      <c r="H53" s="6">
        <v>2505.83</v>
      </c>
      <c r="I53" s="2"/>
      <c r="J53" s="7">
        <f t="shared" si="41"/>
        <v>0</v>
      </c>
      <c r="K53" s="2"/>
      <c r="L53" s="6">
        <f t="shared" si="42"/>
        <v>-1820.9699999999998</v>
      </c>
      <c r="M53" s="2"/>
      <c r="N53" s="7">
        <f t="shared" si="43"/>
        <v>-0.7266933511052226</v>
      </c>
      <c r="O53" s="11"/>
      <c r="P53" s="6">
        <v>6905.14</v>
      </c>
      <c r="Q53" s="2"/>
      <c r="R53" s="7">
        <f t="shared" si="44"/>
        <v>0</v>
      </c>
      <c r="S53" s="2"/>
      <c r="T53" s="6">
        <v>5023.1499999999996</v>
      </c>
      <c r="U53" s="2"/>
      <c r="V53" s="7">
        <f t="shared" si="45"/>
        <v>0</v>
      </c>
      <c r="W53" s="2"/>
      <c r="X53" s="6">
        <f t="shared" si="46"/>
        <v>1881.9900000000007</v>
      </c>
      <c r="Y53" s="2"/>
      <c r="Z53" s="7">
        <f t="shared" si="47"/>
        <v>0.3746633088798863</v>
      </c>
    </row>
    <row r="54" spans="1:26" s="25" customFormat="1" outlineLevel="1" collapsed="1" x14ac:dyDescent="0.25">
      <c r="A54" s="27"/>
      <c r="B54" s="13" t="str">
        <f>CONCATENATE("     ","Training                                          ")</f>
        <v xml:space="preserve">     Training                                          </v>
      </c>
      <c r="C54" s="13"/>
      <c r="D54" s="1">
        <f>SUM(OSRRefD22_9x_0)</f>
        <v>134.84</v>
      </c>
      <c r="E54" s="1"/>
      <c r="F54" s="5">
        <f t="shared" ref="F54:F58" si="48">IF(D$12=0,0,D54/D$12)</f>
        <v>0</v>
      </c>
      <c r="G54" s="1"/>
      <c r="H54" s="1">
        <f>SUM(OSRRefH22_9x_0)</f>
        <v>49</v>
      </c>
      <c r="I54" s="1"/>
      <c r="J54" s="5">
        <f t="shared" ref="J54:J58" si="49">IF(H$12=0,0,H54/H$12)</f>
        <v>0</v>
      </c>
      <c r="K54" s="1"/>
      <c r="L54" s="1">
        <f t="shared" ref="L54:L58" si="50">+D54-H54</f>
        <v>85.84</v>
      </c>
      <c r="M54" s="1"/>
      <c r="N54" s="5">
        <f t="shared" ref="N54:N58" si="51">IF(H54=0,0,L54/H54)</f>
        <v>1.7518367346938777</v>
      </c>
      <c r="O54" s="13"/>
      <c r="P54" s="1">
        <f>SUM(OSRRefP22_9x_0)</f>
        <v>434.06</v>
      </c>
      <c r="Q54" s="1"/>
      <c r="R54" s="5">
        <f t="shared" ref="R54:R58" si="52">IF(P$12=0,0,P54/P$12)</f>
        <v>0</v>
      </c>
      <c r="S54" s="1"/>
      <c r="T54" s="1">
        <f>SUM(OSRRefT22_9x_0)</f>
        <v>5369.78</v>
      </c>
      <c r="U54" s="1"/>
      <c r="V54" s="5">
        <f t="shared" ref="V54:V58" si="53">IF(T$12=0,0,T54/T$12)</f>
        <v>0</v>
      </c>
      <c r="W54" s="1"/>
      <c r="X54" s="1">
        <f t="shared" ref="X54:X58" si="54">+P54-T54</f>
        <v>-4935.7199999999993</v>
      </c>
      <c r="Y54" s="1"/>
      <c r="Z54" s="5">
        <f t="shared" ref="Z54:Z58" si="55">IF(T54=0,0,X54/T54)</f>
        <v>-0.91916614833382371</v>
      </c>
    </row>
    <row r="55" spans="1:26" s="24" customFormat="1" hidden="1" outlineLevel="2" x14ac:dyDescent="0.25">
      <c r="A55" s="26"/>
      <c r="B55" s="11" t="str">
        <f>CONCATENATE("          ", "6376", " - ", "TRAINING")</f>
        <v xml:space="preserve">          6376 - TRAINING</v>
      </c>
      <c r="C55" s="11"/>
      <c r="D55" s="6">
        <v>134.84</v>
      </c>
      <c r="E55" s="2"/>
      <c r="F55" s="7">
        <f t="shared" si="48"/>
        <v>0</v>
      </c>
      <c r="G55" s="2"/>
      <c r="H55" s="6">
        <v>49</v>
      </c>
      <c r="I55" s="2"/>
      <c r="J55" s="7">
        <f t="shared" si="49"/>
        <v>0</v>
      </c>
      <c r="K55" s="2"/>
      <c r="L55" s="6">
        <f t="shared" si="50"/>
        <v>85.84</v>
      </c>
      <c r="M55" s="2"/>
      <c r="N55" s="7">
        <f t="shared" si="51"/>
        <v>1.7518367346938777</v>
      </c>
      <c r="O55" s="11"/>
      <c r="P55" s="6">
        <v>434.06</v>
      </c>
      <c r="Q55" s="2"/>
      <c r="R55" s="7">
        <f t="shared" si="52"/>
        <v>0</v>
      </c>
      <c r="S55" s="2"/>
      <c r="T55" s="6">
        <v>5369.78</v>
      </c>
      <c r="U55" s="2"/>
      <c r="V55" s="7">
        <f t="shared" si="53"/>
        <v>0</v>
      </c>
      <c r="W55" s="2"/>
      <c r="X55" s="6">
        <f t="shared" si="54"/>
        <v>-4935.7199999999993</v>
      </c>
      <c r="Y55" s="2"/>
      <c r="Z55" s="7">
        <f t="shared" si="55"/>
        <v>-0.91916614833382371</v>
      </c>
    </row>
    <row r="56" spans="1:26" s="25" customFormat="1" outlineLevel="1" collapsed="1" x14ac:dyDescent="0.25">
      <c r="A56" s="27"/>
      <c r="B56" s="13" t="str">
        <f>CONCATENATE("     ","Travel                                            ")</f>
        <v xml:space="preserve">     Travel                                            </v>
      </c>
      <c r="C56" s="13"/>
      <c r="D56" s="1">
        <f>SUM(OSRRefD22_10x_0)</f>
        <v>764.31</v>
      </c>
      <c r="E56" s="1"/>
      <c r="F56" s="5">
        <f t="shared" si="48"/>
        <v>0</v>
      </c>
      <c r="G56" s="1"/>
      <c r="H56" s="1">
        <f>SUM(OSRRefH22_10x_0)</f>
        <v>0</v>
      </c>
      <c r="I56" s="1"/>
      <c r="J56" s="5">
        <f t="shared" si="49"/>
        <v>0</v>
      </c>
      <c r="K56" s="1"/>
      <c r="L56" s="1">
        <f t="shared" si="50"/>
        <v>764.31</v>
      </c>
      <c r="M56" s="1"/>
      <c r="N56" s="5">
        <f t="shared" si="51"/>
        <v>0</v>
      </c>
      <c r="O56" s="13"/>
      <c r="P56" s="1">
        <f>SUM(OSRRefP22_10x_0)</f>
        <v>1383.21</v>
      </c>
      <c r="Q56" s="1"/>
      <c r="R56" s="5">
        <f t="shared" si="52"/>
        <v>0</v>
      </c>
      <c r="S56" s="1"/>
      <c r="T56" s="1">
        <f>SUM(OSRRefT22_10x_0)</f>
        <v>154.78</v>
      </c>
      <c r="U56" s="1"/>
      <c r="V56" s="5">
        <f t="shared" si="53"/>
        <v>0</v>
      </c>
      <c r="W56" s="1"/>
      <c r="X56" s="1">
        <f t="shared" si="54"/>
        <v>1228.43</v>
      </c>
      <c r="Y56" s="1"/>
      <c r="Z56" s="5">
        <f t="shared" si="55"/>
        <v>7.9366197183098599</v>
      </c>
    </row>
    <row r="57" spans="1:26" s="24" customFormat="1" hidden="1" outlineLevel="2" x14ac:dyDescent="0.25">
      <c r="A57" s="26"/>
      <c r="B57" s="11" t="str">
        <f>CONCATENATE("          ", "6292", " - ", "TRAVEL/CONFERENCE")</f>
        <v xml:space="preserve">          6292 - TRAVEL/CONFERENCE</v>
      </c>
      <c r="C57" s="11"/>
      <c r="D57" s="6">
        <v>764.31</v>
      </c>
      <c r="E57" s="2"/>
      <c r="F57" s="7">
        <f t="shared" si="48"/>
        <v>0</v>
      </c>
      <c r="G57" s="2"/>
      <c r="H57" s="6"/>
      <c r="I57" s="2"/>
      <c r="J57" s="7">
        <f t="shared" si="49"/>
        <v>0</v>
      </c>
      <c r="K57" s="2"/>
      <c r="L57" s="6">
        <f t="shared" si="50"/>
        <v>764.31</v>
      </c>
      <c r="M57" s="2"/>
      <c r="N57" s="7">
        <f t="shared" si="51"/>
        <v>0</v>
      </c>
      <c r="O57" s="11"/>
      <c r="P57" s="6">
        <v>1359.31</v>
      </c>
      <c r="Q57" s="2"/>
      <c r="R57" s="7">
        <f t="shared" si="52"/>
        <v>0</v>
      </c>
      <c r="S57" s="2"/>
      <c r="T57" s="6">
        <v>154.78</v>
      </c>
      <c r="U57" s="2"/>
      <c r="V57" s="7">
        <f t="shared" si="53"/>
        <v>0</v>
      </c>
      <c r="W57" s="2"/>
      <c r="X57" s="6">
        <f t="shared" si="54"/>
        <v>1204.53</v>
      </c>
      <c r="Y57" s="2"/>
      <c r="Z57" s="7">
        <f t="shared" si="55"/>
        <v>7.7822070034888222</v>
      </c>
    </row>
    <row r="58" spans="1:26" s="24" customFormat="1" hidden="1" outlineLevel="2" x14ac:dyDescent="0.25">
      <c r="A58" s="26"/>
      <c r="B58" s="11" t="str">
        <f>CONCATENATE("          ", "6294", " - ", "TRAVEL OPERATIONAL")</f>
        <v xml:space="preserve">          6294 - TRAVEL OPERATIONAL</v>
      </c>
      <c r="C58" s="11"/>
      <c r="D58" s="6"/>
      <c r="E58" s="2"/>
      <c r="F58" s="7">
        <f t="shared" si="48"/>
        <v>0</v>
      </c>
      <c r="G58" s="2"/>
      <c r="H58" s="6"/>
      <c r="I58" s="2"/>
      <c r="J58" s="7">
        <f t="shared" si="49"/>
        <v>0</v>
      </c>
      <c r="K58" s="2"/>
      <c r="L58" s="6">
        <f t="shared" si="50"/>
        <v>0</v>
      </c>
      <c r="M58" s="2"/>
      <c r="N58" s="7">
        <f t="shared" si="51"/>
        <v>0</v>
      </c>
      <c r="O58" s="11"/>
      <c r="P58" s="6">
        <v>23.9</v>
      </c>
      <c r="Q58" s="2"/>
      <c r="R58" s="7">
        <f t="shared" si="52"/>
        <v>0</v>
      </c>
      <c r="S58" s="2"/>
      <c r="T58" s="6"/>
      <c r="U58" s="2"/>
      <c r="V58" s="7">
        <f t="shared" si="53"/>
        <v>0</v>
      </c>
      <c r="W58" s="2"/>
      <c r="X58" s="6">
        <f t="shared" si="54"/>
        <v>23.9</v>
      </c>
      <c r="Y58" s="2"/>
      <c r="Z58" s="7">
        <f t="shared" si="55"/>
        <v>0</v>
      </c>
    </row>
    <row r="59" spans="1:26" s="53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8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9" t="s">
        <v>3</v>
      </c>
      <c r="C62" s="29"/>
      <c r="D62" s="21">
        <f>+D16-D18+D60</f>
        <v>-53277.119999999995</v>
      </c>
      <c r="E62" s="14"/>
      <c r="F62" s="20">
        <f>IF(D$12=0,0,D62/D$12)</f>
        <v>0</v>
      </c>
      <c r="G62" s="14"/>
      <c r="H62" s="21">
        <f>+H16-H18+H60</f>
        <v>-70482.06</v>
      </c>
      <c r="I62" s="14"/>
      <c r="J62" s="20">
        <f>IF(H$12=0,0,H62/H$12)</f>
        <v>0</v>
      </c>
      <c r="K62" s="15"/>
      <c r="L62" s="21">
        <f>+D62-H62</f>
        <v>17204.940000000002</v>
      </c>
      <c r="M62" s="15"/>
      <c r="N62" s="20">
        <f>IF(H62=0,0,L62/H62)</f>
        <v>-0.24410381875898637</v>
      </c>
      <c r="O62" s="28"/>
      <c r="P62" s="21">
        <f>+P16-P18+P60</f>
        <v>-306106.23000000004</v>
      </c>
      <c r="Q62" s="14"/>
      <c r="R62" s="20">
        <f>IF(P$12=0,0,P62/P$12)</f>
        <v>0</v>
      </c>
      <c r="S62" s="14"/>
      <c r="T62" s="21">
        <f>+T16-T18+T60</f>
        <v>-320682.59000000014</v>
      </c>
      <c r="U62" s="14"/>
      <c r="V62" s="20">
        <f>IF(T$12=0,0,T62/T$12)</f>
        <v>0</v>
      </c>
      <c r="W62" s="15"/>
      <c r="X62" s="21">
        <f>+P62-T62</f>
        <v>14576.360000000102</v>
      </c>
      <c r="Y62" s="15"/>
      <c r="Z62" s="20">
        <f>IF(T62=0,0,X62/T62)</f>
        <v>-4.5454167000460163E-2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1"/>
      <c r="B64" s="10" t="s">
        <v>13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/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9" t="s">
        <v>4</v>
      </c>
      <c r="C66" s="29"/>
      <c r="D66" s="31">
        <f>+D62-D64</f>
        <v>-53277.119999999995</v>
      </c>
      <c r="E66" s="14"/>
      <c r="F66" s="32">
        <f>IF(D$12=0,0,D66/D$12)</f>
        <v>0</v>
      </c>
      <c r="G66" s="14"/>
      <c r="H66" s="31">
        <f>+H62-H64</f>
        <v>-70482.06</v>
      </c>
      <c r="I66" s="14"/>
      <c r="J66" s="32">
        <f>IF(H$12=0,0,H66/H$12)</f>
        <v>0</v>
      </c>
      <c r="K66" s="15"/>
      <c r="L66" s="31">
        <f>D66-H66</f>
        <v>17204.940000000002</v>
      </c>
      <c r="M66" s="15"/>
      <c r="N66" s="32">
        <f>IF(H66=0,0,L66/H66)</f>
        <v>-0.24410381875898637</v>
      </c>
      <c r="O66" s="28"/>
      <c r="P66" s="31">
        <f>+P62-P64</f>
        <v>-306106.23000000004</v>
      </c>
      <c r="Q66" s="14"/>
      <c r="R66" s="32">
        <f>IF(P$12=0,0,P66/P$12)</f>
        <v>0</v>
      </c>
      <c r="S66" s="14"/>
      <c r="T66" s="31">
        <f>+T62-T64</f>
        <v>-320682.59000000014</v>
      </c>
      <c r="U66" s="14"/>
      <c r="V66" s="32">
        <f>IF(T$12=0,0,T66/T$12)</f>
        <v>0</v>
      </c>
      <c r="W66" s="15"/>
      <c r="X66" s="31">
        <f>P66-T66</f>
        <v>14576.360000000102</v>
      </c>
      <c r="Y66" s="15"/>
      <c r="Z66" s="32">
        <f>IF(T66=0,0,X66/T66)</f>
        <v>-4.5454167000460163E-2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5</v>
      </c>
      <c r="C69" s="29"/>
      <c r="D69" s="34">
        <f>SUM(D66:D68)</f>
        <v>-53277.119999999995</v>
      </c>
      <c r="E69" s="14"/>
      <c r="F69" s="30">
        <f>IF(D$12=0,0,D69/D$12)</f>
        <v>0</v>
      </c>
      <c r="G69" s="14"/>
      <c r="H69" s="34">
        <f>SUM(H66:H68)</f>
        <v>-70482.06</v>
      </c>
      <c r="I69" s="14"/>
      <c r="J69" s="30">
        <f>IF(H$12=0,0,H69/H$12)</f>
        <v>0</v>
      </c>
      <c r="K69" s="15"/>
      <c r="L69" s="34">
        <f>+D69-H69</f>
        <v>17204.940000000002</v>
      </c>
      <c r="M69" s="15"/>
      <c r="N69" s="30">
        <f>IF(H69=0,0,L69/H69)</f>
        <v>-0.24410381875898637</v>
      </c>
      <c r="O69" s="28"/>
      <c r="P69" s="34">
        <f>SUM(P66:P68)</f>
        <v>-306106.23000000004</v>
      </c>
      <c r="Q69" s="14"/>
      <c r="R69" s="30">
        <f>IF(P$12=0,0,P69/P$12)</f>
        <v>0</v>
      </c>
      <c r="S69" s="14"/>
      <c r="T69" s="34">
        <f>SUM(T66:T68)</f>
        <v>-320682.59000000014</v>
      </c>
      <c r="U69" s="14"/>
      <c r="V69" s="30">
        <f>IF(T$12=0,0,T69/T$12)</f>
        <v>0</v>
      </c>
      <c r="W69" s="15"/>
      <c r="X69" s="34">
        <f>+P69-T69</f>
        <v>14576.360000000102</v>
      </c>
      <c r="Y69" s="15"/>
      <c r="Z69" s="30">
        <f>IF(T69=0,0,X69/T69)</f>
        <v>-4.5454167000460163E-2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59">
        <v>43815.491566516204</v>
      </c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62" t="s">
        <v>313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61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","205", " - ", "Maintenance")</f>
        <v>Department 205 - Maintenance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8179.55</v>
      </c>
      <c r="E18" s="22"/>
      <c r="F18" s="33">
        <f t="shared" ref="F18:F27" si="0">IF(D$12=0,0,D18/D$12)</f>
        <v>0</v>
      </c>
      <c r="G18" s="22"/>
      <c r="H18" s="22">
        <f>SUM(OSRRefH22x_0)</f>
        <v>5796.1</v>
      </c>
      <c r="I18" s="22"/>
      <c r="J18" s="33">
        <f t="shared" ref="J18:J27" si="1">IF(H$12=0,0,H18/H$12)</f>
        <v>0</v>
      </c>
      <c r="K18" s="4"/>
      <c r="L18" s="22">
        <f t="shared" ref="L18:L27" si="2">+D18-H18</f>
        <v>2383.4499999999998</v>
      </c>
      <c r="M18" s="4"/>
      <c r="N18" s="33">
        <f t="shared" ref="N18:N27" si="3">IF(H18=0,0,L18/H18)</f>
        <v>0.41121616259208771</v>
      </c>
      <c r="O18" s="10"/>
      <c r="P18" s="22">
        <f>SUM(OSRRefP22x_0)</f>
        <v>42592.570000000007</v>
      </c>
      <c r="Q18" s="22"/>
      <c r="R18" s="33">
        <f t="shared" ref="R18:R27" si="4">IF(P$12=0,0,P18/P$12)</f>
        <v>0</v>
      </c>
      <c r="S18" s="22"/>
      <c r="T18" s="22">
        <f>SUM(OSRRefT22x_0)</f>
        <v>37738.460000000006</v>
      </c>
      <c r="U18" s="22"/>
      <c r="V18" s="33">
        <f t="shared" ref="V18:V27" si="5">IF(T$12=0,0,T18/T$12)</f>
        <v>0</v>
      </c>
      <c r="W18" s="4"/>
      <c r="X18" s="22">
        <f t="shared" ref="X18:X27" si="6">+P18-T18</f>
        <v>4854.1100000000006</v>
      </c>
      <c r="Y18" s="4"/>
      <c r="Z18" s="33">
        <f t="shared" ref="Z18:Z27" si="7">IF(T18=0,0,X18/T18)</f>
        <v>0.12862501543518204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2495.6999999999998</v>
      </c>
      <c r="E19" s="1"/>
      <c r="F19" s="5">
        <f t="shared" si="0"/>
        <v>0</v>
      </c>
      <c r="G19" s="1"/>
      <c r="H19" s="1">
        <f>SUM(OSRRefH22_0x_0)</f>
        <v>2283.86</v>
      </c>
      <c r="I19" s="1"/>
      <c r="J19" s="5">
        <f t="shared" si="1"/>
        <v>0</v>
      </c>
      <c r="K19" s="1"/>
      <c r="L19" s="1">
        <f t="shared" si="2"/>
        <v>211.83999999999969</v>
      </c>
      <c r="M19" s="1"/>
      <c r="N19" s="5">
        <f t="shared" si="3"/>
        <v>9.2755247694692178E-2</v>
      </c>
      <c r="O19" s="13"/>
      <c r="P19" s="1">
        <f>SUM(OSRRefP22_0x_0)</f>
        <v>13706.720000000001</v>
      </c>
      <c r="Q19" s="1"/>
      <c r="R19" s="5">
        <f t="shared" si="4"/>
        <v>0</v>
      </c>
      <c r="S19" s="1"/>
      <c r="T19" s="1">
        <f>SUM(OSRRefT22_0x_0)</f>
        <v>12783.65</v>
      </c>
      <c r="U19" s="1"/>
      <c r="V19" s="5">
        <f t="shared" si="5"/>
        <v>0</v>
      </c>
      <c r="W19" s="1"/>
      <c r="X19" s="1">
        <f t="shared" si="6"/>
        <v>923.07000000000153</v>
      </c>
      <c r="Y19" s="1"/>
      <c r="Z19" s="5">
        <f t="shared" si="7"/>
        <v>7.2207077008522733E-2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320.27999999999997</v>
      </c>
      <c r="E20" s="2"/>
      <c r="F20" s="7">
        <f t="shared" si="0"/>
        <v>0</v>
      </c>
      <c r="G20" s="2"/>
      <c r="H20" s="6">
        <v>305.7</v>
      </c>
      <c r="I20" s="2"/>
      <c r="J20" s="7">
        <f t="shared" si="1"/>
        <v>0</v>
      </c>
      <c r="K20" s="2"/>
      <c r="L20" s="6">
        <f t="shared" si="2"/>
        <v>14.579999999999984</v>
      </c>
      <c r="M20" s="2"/>
      <c r="N20" s="7">
        <f t="shared" si="3"/>
        <v>4.7693817468105935E-2</v>
      </c>
      <c r="O20" s="11"/>
      <c r="P20" s="6">
        <v>1800.67</v>
      </c>
      <c r="Q20" s="2"/>
      <c r="R20" s="7">
        <f t="shared" si="4"/>
        <v>0</v>
      </c>
      <c r="S20" s="2"/>
      <c r="T20" s="6">
        <v>1693.09</v>
      </c>
      <c r="U20" s="2"/>
      <c r="V20" s="7">
        <f t="shared" si="5"/>
        <v>0</v>
      </c>
      <c r="W20" s="2"/>
      <c r="X20" s="6">
        <f t="shared" si="6"/>
        <v>107.58000000000015</v>
      </c>
      <c r="Y20" s="2"/>
      <c r="Z20" s="7">
        <f t="shared" si="7"/>
        <v>6.3540626901109898E-2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283.45</v>
      </c>
      <c r="E21" s="2"/>
      <c r="F21" s="7">
        <f t="shared" si="0"/>
        <v>0</v>
      </c>
      <c r="G21" s="2"/>
      <c r="H21" s="6">
        <v>174.27</v>
      </c>
      <c r="I21" s="2"/>
      <c r="J21" s="7">
        <f t="shared" si="1"/>
        <v>0</v>
      </c>
      <c r="K21" s="2"/>
      <c r="L21" s="6">
        <f t="shared" si="2"/>
        <v>109.17999999999998</v>
      </c>
      <c r="M21" s="2"/>
      <c r="N21" s="7">
        <f t="shared" si="3"/>
        <v>0.62649911057554353</v>
      </c>
      <c r="O21" s="11"/>
      <c r="P21" s="6">
        <v>1094.06</v>
      </c>
      <c r="Q21" s="2"/>
      <c r="R21" s="7">
        <f t="shared" si="4"/>
        <v>0</v>
      </c>
      <c r="S21" s="2"/>
      <c r="T21" s="6">
        <v>961.46</v>
      </c>
      <c r="U21" s="2"/>
      <c r="V21" s="7">
        <f t="shared" si="5"/>
        <v>0</v>
      </c>
      <c r="W21" s="2"/>
      <c r="X21" s="6">
        <f t="shared" si="6"/>
        <v>132.59999999999991</v>
      </c>
      <c r="Y21" s="2"/>
      <c r="Z21" s="7">
        <f t="shared" si="7"/>
        <v>0.1379152538847169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695.14</v>
      </c>
      <c r="E22" s="2"/>
      <c r="F22" s="7">
        <f t="shared" si="0"/>
        <v>0</v>
      </c>
      <c r="G22" s="2"/>
      <c r="H22" s="6">
        <v>695.14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3475.7</v>
      </c>
      <c r="Q22" s="2"/>
      <c r="R22" s="7">
        <f t="shared" si="4"/>
        <v>0</v>
      </c>
      <c r="S22" s="2"/>
      <c r="T22" s="6">
        <v>3049.27</v>
      </c>
      <c r="U22" s="2"/>
      <c r="V22" s="7">
        <f t="shared" si="5"/>
        <v>0</v>
      </c>
      <c r="W22" s="2"/>
      <c r="X22" s="6">
        <f t="shared" si="6"/>
        <v>426.42999999999984</v>
      </c>
      <c r="Y22" s="2"/>
      <c r="Z22" s="7">
        <f t="shared" si="7"/>
        <v>0.13984658623211452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10.89</v>
      </c>
      <c r="E23" s="2"/>
      <c r="F23" s="7">
        <f t="shared" si="0"/>
        <v>0</v>
      </c>
      <c r="G23" s="2"/>
      <c r="H23" s="6">
        <v>10.37</v>
      </c>
      <c r="I23" s="2"/>
      <c r="J23" s="7">
        <f t="shared" si="1"/>
        <v>0</v>
      </c>
      <c r="K23" s="2"/>
      <c r="L23" s="6">
        <f t="shared" si="2"/>
        <v>0.52000000000000135</v>
      </c>
      <c r="M23" s="2"/>
      <c r="N23" s="7">
        <f t="shared" si="3"/>
        <v>5.014464802314382E-2</v>
      </c>
      <c r="O23" s="11"/>
      <c r="P23" s="6">
        <v>55.05</v>
      </c>
      <c r="Q23" s="2"/>
      <c r="R23" s="7">
        <f t="shared" si="4"/>
        <v>0</v>
      </c>
      <c r="S23" s="2"/>
      <c r="T23" s="6">
        <v>57.21</v>
      </c>
      <c r="U23" s="2"/>
      <c r="V23" s="7">
        <f t="shared" si="5"/>
        <v>0</v>
      </c>
      <c r="W23" s="2"/>
      <c r="X23" s="6">
        <f t="shared" si="6"/>
        <v>-2.1600000000000037</v>
      </c>
      <c r="Y23" s="2"/>
      <c r="Z23" s="7">
        <f t="shared" si="7"/>
        <v>-3.7755637126376571E-2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429.26</v>
      </c>
      <c r="E24" s="2"/>
      <c r="F24" s="7">
        <f t="shared" si="0"/>
        <v>0</v>
      </c>
      <c r="G24" s="2"/>
      <c r="H24" s="6">
        <v>383.64</v>
      </c>
      <c r="I24" s="2"/>
      <c r="J24" s="7">
        <f t="shared" si="1"/>
        <v>0</v>
      </c>
      <c r="K24" s="2"/>
      <c r="L24" s="6">
        <f t="shared" si="2"/>
        <v>45.620000000000005</v>
      </c>
      <c r="M24" s="2"/>
      <c r="N24" s="7">
        <f t="shared" si="3"/>
        <v>0.11891356480033366</v>
      </c>
      <c r="O24" s="11"/>
      <c r="P24" s="6">
        <v>2146.3000000000002</v>
      </c>
      <c r="Q24" s="2"/>
      <c r="R24" s="7">
        <f t="shared" si="4"/>
        <v>0</v>
      </c>
      <c r="S24" s="2"/>
      <c r="T24" s="6">
        <v>2104.44</v>
      </c>
      <c r="U24" s="2"/>
      <c r="V24" s="7">
        <f t="shared" si="5"/>
        <v>0</v>
      </c>
      <c r="W24" s="2"/>
      <c r="X24" s="6">
        <f t="shared" si="6"/>
        <v>41.860000000000127</v>
      </c>
      <c r="Y24" s="2"/>
      <c r="Z24" s="7">
        <f t="shared" si="7"/>
        <v>1.9891277489498455E-2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387.96</v>
      </c>
      <c r="E25" s="2"/>
      <c r="F25" s="7">
        <f t="shared" si="0"/>
        <v>0</v>
      </c>
      <c r="G25" s="2"/>
      <c r="H25" s="6">
        <v>376.66</v>
      </c>
      <c r="I25" s="2"/>
      <c r="J25" s="7">
        <f t="shared" si="1"/>
        <v>0</v>
      </c>
      <c r="K25" s="2"/>
      <c r="L25" s="6">
        <f t="shared" si="2"/>
        <v>11.299999999999955</v>
      </c>
      <c r="M25" s="2"/>
      <c r="N25" s="7">
        <f t="shared" si="3"/>
        <v>3.0000530982849133E-2</v>
      </c>
      <c r="O25" s="11"/>
      <c r="P25" s="6">
        <v>2449.0100000000002</v>
      </c>
      <c r="Q25" s="2"/>
      <c r="R25" s="7">
        <f t="shared" si="4"/>
        <v>0</v>
      </c>
      <c r="S25" s="2"/>
      <c r="T25" s="6">
        <v>2395.71</v>
      </c>
      <c r="U25" s="2"/>
      <c r="V25" s="7">
        <f t="shared" si="5"/>
        <v>0</v>
      </c>
      <c r="W25" s="2"/>
      <c r="X25" s="6">
        <f t="shared" si="6"/>
        <v>53.300000000000182</v>
      </c>
      <c r="Y25" s="2"/>
      <c r="Z25" s="7">
        <f t="shared" si="7"/>
        <v>2.2248101815328308E-2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193.72</v>
      </c>
      <c r="E26" s="2"/>
      <c r="F26" s="7">
        <f t="shared" si="0"/>
        <v>0</v>
      </c>
      <c r="G26" s="2"/>
      <c r="H26" s="6">
        <v>188.08</v>
      </c>
      <c r="I26" s="2"/>
      <c r="J26" s="7">
        <f t="shared" si="1"/>
        <v>0</v>
      </c>
      <c r="K26" s="2"/>
      <c r="L26" s="6">
        <f t="shared" si="2"/>
        <v>5.6399999999999864</v>
      </c>
      <c r="M26" s="2"/>
      <c r="N26" s="7">
        <f t="shared" si="3"/>
        <v>2.9987239472564792E-2</v>
      </c>
      <c r="O26" s="11"/>
      <c r="P26" s="6">
        <v>1910.5</v>
      </c>
      <c r="Q26" s="2"/>
      <c r="R26" s="7">
        <f t="shared" si="4"/>
        <v>0</v>
      </c>
      <c r="S26" s="2"/>
      <c r="T26" s="6">
        <v>1815.59</v>
      </c>
      <c r="U26" s="2"/>
      <c r="V26" s="7">
        <f t="shared" si="5"/>
        <v>0</v>
      </c>
      <c r="W26" s="2"/>
      <c r="X26" s="6">
        <f t="shared" si="6"/>
        <v>94.910000000000082</v>
      </c>
      <c r="Y26" s="2"/>
      <c r="Z26" s="7">
        <f t="shared" si="7"/>
        <v>5.2275018038213522E-2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175</v>
      </c>
      <c r="E27" s="2"/>
      <c r="F27" s="7">
        <f t="shared" si="0"/>
        <v>0</v>
      </c>
      <c r="G27" s="2"/>
      <c r="H27" s="6">
        <v>150</v>
      </c>
      <c r="I27" s="2"/>
      <c r="J27" s="7">
        <f t="shared" si="1"/>
        <v>0</v>
      </c>
      <c r="K27" s="2"/>
      <c r="L27" s="6">
        <f t="shared" si="2"/>
        <v>25</v>
      </c>
      <c r="M27" s="2"/>
      <c r="N27" s="7">
        <f t="shared" si="3"/>
        <v>0.16666666666666666</v>
      </c>
      <c r="O27" s="11"/>
      <c r="P27" s="6">
        <v>775.43</v>
      </c>
      <c r="Q27" s="2"/>
      <c r="R27" s="7">
        <f t="shared" si="4"/>
        <v>0</v>
      </c>
      <c r="S27" s="2"/>
      <c r="T27" s="6">
        <v>706.88</v>
      </c>
      <c r="U27" s="2"/>
      <c r="V27" s="7">
        <f t="shared" si="5"/>
        <v>0</v>
      </c>
      <c r="W27" s="2"/>
      <c r="X27" s="6">
        <f t="shared" si="6"/>
        <v>68.549999999999955</v>
      </c>
      <c r="Y27" s="2"/>
      <c r="Z27" s="7">
        <f t="shared" si="7"/>
        <v>9.6975441376188257E-2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4252.24</v>
      </c>
      <c r="E28" s="1"/>
      <c r="F28" s="5">
        <f t="shared" ref="F28:F36" si="8">IF(D$12=0,0,D28/D$12)</f>
        <v>0</v>
      </c>
      <c r="G28" s="1"/>
      <c r="H28" s="1">
        <f>SUM(OSRRefH22_1x_0)</f>
        <v>3873.55</v>
      </c>
      <c r="I28" s="1"/>
      <c r="J28" s="5">
        <f t="shared" ref="J28:J36" si="9">IF(H$12=0,0,H28/H$12)</f>
        <v>0</v>
      </c>
      <c r="K28" s="1"/>
      <c r="L28" s="1">
        <f t="shared" ref="L28:L36" si="10">+D28-H28</f>
        <v>378.6899999999996</v>
      </c>
      <c r="M28" s="1"/>
      <c r="N28" s="5">
        <f t="shared" ref="N28:N36" si="11">IF(H28=0,0,L28/H28)</f>
        <v>9.7763033909462782E-2</v>
      </c>
      <c r="O28" s="13"/>
      <c r="P28" s="1">
        <f>SUM(OSRRefP22_1x_0)</f>
        <v>21799.329999999998</v>
      </c>
      <c r="Q28" s="1"/>
      <c r="R28" s="5">
        <f t="shared" ref="R28:R36" si="12">IF(P$12=0,0,P28/P$12)</f>
        <v>0</v>
      </c>
      <c r="S28" s="1"/>
      <c r="T28" s="1">
        <f>SUM(OSRRefT22_1x_0)</f>
        <v>19941.11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1858.2199999999975</v>
      </c>
      <c r="Y28" s="1"/>
      <c r="Z28" s="5">
        <f t="shared" ref="Z28:Z36" si="15">IF(T28=0,0,X28/T28)</f>
        <v>9.3185384364260437E-2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6">
        <v>4252.24</v>
      </c>
      <c r="E29" s="2"/>
      <c r="F29" s="7">
        <f t="shared" si="8"/>
        <v>0</v>
      </c>
      <c r="G29" s="2"/>
      <c r="H29" s="6">
        <v>3873.55</v>
      </c>
      <c r="I29" s="2"/>
      <c r="J29" s="7">
        <f t="shared" si="9"/>
        <v>0</v>
      </c>
      <c r="K29" s="2"/>
      <c r="L29" s="6">
        <f t="shared" si="10"/>
        <v>378.6899999999996</v>
      </c>
      <c r="M29" s="2"/>
      <c r="N29" s="7">
        <f t="shared" si="11"/>
        <v>9.7763033909462782E-2</v>
      </c>
      <c r="O29" s="11"/>
      <c r="P29" s="6">
        <v>21799.329999999998</v>
      </c>
      <c r="Q29" s="2"/>
      <c r="R29" s="7">
        <f t="shared" si="12"/>
        <v>0</v>
      </c>
      <c r="S29" s="2"/>
      <c r="T29" s="6">
        <v>19941.11</v>
      </c>
      <c r="U29" s="2"/>
      <c r="V29" s="7">
        <f t="shared" si="13"/>
        <v>0</v>
      </c>
      <c r="W29" s="2"/>
      <c r="X29" s="6">
        <f t="shared" si="14"/>
        <v>1858.2199999999975</v>
      </c>
      <c r="Y29" s="2"/>
      <c r="Z29" s="7">
        <f t="shared" si="15"/>
        <v>9.3185384364260437E-2</v>
      </c>
    </row>
    <row r="30" spans="1:26" s="25" customFormat="1" outlineLevel="1" collapsed="1" x14ac:dyDescent="0.25">
      <c r="A30" s="27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-182</v>
      </c>
      <c r="E30" s="1"/>
      <c r="F30" s="5">
        <f t="shared" si="8"/>
        <v>0</v>
      </c>
      <c r="G30" s="1"/>
      <c r="H30" s="1">
        <f>SUM(OSRRefH22_2x_0)</f>
        <v>-502.2</v>
      </c>
      <c r="I30" s="1"/>
      <c r="J30" s="5">
        <f t="shared" si="9"/>
        <v>0</v>
      </c>
      <c r="K30" s="1"/>
      <c r="L30" s="1">
        <f t="shared" si="10"/>
        <v>320.2</v>
      </c>
      <c r="M30" s="1"/>
      <c r="N30" s="5">
        <f t="shared" si="11"/>
        <v>-0.63759458383114298</v>
      </c>
      <c r="O30" s="13"/>
      <c r="P30" s="1">
        <f>SUM(OSRRefP22_2x_0)</f>
        <v>-509.65</v>
      </c>
      <c r="Q30" s="1"/>
      <c r="R30" s="5">
        <f t="shared" si="12"/>
        <v>0</v>
      </c>
      <c r="S30" s="1"/>
      <c r="T30" s="1">
        <f>SUM(OSRRefT22_2x_0)</f>
        <v>-1685.3</v>
      </c>
      <c r="U30" s="1"/>
      <c r="V30" s="5">
        <f t="shared" si="13"/>
        <v>0</v>
      </c>
      <c r="W30" s="1"/>
      <c r="X30" s="1">
        <f t="shared" si="14"/>
        <v>1175.6500000000001</v>
      </c>
      <c r="Y30" s="1"/>
      <c r="Z30" s="5">
        <f t="shared" si="15"/>
        <v>-0.69759093336497957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6">
        <v>-182</v>
      </c>
      <c r="E31" s="2"/>
      <c r="F31" s="7">
        <f t="shared" si="8"/>
        <v>0</v>
      </c>
      <c r="G31" s="2"/>
      <c r="H31" s="6">
        <v>-502.2</v>
      </c>
      <c r="I31" s="2"/>
      <c r="J31" s="7">
        <f t="shared" si="9"/>
        <v>0</v>
      </c>
      <c r="K31" s="2"/>
      <c r="L31" s="6">
        <f t="shared" si="10"/>
        <v>320.2</v>
      </c>
      <c r="M31" s="2"/>
      <c r="N31" s="7">
        <f t="shared" si="11"/>
        <v>-0.63759458383114298</v>
      </c>
      <c r="O31" s="11"/>
      <c r="P31" s="6">
        <v>-509.65</v>
      </c>
      <c r="Q31" s="2"/>
      <c r="R31" s="7">
        <f t="shared" si="12"/>
        <v>0</v>
      </c>
      <c r="S31" s="2"/>
      <c r="T31" s="6">
        <v>-1685.3</v>
      </c>
      <c r="U31" s="2"/>
      <c r="V31" s="7">
        <f t="shared" si="13"/>
        <v>0</v>
      </c>
      <c r="W31" s="2"/>
      <c r="X31" s="6">
        <f t="shared" si="14"/>
        <v>1175.6500000000001</v>
      </c>
      <c r="Y31" s="2"/>
      <c r="Z31" s="7">
        <f t="shared" si="15"/>
        <v>-0.69759093336497957</v>
      </c>
    </row>
    <row r="32" spans="1:26" s="25" customFormat="1" outlineLevel="1" collapsed="1" x14ac:dyDescent="0.25">
      <c r="A32" s="27"/>
      <c r="B32" s="13" t="str">
        <f>CONCATENATE("     ","Insurance                                         ")</f>
        <v xml:space="preserve">     Insurance                                         </v>
      </c>
      <c r="C32" s="13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23.14</v>
      </c>
      <c r="I32" s="1"/>
      <c r="J32" s="5">
        <f t="shared" si="9"/>
        <v>0</v>
      </c>
      <c r="K32" s="1"/>
      <c r="L32" s="1">
        <f t="shared" si="10"/>
        <v>1.4199999999999982</v>
      </c>
      <c r="M32" s="1"/>
      <c r="N32" s="5">
        <f t="shared" si="11"/>
        <v>6.1365600691443305E-2</v>
      </c>
      <c r="O32" s="13"/>
      <c r="P32" s="1">
        <f>SUM(OSRRefP22_3x_0)</f>
        <v>122.8</v>
      </c>
      <c r="Q32" s="1"/>
      <c r="R32" s="5">
        <f t="shared" si="12"/>
        <v>0</v>
      </c>
      <c r="S32" s="1"/>
      <c r="T32" s="1">
        <f>SUM(OSRRefT22_3x_0)</f>
        <v>115.7</v>
      </c>
      <c r="U32" s="1"/>
      <c r="V32" s="5">
        <f t="shared" si="13"/>
        <v>0</v>
      </c>
      <c r="W32" s="1"/>
      <c r="X32" s="1">
        <f t="shared" si="14"/>
        <v>7.0999999999999943</v>
      </c>
      <c r="Y32" s="1"/>
      <c r="Z32" s="5">
        <f t="shared" si="15"/>
        <v>6.1365600691443339E-2</v>
      </c>
    </row>
    <row r="33" spans="1:26" s="24" customFormat="1" hidden="1" outlineLevel="2" x14ac:dyDescent="0.25">
      <c r="A33" s="26"/>
      <c r="B33" s="11" t="str">
        <f>CONCATENATE("          ", "6314", " - ", "LIABILITY INSURANCE")</f>
        <v xml:space="preserve">          6314 - LIABILITY INSURANCE</v>
      </c>
      <c r="C33" s="11"/>
      <c r="D33" s="6">
        <v>24.56</v>
      </c>
      <c r="E33" s="2"/>
      <c r="F33" s="7">
        <f t="shared" si="8"/>
        <v>0</v>
      </c>
      <c r="G33" s="2"/>
      <c r="H33" s="6">
        <v>23.14</v>
      </c>
      <c r="I33" s="2"/>
      <c r="J33" s="7">
        <f t="shared" si="9"/>
        <v>0</v>
      </c>
      <c r="K33" s="2"/>
      <c r="L33" s="6">
        <f t="shared" si="10"/>
        <v>1.4199999999999982</v>
      </c>
      <c r="M33" s="2"/>
      <c r="N33" s="7">
        <f t="shared" si="11"/>
        <v>6.1365600691443305E-2</v>
      </c>
      <c r="O33" s="11"/>
      <c r="P33" s="6">
        <v>122.8</v>
      </c>
      <c r="Q33" s="2"/>
      <c r="R33" s="7">
        <f t="shared" si="12"/>
        <v>0</v>
      </c>
      <c r="S33" s="2"/>
      <c r="T33" s="6">
        <v>115.7</v>
      </c>
      <c r="U33" s="2"/>
      <c r="V33" s="7">
        <f t="shared" si="13"/>
        <v>0</v>
      </c>
      <c r="W33" s="2"/>
      <c r="X33" s="6">
        <f t="shared" si="14"/>
        <v>7.0999999999999943</v>
      </c>
      <c r="Y33" s="2"/>
      <c r="Z33" s="7">
        <f t="shared" si="15"/>
        <v>6.1365600691443339E-2</v>
      </c>
    </row>
    <row r="34" spans="1:26" s="25" customFormat="1" outlineLevel="1" collapsed="1" x14ac:dyDescent="0.25">
      <c r="A34" s="27"/>
      <c r="B34" s="13" t="str">
        <f>CONCATENATE("     ","Repair and Maintenance                            ")</f>
        <v xml:space="preserve">     Repair and Maintenance                            </v>
      </c>
      <c r="C34" s="13"/>
      <c r="D34" s="1">
        <f>SUM(OSRRefD22_4x_0)</f>
        <v>1664.35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1664.35</v>
      </c>
      <c r="M34" s="1"/>
      <c r="N34" s="5">
        <f t="shared" si="11"/>
        <v>0</v>
      </c>
      <c r="O34" s="13"/>
      <c r="P34" s="1">
        <f>SUM(OSRRefP22_4x_0)</f>
        <v>6118.91</v>
      </c>
      <c r="Q34" s="1"/>
      <c r="R34" s="5">
        <f t="shared" si="12"/>
        <v>0</v>
      </c>
      <c r="S34" s="1"/>
      <c r="T34" s="1">
        <f>SUM(OSRRefT22_4x_0)</f>
        <v>5385.11</v>
      </c>
      <c r="U34" s="1"/>
      <c r="V34" s="5">
        <f t="shared" si="13"/>
        <v>0</v>
      </c>
      <c r="W34" s="1"/>
      <c r="X34" s="1">
        <f t="shared" si="14"/>
        <v>733.80000000000018</v>
      </c>
      <c r="Y34" s="1"/>
      <c r="Z34" s="5">
        <f t="shared" si="15"/>
        <v>0.13626462597792807</v>
      </c>
    </row>
    <row r="35" spans="1:26" s="24" customFormat="1" hidden="1" outlineLevel="2" x14ac:dyDescent="0.25">
      <c r="A35" s="26"/>
      <c r="B35" s="11" t="str">
        <f>CONCATENATE("          ", "6373", " - ", "MAINTENANCE CONTRACTS")</f>
        <v xml:space="preserve">          6373 - MAINTENANCE CONTRACTS</v>
      </c>
      <c r="C35" s="11"/>
      <c r="D35" s="6">
        <v>1405.95</v>
      </c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1405.95</v>
      </c>
      <c r="M35" s="2"/>
      <c r="N35" s="7">
        <f t="shared" si="11"/>
        <v>0</v>
      </c>
      <c r="O35" s="11"/>
      <c r="P35" s="6">
        <v>5623.8</v>
      </c>
      <c r="Q35" s="2"/>
      <c r="R35" s="7">
        <f t="shared" si="12"/>
        <v>0</v>
      </c>
      <c r="S35" s="2"/>
      <c r="T35" s="6">
        <v>5356</v>
      </c>
      <c r="U35" s="2"/>
      <c r="V35" s="7">
        <f t="shared" si="13"/>
        <v>0</v>
      </c>
      <c r="W35" s="2"/>
      <c r="X35" s="6">
        <f t="shared" si="14"/>
        <v>267.80000000000018</v>
      </c>
      <c r="Y35" s="2"/>
      <c r="Z35" s="7">
        <f t="shared" si="15"/>
        <v>5.0000000000000031E-2</v>
      </c>
    </row>
    <row r="36" spans="1:26" s="24" customFormat="1" hidden="1" outlineLevel="2" x14ac:dyDescent="0.25">
      <c r="A36" s="26"/>
      <c r="B36" s="11" t="str">
        <f>CONCATENATE("          ", "6375", " - ", "OUTSIDE REPAIRS &amp; MAINTENANCE")</f>
        <v xml:space="preserve">          6375 - OUTSIDE REPAIRS &amp; MAINTENANCE</v>
      </c>
      <c r="C36" s="11"/>
      <c r="D36" s="6">
        <v>258.39999999999998</v>
      </c>
      <c r="E36" s="2"/>
      <c r="F36" s="7">
        <f t="shared" si="8"/>
        <v>0</v>
      </c>
      <c r="G36" s="2"/>
      <c r="H36" s="6"/>
      <c r="I36" s="2"/>
      <c r="J36" s="7">
        <f t="shared" si="9"/>
        <v>0</v>
      </c>
      <c r="K36" s="2"/>
      <c r="L36" s="6">
        <f t="shared" si="10"/>
        <v>258.39999999999998</v>
      </c>
      <c r="M36" s="2"/>
      <c r="N36" s="7">
        <f t="shared" si="11"/>
        <v>0</v>
      </c>
      <c r="O36" s="11"/>
      <c r="P36" s="6">
        <v>495.11</v>
      </c>
      <c r="Q36" s="2"/>
      <c r="R36" s="7">
        <f t="shared" si="12"/>
        <v>0</v>
      </c>
      <c r="S36" s="2"/>
      <c r="T36" s="6">
        <v>29.11</v>
      </c>
      <c r="U36" s="2"/>
      <c r="V36" s="7">
        <f t="shared" si="13"/>
        <v>0</v>
      </c>
      <c r="W36" s="2"/>
      <c r="X36" s="6">
        <f t="shared" si="14"/>
        <v>466</v>
      </c>
      <c r="Y36" s="2"/>
      <c r="Z36" s="7">
        <f t="shared" si="15"/>
        <v>16.00824458948815</v>
      </c>
    </row>
    <row r="37" spans="1:26" s="25" customFormat="1" outlineLevel="1" collapsed="1" x14ac:dyDescent="0.25">
      <c r="A37" s="27"/>
      <c r="B37" s="13" t="str">
        <f>CONCATENATE("     ","Services                                          ")</f>
        <v xml:space="preserve">     Services                                          </v>
      </c>
      <c r="C37" s="13"/>
      <c r="D37" s="1">
        <f>SUM(OSRRefD22_5x_0)</f>
        <v>0</v>
      </c>
      <c r="E37" s="1"/>
      <c r="F37" s="5">
        <f t="shared" ref="F37:F41" si="16">IF(D$12=0,0,D37/D$12)</f>
        <v>0</v>
      </c>
      <c r="G37" s="1"/>
      <c r="H37" s="1">
        <f>SUM(OSRRefH22_5x_0)</f>
        <v>0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0</v>
      </c>
      <c r="M37" s="1"/>
      <c r="N37" s="5">
        <f t="shared" ref="N37:N41" si="19">IF(H37=0,0,L37/H37)</f>
        <v>0</v>
      </c>
      <c r="O37" s="13"/>
      <c r="P37" s="1">
        <f>SUM(OSRRefP22_5x_0)</f>
        <v>39.78</v>
      </c>
      <c r="Q37" s="1"/>
      <c r="R37" s="5">
        <f t="shared" ref="R37:R41" si="20">IF(P$12=0,0,P37/P$12)</f>
        <v>0</v>
      </c>
      <c r="S37" s="1"/>
      <c r="T37" s="1">
        <f>SUM(OSRRefT22_5x_0)</f>
        <v>38.94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0.84000000000000341</v>
      </c>
      <c r="Y37" s="1"/>
      <c r="Z37" s="5">
        <f t="shared" ref="Z37:Z41" si="23">IF(T37=0,0,X37/T37)</f>
        <v>2.1571648690292846E-2</v>
      </c>
    </row>
    <row r="38" spans="1:26" s="24" customFormat="1" hidden="1" outlineLevel="2" x14ac:dyDescent="0.25">
      <c r="A38" s="26"/>
      <c r="B38" s="11" t="str">
        <f>CONCATENATE("          ", "6286", " - ", "LAUNDRY EXPENSE")</f>
        <v xml:space="preserve">          6286 - LAUNDRY EXPENSE</v>
      </c>
      <c r="C38" s="11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>
        <v>39.78</v>
      </c>
      <c r="Q38" s="2"/>
      <c r="R38" s="7">
        <f t="shared" si="20"/>
        <v>0</v>
      </c>
      <c r="S38" s="2"/>
      <c r="T38" s="6">
        <v>38.94</v>
      </c>
      <c r="U38" s="2"/>
      <c r="V38" s="7">
        <f t="shared" si="21"/>
        <v>0</v>
      </c>
      <c r="W38" s="2"/>
      <c r="X38" s="6">
        <f t="shared" si="22"/>
        <v>0.84000000000000341</v>
      </c>
      <c r="Y38" s="2"/>
      <c r="Z38" s="7">
        <f t="shared" si="23"/>
        <v>2.1571648690292846E-2</v>
      </c>
    </row>
    <row r="39" spans="1:26" s="25" customFormat="1" outlineLevel="1" collapsed="1" x14ac:dyDescent="0.25">
      <c r="A39" s="27"/>
      <c r="B39" s="13" t="str">
        <f>CONCATENATE("     ","Supplies                                          ")</f>
        <v xml:space="preserve">     Supplies                                          </v>
      </c>
      <c r="C39" s="13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5.89</v>
      </c>
      <c r="I39" s="1"/>
      <c r="J39" s="5">
        <f t="shared" si="17"/>
        <v>0</v>
      </c>
      <c r="K39" s="1"/>
      <c r="L39" s="1">
        <f t="shared" si="18"/>
        <v>-5.89</v>
      </c>
      <c r="M39" s="1"/>
      <c r="N39" s="5">
        <f t="shared" si="19"/>
        <v>-1</v>
      </c>
      <c r="O39" s="13"/>
      <c r="P39" s="1">
        <f>SUM(OSRRefP22_6x_0)</f>
        <v>744.92</v>
      </c>
      <c r="Q39" s="1"/>
      <c r="R39" s="5">
        <f t="shared" si="20"/>
        <v>0</v>
      </c>
      <c r="S39" s="1"/>
      <c r="T39" s="1">
        <f>SUM(OSRRefT22_6x_0)</f>
        <v>816.89</v>
      </c>
      <c r="U39" s="1"/>
      <c r="V39" s="5">
        <f t="shared" si="21"/>
        <v>0</v>
      </c>
      <c r="W39" s="1"/>
      <c r="X39" s="1">
        <f t="shared" si="22"/>
        <v>-71.970000000000027</v>
      </c>
      <c r="Y39" s="1"/>
      <c r="Z39" s="5">
        <f t="shared" si="23"/>
        <v>-8.8102437292658778E-2</v>
      </c>
    </row>
    <row r="40" spans="1:26" s="24" customFormat="1" hidden="1" outlineLevel="2" x14ac:dyDescent="0.25">
      <c r="A40" s="26"/>
      <c r="B40" s="11" t="str">
        <f>CONCATENATE("          ", "6234", " - ", "EXPENDABLE SUPPLIES &amp; EQUIPMEN")</f>
        <v xml:space="preserve">          6234 - EXPENDABLE SUPPLIES &amp; EQUIPMEN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693.5</v>
      </c>
      <c r="Q40" s="2"/>
      <c r="R40" s="7">
        <f t="shared" si="20"/>
        <v>0</v>
      </c>
      <c r="S40" s="2"/>
      <c r="T40" s="6">
        <v>804.9</v>
      </c>
      <c r="U40" s="2"/>
      <c r="V40" s="7">
        <f t="shared" si="21"/>
        <v>0</v>
      </c>
      <c r="W40" s="2"/>
      <c r="X40" s="6">
        <f t="shared" si="22"/>
        <v>-111.39999999999998</v>
      </c>
      <c r="Y40" s="2"/>
      <c r="Z40" s="7">
        <f t="shared" si="23"/>
        <v>-0.13840228599826063</v>
      </c>
    </row>
    <row r="41" spans="1:26" s="24" customFormat="1" hidden="1" outlineLevel="2" x14ac:dyDescent="0.25">
      <c r="A41" s="26"/>
      <c r="B41" s="11" t="str">
        <f>CONCATENATE("          ", "6241", " - ", "OFFICE EXPENSE")</f>
        <v xml:space="preserve">          6241 - OFFICE EXPENSE</v>
      </c>
      <c r="C41" s="11"/>
      <c r="D41" s="6"/>
      <c r="E41" s="2"/>
      <c r="F41" s="7">
        <f t="shared" si="16"/>
        <v>0</v>
      </c>
      <c r="G41" s="2"/>
      <c r="H41" s="6">
        <v>5.89</v>
      </c>
      <c r="I41" s="2"/>
      <c r="J41" s="7">
        <f t="shared" si="17"/>
        <v>0</v>
      </c>
      <c r="K41" s="2"/>
      <c r="L41" s="6">
        <f t="shared" si="18"/>
        <v>-5.89</v>
      </c>
      <c r="M41" s="2"/>
      <c r="N41" s="7">
        <f t="shared" si="19"/>
        <v>-1</v>
      </c>
      <c r="O41" s="11"/>
      <c r="P41" s="6">
        <v>51.42</v>
      </c>
      <c r="Q41" s="2"/>
      <c r="R41" s="7">
        <f t="shared" si="20"/>
        <v>0</v>
      </c>
      <c r="S41" s="2"/>
      <c r="T41" s="6">
        <v>11.99</v>
      </c>
      <c r="U41" s="2"/>
      <c r="V41" s="7">
        <f t="shared" si="21"/>
        <v>0</v>
      </c>
      <c r="W41" s="2"/>
      <c r="X41" s="6">
        <f t="shared" si="22"/>
        <v>39.43</v>
      </c>
      <c r="Y41" s="2"/>
      <c r="Z41" s="7">
        <f t="shared" si="23"/>
        <v>3.288573811509591</v>
      </c>
    </row>
    <row r="42" spans="1:26" s="25" customFormat="1" outlineLevel="1" collapsed="1" x14ac:dyDescent="0.25">
      <c r="A42" s="27"/>
      <c r="B42" s="13" t="str">
        <f>CONCATENATE("     ","Telephone/Data Lines                              ")</f>
        <v xml:space="preserve">     Telephone/Data Lines                              </v>
      </c>
      <c r="C42" s="13"/>
      <c r="D42" s="1">
        <f>SUM(OSRRefD22_7x_0)</f>
        <v>-75.3</v>
      </c>
      <c r="E42" s="1"/>
      <c r="F42" s="5">
        <f t="shared" ref="F42:F45" si="24">IF(D$12=0,0,D42/D$12)</f>
        <v>0</v>
      </c>
      <c r="G42" s="1"/>
      <c r="H42" s="1">
        <f>SUM(OSRRefH22_7x_0)</f>
        <v>58.28</v>
      </c>
      <c r="I42" s="1"/>
      <c r="J42" s="5">
        <f t="shared" ref="J42:J45" si="25">IF(H$12=0,0,H42/H$12)</f>
        <v>0</v>
      </c>
      <c r="K42" s="1"/>
      <c r="L42" s="1">
        <f t="shared" ref="L42:L45" si="26">+D42-H42</f>
        <v>-133.57999999999998</v>
      </c>
      <c r="M42" s="1"/>
      <c r="N42" s="5">
        <f t="shared" ref="N42:N45" si="27">IF(H42=0,0,L42/H42)</f>
        <v>-2.2920384351406997</v>
      </c>
      <c r="O42" s="13"/>
      <c r="P42" s="1">
        <f>SUM(OSRRefP22_7x_0)</f>
        <v>312.89999999999998</v>
      </c>
      <c r="Q42" s="1"/>
      <c r="R42" s="5">
        <f t="shared" ref="R42:R45" si="28">IF(P$12=0,0,P42/P$12)</f>
        <v>0</v>
      </c>
      <c r="S42" s="1"/>
      <c r="T42" s="1">
        <f>SUM(OSRRefT22_7x_0)</f>
        <v>288.77999999999997</v>
      </c>
      <c r="U42" s="1"/>
      <c r="V42" s="5">
        <f t="shared" ref="V42:V45" si="29">IF(T$12=0,0,T42/T$12)</f>
        <v>0</v>
      </c>
      <c r="W42" s="1"/>
      <c r="X42" s="1">
        <f t="shared" ref="X42:X45" si="30">+P42-T42</f>
        <v>24.120000000000005</v>
      </c>
      <c r="Y42" s="1"/>
      <c r="Z42" s="5">
        <f t="shared" ref="Z42:Z45" si="31">IF(T42=0,0,X42/T42)</f>
        <v>8.3523789736131338E-2</v>
      </c>
    </row>
    <row r="43" spans="1:26" s="24" customFormat="1" hidden="1" outlineLevel="2" x14ac:dyDescent="0.25">
      <c r="A43" s="26"/>
      <c r="B43" s="11" t="str">
        <f>CONCATENATE("          ", "6309", " - ", "TELEPHONE")</f>
        <v xml:space="preserve">          6309 - TELEPHONE</v>
      </c>
      <c r="C43" s="11"/>
      <c r="D43" s="6">
        <v>-75.3</v>
      </c>
      <c r="E43" s="2"/>
      <c r="F43" s="7">
        <f t="shared" si="24"/>
        <v>0</v>
      </c>
      <c r="G43" s="2"/>
      <c r="H43" s="6">
        <v>58.28</v>
      </c>
      <c r="I43" s="2"/>
      <c r="J43" s="7">
        <f t="shared" si="25"/>
        <v>0</v>
      </c>
      <c r="K43" s="2"/>
      <c r="L43" s="6">
        <f t="shared" si="26"/>
        <v>-133.57999999999998</v>
      </c>
      <c r="M43" s="2"/>
      <c r="N43" s="7">
        <f t="shared" si="27"/>
        <v>-2.2920384351406997</v>
      </c>
      <c r="O43" s="11"/>
      <c r="P43" s="6">
        <v>312.89999999999998</v>
      </c>
      <c r="Q43" s="2"/>
      <c r="R43" s="7">
        <f t="shared" si="28"/>
        <v>0</v>
      </c>
      <c r="S43" s="2"/>
      <c r="T43" s="6">
        <v>288.77999999999997</v>
      </c>
      <c r="U43" s="2"/>
      <c r="V43" s="7">
        <f t="shared" si="29"/>
        <v>0</v>
      </c>
      <c r="W43" s="2"/>
      <c r="X43" s="6">
        <f t="shared" si="30"/>
        <v>24.120000000000005</v>
      </c>
      <c r="Y43" s="2"/>
      <c r="Z43" s="7">
        <f t="shared" si="31"/>
        <v>8.3523789736131338E-2</v>
      </c>
    </row>
    <row r="44" spans="1:26" s="25" customFormat="1" outlineLevel="1" collapsed="1" x14ac:dyDescent="0.25">
      <c r="A44" s="27"/>
      <c r="B44" s="13" t="str">
        <f>CONCATENATE("     ","Travel                                            ")</f>
        <v xml:space="preserve">     Travel                                            </v>
      </c>
      <c r="C44" s="13"/>
      <c r="D44" s="1">
        <f>SUM(OSRRefD22_8x_0)</f>
        <v>0</v>
      </c>
      <c r="E44" s="1"/>
      <c r="F44" s="5">
        <f t="shared" si="24"/>
        <v>0</v>
      </c>
      <c r="G44" s="1"/>
      <c r="H44" s="1">
        <f>SUM(OSRRefH22_8x_0)</f>
        <v>53.58</v>
      </c>
      <c r="I44" s="1"/>
      <c r="J44" s="5">
        <f t="shared" si="25"/>
        <v>0</v>
      </c>
      <c r="K44" s="1"/>
      <c r="L44" s="1">
        <f t="shared" si="26"/>
        <v>-53.58</v>
      </c>
      <c r="M44" s="1"/>
      <c r="N44" s="5">
        <f t="shared" si="27"/>
        <v>-1</v>
      </c>
      <c r="O44" s="13"/>
      <c r="P44" s="1">
        <f>SUM(OSRRefP22_8x_0)</f>
        <v>256.86</v>
      </c>
      <c r="Q44" s="1"/>
      <c r="R44" s="5">
        <f t="shared" si="28"/>
        <v>0</v>
      </c>
      <c r="S44" s="1"/>
      <c r="T44" s="1">
        <f>SUM(OSRRefT22_8x_0)</f>
        <v>53.58</v>
      </c>
      <c r="U44" s="1"/>
      <c r="V44" s="5">
        <f t="shared" si="29"/>
        <v>0</v>
      </c>
      <c r="W44" s="1"/>
      <c r="X44" s="1">
        <f t="shared" si="30"/>
        <v>203.28000000000003</v>
      </c>
      <c r="Y44" s="1"/>
      <c r="Z44" s="5">
        <f t="shared" si="31"/>
        <v>3.7939529675251968</v>
      </c>
    </row>
    <row r="45" spans="1:26" s="24" customFormat="1" hidden="1" outlineLevel="2" x14ac:dyDescent="0.25">
      <c r="A45" s="26"/>
      <c r="B45" s="11" t="str">
        <f>CONCATENATE("          ", "6292", " - ", "TRAVEL/CONFERENCE")</f>
        <v xml:space="preserve">          6292 - TRAVEL/CONFERENCE</v>
      </c>
      <c r="C45" s="11"/>
      <c r="D45" s="6"/>
      <c r="E45" s="2"/>
      <c r="F45" s="7">
        <f t="shared" si="24"/>
        <v>0</v>
      </c>
      <c r="G45" s="2"/>
      <c r="H45" s="6">
        <v>53.58</v>
      </c>
      <c r="I45" s="2"/>
      <c r="J45" s="7">
        <f t="shared" si="25"/>
        <v>0</v>
      </c>
      <c r="K45" s="2"/>
      <c r="L45" s="6">
        <f t="shared" si="26"/>
        <v>-53.58</v>
      </c>
      <c r="M45" s="2"/>
      <c r="N45" s="7">
        <f t="shared" si="27"/>
        <v>-1</v>
      </c>
      <c r="O45" s="11"/>
      <c r="P45" s="6">
        <v>256.86</v>
      </c>
      <c r="Q45" s="2"/>
      <c r="R45" s="7">
        <f t="shared" si="28"/>
        <v>0</v>
      </c>
      <c r="S45" s="2"/>
      <c r="T45" s="6">
        <v>53.58</v>
      </c>
      <c r="U45" s="2"/>
      <c r="V45" s="7">
        <f t="shared" si="29"/>
        <v>0</v>
      </c>
      <c r="W45" s="2"/>
      <c r="X45" s="6">
        <f t="shared" si="30"/>
        <v>203.28000000000003</v>
      </c>
      <c r="Y45" s="2"/>
      <c r="Z45" s="7">
        <f t="shared" si="31"/>
        <v>3.7939529675251968</v>
      </c>
    </row>
    <row r="46" spans="1:26" s="53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8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9" t="s">
        <v>3</v>
      </c>
      <c r="C49" s="29"/>
      <c r="D49" s="21">
        <f>+D16-D18+D47</f>
        <v>-8179.55</v>
      </c>
      <c r="E49" s="14"/>
      <c r="F49" s="20">
        <f>IF(D$12=0,0,D49/D$12)</f>
        <v>0</v>
      </c>
      <c r="G49" s="14"/>
      <c r="H49" s="21">
        <f>+H16-H18+H47</f>
        <v>-5796.1</v>
      </c>
      <c r="I49" s="14"/>
      <c r="J49" s="20">
        <f>IF(H$12=0,0,H49/H$12)</f>
        <v>0</v>
      </c>
      <c r="K49" s="15"/>
      <c r="L49" s="21">
        <f>+D49-H49</f>
        <v>-2383.4499999999998</v>
      </c>
      <c r="M49" s="15"/>
      <c r="N49" s="20">
        <f>IF(H49=0,0,L49/H49)</f>
        <v>0.41121616259208771</v>
      </c>
      <c r="O49" s="28"/>
      <c r="P49" s="21">
        <f>+P16-P18+P47</f>
        <v>-42592.570000000007</v>
      </c>
      <c r="Q49" s="14"/>
      <c r="R49" s="20">
        <f>IF(P$12=0,0,P49/P$12)</f>
        <v>0</v>
      </c>
      <c r="S49" s="14"/>
      <c r="T49" s="21">
        <f>+T16-T18+T47</f>
        <v>-37738.460000000006</v>
      </c>
      <c r="U49" s="14"/>
      <c r="V49" s="20">
        <f>IF(T$12=0,0,T49/T$12)</f>
        <v>0</v>
      </c>
      <c r="W49" s="15"/>
      <c r="X49" s="21">
        <f>+P49-T49</f>
        <v>-4854.1100000000006</v>
      </c>
      <c r="Y49" s="15"/>
      <c r="Z49" s="20">
        <f>IF(T49=0,0,X49/T49)</f>
        <v>0.12862501543518204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1"/>
      <c r="B51" s="10" t="s">
        <v>13</v>
      </c>
      <c r="C51" s="10"/>
      <c r="D51" s="4"/>
      <c r="E51" s="4"/>
      <c r="F51" s="12">
        <f>IF(D$12=0,0,D51/D$12)</f>
        <v>0</v>
      </c>
      <c r="G51" s="4"/>
      <c r="H51" s="4"/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/>
      <c r="Q51" s="4"/>
      <c r="R51" s="12">
        <f>IF(P$12=0,0,P51/P$12)</f>
        <v>0</v>
      </c>
      <c r="S51" s="4"/>
      <c r="T51" s="4"/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9" t="s">
        <v>4</v>
      </c>
      <c r="C53" s="29"/>
      <c r="D53" s="31">
        <f>+D49-D51</f>
        <v>-8179.55</v>
      </c>
      <c r="E53" s="14"/>
      <c r="F53" s="32">
        <f>IF(D$12=0,0,D53/D$12)</f>
        <v>0</v>
      </c>
      <c r="G53" s="14"/>
      <c r="H53" s="31">
        <f>+H49-H51</f>
        <v>-5796.1</v>
      </c>
      <c r="I53" s="14"/>
      <c r="J53" s="32">
        <f>IF(H$12=0,0,H53/H$12)</f>
        <v>0</v>
      </c>
      <c r="K53" s="15"/>
      <c r="L53" s="31">
        <f>D53-H53</f>
        <v>-2383.4499999999998</v>
      </c>
      <c r="M53" s="15"/>
      <c r="N53" s="32">
        <f>IF(H53=0,0,L53/H53)</f>
        <v>0.41121616259208771</v>
      </c>
      <c r="O53" s="28"/>
      <c r="P53" s="31">
        <f>+P49-P51</f>
        <v>-42592.570000000007</v>
      </c>
      <c r="Q53" s="14"/>
      <c r="R53" s="32">
        <f>IF(P$12=0,0,P53/P$12)</f>
        <v>0</v>
      </c>
      <c r="S53" s="14"/>
      <c r="T53" s="31">
        <f>+T49-T51</f>
        <v>-37738.460000000006</v>
      </c>
      <c r="U53" s="14"/>
      <c r="V53" s="32">
        <f>IF(T$12=0,0,T53/T$12)</f>
        <v>0</v>
      </c>
      <c r="W53" s="15"/>
      <c r="X53" s="31">
        <f>P53-T53</f>
        <v>-4854.1100000000006</v>
      </c>
      <c r="Y53" s="15"/>
      <c r="Z53" s="32">
        <f>IF(T53=0,0,X53/T53)</f>
        <v>0.12862501543518204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9" t="s">
        <v>5</v>
      </c>
      <c r="C56" s="29"/>
      <c r="D56" s="34">
        <f>SUM(D53:D55)</f>
        <v>-8179.55</v>
      </c>
      <c r="E56" s="14"/>
      <c r="F56" s="30">
        <f>IF(D$12=0,0,D56/D$12)</f>
        <v>0</v>
      </c>
      <c r="G56" s="14"/>
      <c r="H56" s="34">
        <f>SUM(H53:H55)</f>
        <v>-5796.1</v>
      </c>
      <c r="I56" s="14"/>
      <c r="J56" s="30">
        <f>IF(H$12=0,0,H56/H$12)</f>
        <v>0</v>
      </c>
      <c r="K56" s="15"/>
      <c r="L56" s="34">
        <f>+D56-H56</f>
        <v>-2383.4499999999998</v>
      </c>
      <c r="M56" s="15"/>
      <c r="N56" s="30">
        <f>IF(H56=0,0,L56/H56)</f>
        <v>0.41121616259208771</v>
      </c>
      <c r="O56" s="28"/>
      <c r="P56" s="34">
        <f>SUM(P53:P55)</f>
        <v>-42592.570000000007</v>
      </c>
      <c r="Q56" s="14"/>
      <c r="R56" s="30">
        <f>IF(P$12=0,0,P56/P$12)</f>
        <v>0</v>
      </c>
      <c r="S56" s="14"/>
      <c r="T56" s="34">
        <f>SUM(T53:T55)</f>
        <v>-37738.460000000006</v>
      </c>
      <c r="U56" s="14"/>
      <c r="V56" s="30">
        <f>IF(T$12=0,0,T56/T$12)</f>
        <v>0</v>
      </c>
      <c r="W56" s="15"/>
      <c r="X56" s="34">
        <f>+P56-T56</f>
        <v>-4854.1100000000006</v>
      </c>
      <c r="Y56" s="15"/>
      <c r="Z56" s="30">
        <f>IF(T56=0,0,X56/T56)</f>
        <v>0.12862501543518204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A58" s="9"/>
      <c r="B58" s="59">
        <v>43815.491580821756</v>
      </c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62" t="s">
        <v>313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61"/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","206", " - ", "Graphics")</f>
        <v>Department 206 - Graphics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6521.0400000000009</v>
      </c>
      <c r="E18" s="22"/>
      <c r="F18" s="33">
        <f t="shared" ref="F18:F27" si="0">IF(D$12=0,0,D18/D$12)</f>
        <v>0</v>
      </c>
      <c r="G18" s="22"/>
      <c r="H18" s="22">
        <f>SUM(OSRRefH22x_0)</f>
        <v>6434.2900000000045</v>
      </c>
      <c r="I18" s="22"/>
      <c r="J18" s="33">
        <f t="shared" ref="J18:J27" si="1">IF(H$12=0,0,H18/H$12)</f>
        <v>0</v>
      </c>
      <c r="K18" s="4"/>
      <c r="L18" s="22">
        <f t="shared" ref="L18:L27" si="2">+D18-H18</f>
        <v>86.749999999996362</v>
      </c>
      <c r="M18" s="4"/>
      <c r="N18" s="33">
        <f t="shared" ref="N18:N27" si="3">IF(H18=0,0,L18/H18)</f>
        <v>1.3482451055205206E-2</v>
      </c>
      <c r="O18" s="10"/>
      <c r="P18" s="22">
        <f>SUM(OSRRefP22x_0)</f>
        <v>36604.44999999999</v>
      </c>
      <c r="Q18" s="22"/>
      <c r="R18" s="33">
        <f t="shared" ref="R18:R27" si="4">IF(P$12=0,0,P18/P$12)</f>
        <v>0</v>
      </c>
      <c r="S18" s="22"/>
      <c r="T18" s="22">
        <f>SUM(OSRRefT22x_0)</f>
        <v>36865.11</v>
      </c>
      <c r="U18" s="22"/>
      <c r="V18" s="33">
        <f t="shared" ref="V18:V27" si="5">IF(T$12=0,0,T18/T$12)</f>
        <v>0</v>
      </c>
      <c r="W18" s="4"/>
      <c r="X18" s="22">
        <f t="shared" ref="X18:X27" si="6">+P18-T18</f>
        <v>-260.66000000001077</v>
      </c>
      <c r="Y18" s="4"/>
      <c r="Z18" s="33">
        <f t="shared" ref="Z18:Z27" si="7">IF(T18=0,0,X18/T18)</f>
        <v>-7.0706421329004791E-3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1723.3100000000002</v>
      </c>
      <c r="E19" s="1"/>
      <c r="F19" s="5">
        <f t="shared" si="0"/>
        <v>0</v>
      </c>
      <c r="G19" s="1"/>
      <c r="H19" s="1">
        <f>SUM(OSRRefH22_0x_0)</f>
        <v>6339.14</v>
      </c>
      <c r="I19" s="1"/>
      <c r="J19" s="5">
        <f t="shared" si="1"/>
        <v>0</v>
      </c>
      <c r="K19" s="1"/>
      <c r="L19" s="1">
        <f t="shared" si="2"/>
        <v>-4615.83</v>
      </c>
      <c r="M19" s="1"/>
      <c r="N19" s="5">
        <f t="shared" si="3"/>
        <v>-0.72814766671819831</v>
      </c>
      <c r="O19" s="13"/>
      <c r="P19" s="1">
        <f>SUM(OSRRefP22_0x_0)</f>
        <v>9532.8799999999992</v>
      </c>
      <c r="Q19" s="1"/>
      <c r="R19" s="5">
        <f t="shared" si="4"/>
        <v>0</v>
      </c>
      <c r="S19" s="1"/>
      <c r="T19" s="1">
        <f>SUM(OSRRefT22_0x_0)</f>
        <v>33603.369999999995</v>
      </c>
      <c r="U19" s="1"/>
      <c r="V19" s="5">
        <f t="shared" si="5"/>
        <v>0</v>
      </c>
      <c r="W19" s="1"/>
      <c r="X19" s="1">
        <f t="shared" si="6"/>
        <v>-24070.489999999998</v>
      </c>
      <c r="Y19" s="1"/>
      <c r="Z19" s="5">
        <f t="shared" si="7"/>
        <v>-0.71631178658569072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385.04</v>
      </c>
      <c r="E20" s="2"/>
      <c r="F20" s="7">
        <f t="shared" si="0"/>
        <v>0</v>
      </c>
      <c r="G20" s="2"/>
      <c r="H20" s="6">
        <v>773.05</v>
      </c>
      <c r="I20" s="2"/>
      <c r="J20" s="7">
        <f t="shared" si="1"/>
        <v>0</v>
      </c>
      <c r="K20" s="2"/>
      <c r="L20" s="6">
        <f t="shared" si="2"/>
        <v>-388.00999999999993</v>
      </c>
      <c r="M20" s="2"/>
      <c r="N20" s="7">
        <f t="shared" si="3"/>
        <v>-0.5019209624215768</v>
      </c>
      <c r="O20" s="11"/>
      <c r="P20" s="6">
        <v>2798.21</v>
      </c>
      <c r="Q20" s="2"/>
      <c r="R20" s="7">
        <f t="shared" si="4"/>
        <v>0</v>
      </c>
      <c r="S20" s="2"/>
      <c r="T20" s="6">
        <v>6171.43</v>
      </c>
      <c r="U20" s="2"/>
      <c r="V20" s="7">
        <f t="shared" si="5"/>
        <v>0</v>
      </c>
      <c r="W20" s="2"/>
      <c r="X20" s="6">
        <f t="shared" si="6"/>
        <v>-3373.2200000000003</v>
      </c>
      <c r="Y20" s="2"/>
      <c r="Z20" s="7">
        <f t="shared" si="7"/>
        <v>-0.54658644754943342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32.57</v>
      </c>
      <c r="E21" s="2"/>
      <c r="F21" s="7">
        <f t="shared" si="0"/>
        <v>0</v>
      </c>
      <c r="G21" s="2"/>
      <c r="H21" s="6">
        <v>47.94</v>
      </c>
      <c r="I21" s="2"/>
      <c r="J21" s="7">
        <f t="shared" si="1"/>
        <v>0</v>
      </c>
      <c r="K21" s="2"/>
      <c r="L21" s="6">
        <f t="shared" si="2"/>
        <v>-15.369999999999997</v>
      </c>
      <c r="M21" s="2"/>
      <c r="N21" s="7">
        <f t="shared" si="3"/>
        <v>-0.32060909470171045</v>
      </c>
      <c r="O21" s="11"/>
      <c r="P21" s="6">
        <v>62.87</v>
      </c>
      <c r="Q21" s="2"/>
      <c r="R21" s="7">
        <f t="shared" si="4"/>
        <v>0</v>
      </c>
      <c r="S21" s="2"/>
      <c r="T21" s="6">
        <v>302.39999999999998</v>
      </c>
      <c r="U21" s="2"/>
      <c r="V21" s="7">
        <f t="shared" si="5"/>
        <v>0</v>
      </c>
      <c r="W21" s="2"/>
      <c r="X21" s="6">
        <f t="shared" si="6"/>
        <v>-239.52999999999997</v>
      </c>
      <c r="Y21" s="2"/>
      <c r="Z21" s="7">
        <f t="shared" si="7"/>
        <v>-0.79209656084656077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700.91</v>
      </c>
      <c r="E22" s="2"/>
      <c r="F22" s="7">
        <f t="shared" si="0"/>
        <v>0</v>
      </c>
      <c r="G22" s="2"/>
      <c r="H22" s="6">
        <v>3488.68</v>
      </c>
      <c r="I22" s="2"/>
      <c r="J22" s="7">
        <f t="shared" si="1"/>
        <v>0</v>
      </c>
      <c r="K22" s="2"/>
      <c r="L22" s="6">
        <f t="shared" si="2"/>
        <v>-2787.77</v>
      </c>
      <c r="M22" s="2"/>
      <c r="N22" s="7">
        <f t="shared" si="3"/>
        <v>-0.79909020030498645</v>
      </c>
      <c r="O22" s="11"/>
      <c r="P22" s="6">
        <v>3504.55</v>
      </c>
      <c r="Q22" s="2"/>
      <c r="R22" s="7">
        <f t="shared" si="4"/>
        <v>0</v>
      </c>
      <c r="S22" s="2"/>
      <c r="T22" s="6">
        <v>15269.87</v>
      </c>
      <c r="U22" s="2"/>
      <c r="V22" s="7">
        <f t="shared" si="5"/>
        <v>0</v>
      </c>
      <c r="W22" s="2"/>
      <c r="X22" s="6">
        <f t="shared" si="6"/>
        <v>-11765.32</v>
      </c>
      <c r="Y22" s="2"/>
      <c r="Z22" s="7">
        <f t="shared" si="7"/>
        <v>-0.77049247963473155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24.91</v>
      </c>
      <c r="E23" s="2"/>
      <c r="F23" s="7">
        <f t="shared" si="0"/>
        <v>0</v>
      </c>
      <c r="G23" s="2"/>
      <c r="H23" s="6">
        <v>40.21</v>
      </c>
      <c r="I23" s="2"/>
      <c r="J23" s="7">
        <f t="shared" si="1"/>
        <v>0</v>
      </c>
      <c r="K23" s="2"/>
      <c r="L23" s="6">
        <f t="shared" si="2"/>
        <v>-15.3</v>
      </c>
      <c r="M23" s="2"/>
      <c r="N23" s="7">
        <f t="shared" si="3"/>
        <v>-0.38050236259636905</v>
      </c>
      <c r="O23" s="11"/>
      <c r="P23" s="6">
        <v>124.24</v>
      </c>
      <c r="Q23" s="2"/>
      <c r="R23" s="7">
        <f t="shared" si="4"/>
        <v>0</v>
      </c>
      <c r="S23" s="2"/>
      <c r="T23" s="6">
        <v>253.62</v>
      </c>
      <c r="U23" s="2"/>
      <c r="V23" s="7">
        <f t="shared" si="5"/>
        <v>0</v>
      </c>
      <c r="W23" s="2"/>
      <c r="X23" s="6">
        <f t="shared" si="6"/>
        <v>-129.38</v>
      </c>
      <c r="Y23" s="2"/>
      <c r="Z23" s="7">
        <f t="shared" si="7"/>
        <v>-0.51013327024682598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463.29</v>
      </c>
      <c r="I24" s="2"/>
      <c r="J24" s="7">
        <f t="shared" si="1"/>
        <v>0</v>
      </c>
      <c r="K24" s="2"/>
      <c r="L24" s="6">
        <f t="shared" si="2"/>
        <v>-463.29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2541.35</v>
      </c>
      <c r="U24" s="2"/>
      <c r="V24" s="7">
        <f t="shared" si="5"/>
        <v>0</v>
      </c>
      <c r="W24" s="2"/>
      <c r="X24" s="6">
        <f t="shared" si="6"/>
        <v>-2541.35</v>
      </c>
      <c r="Y24" s="2"/>
      <c r="Z24" s="7">
        <f t="shared" si="7"/>
        <v>-1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184.8</v>
      </c>
      <c r="E25" s="2"/>
      <c r="F25" s="7">
        <f t="shared" si="0"/>
        <v>0</v>
      </c>
      <c r="G25" s="2"/>
      <c r="H25" s="6">
        <v>777.78</v>
      </c>
      <c r="I25" s="2"/>
      <c r="J25" s="7">
        <f t="shared" si="1"/>
        <v>0</v>
      </c>
      <c r="K25" s="2"/>
      <c r="L25" s="6">
        <f t="shared" si="2"/>
        <v>-592.98</v>
      </c>
      <c r="M25" s="2"/>
      <c r="N25" s="7">
        <f t="shared" si="3"/>
        <v>-0.76240067885520335</v>
      </c>
      <c r="O25" s="11"/>
      <c r="P25" s="6">
        <v>1016.4</v>
      </c>
      <c r="Q25" s="2"/>
      <c r="R25" s="7">
        <f t="shared" si="4"/>
        <v>0</v>
      </c>
      <c r="S25" s="2"/>
      <c r="T25" s="6">
        <v>4597.47</v>
      </c>
      <c r="U25" s="2"/>
      <c r="V25" s="7">
        <f t="shared" si="5"/>
        <v>0</v>
      </c>
      <c r="W25" s="2"/>
      <c r="X25" s="6">
        <f t="shared" si="6"/>
        <v>-3581.07</v>
      </c>
      <c r="Y25" s="2"/>
      <c r="Z25" s="7">
        <f t="shared" si="7"/>
        <v>-0.77892188529778339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221.4</v>
      </c>
      <c r="E26" s="2"/>
      <c r="F26" s="7">
        <f t="shared" si="0"/>
        <v>0</v>
      </c>
      <c r="G26" s="2"/>
      <c r="H26" s="6">
        <v>494.76</v>
      </c>
      <c r="I26" s="2"/>
      <c r="J26" s="7">
        <f t="shared" si="1"/>
        <v>0</v>
      </c>
      <c r="K26" s="2"/>
      <c r="L26" s="6">
        <f t="shared" si="2"/>
        <v>-273.36</v>
      </c>
      <c r="M26" s="2"/>
      <c r="N26" s="7">
        <f t="shared" si="3"/>
        <v>-0.55251030802813494</v>
      </c>
      <c r="O26" s="11"/>
      <c r="P26" s="6">
        <v>1217.7</v>
      </c>
      <c r="Q26" s="2"/>
      <c r="R26" s="7">
        <f t="shared" si="4"/>
        <v>0</v>
      </c>
      <c r="S26" s="2"/>
      <c r="T26" s="6">
        <v>3034.44</v>
      </c>
      <c r="U26" s="2"/>
      <c r="V26" s="7">
        <f t="shared" si="5"/>
        <v>0</v>
      </c>
      <c r="W26" s="2"/>
      <c r="X26" s="6">
        <f t="shared" si="6"/>
        <v>-1816.74</v>
      </c>
      <c r="Y26" s="2"/>
      <c r="Z26" s="7">
        <f t="shared" si="7"/>
        <v>-0.59870684541463992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173.68</v>
      </c>
      <c r="E27" s="2"/>
      <c r="F27" s="7">
        <f t="shared" si="0"/>
        <v>0</v>
      </c>
      <c r="G27" s="2"/>
      <c r="H27" s="6">
        <v>253.43</v>
      </c>
      <c r="I27" s="2"/>
      <c r="J27" s="7">
        <f t="shared" si="1"/>
        <v>0</v>
      </c>
      <c r="K27" s="2"/>
      <c r="L27" s="6">
        <f t="shared" si="2"/>
        <v>-79.75</v>
      </c>
      <c r="M27" s="2"/>
      <c r="N27" s="7">
        <f t="shared" si="3"/>
        <v>-0.31468255534072526</v>
      </c>
      <c r="O27" s="11"/>
      <c r="P27" s="6">
        <v>808.91</v>
      </c>
      <c r="Q27" s="2"/>
      <c r="R27" s="7">
        <f t="shared" si="4"/>
        <v>0</v>
      </c>
      <c r="S27" s="2"/>
      <c r="T27" s="6">
        <v>1432.79</v>
      </c>
      <c r="U27" s="2"/>
      <c r="V27" s="7">
        <f t="shared" si="5"/>
        <v>0</v>
      </c>
      <c r="W27" s="2"/>
      <c r="X27" s="6">
        <f t="shared" si="6"/>
        <v>-623.88</v>
      </c>
      <c r="Y27" s="2"/>
      <c r="Z27" s="7">
        <f t="shared" si="7"/>
        <v>-0.43543017469412826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10056.89</v>
      </c>
      <c r="E28" s="1"/>
      <c r="F28" s="5">
        <f t="shared" ref="F28:F34" si="8">IF(D$12=0,0,D28/D$12)</f>
        <v>0</v>
      </c>
      <c r="G28" s="1"/>
      <c r="H28" s="1">
        <f>SUM(OSRRefH22_1x_0)</f>
        <v>15172.09</v>
      </c>
      <c r="I28" s="1"/>
      <c r="J28" s="5">
        <f t="shared" ref="J28:J34" si="9">IF(H$12=0,0,H28/H$12)</f>
        <v>0</v>
      </c>
      <c r="K28" s="1"/>
      <c r="L28" s="1">
        <f t="shared" ref="L28:L34" si="10">+D28-H28</f>
        <v>-5115.2000000000007</v>
      </c>
      <c r="M28" s="1"/>
      <c r="N28" s="5">
        <f t="shared" ref="N28:N34" si="11">IF(H28=0,0,L28/H28)</f>
        <v>-0.33714537680701873</v>
      </c>
      <c r="O28" s="13"/>
      <c r="P28" s="1">
        <f>SUM(OSRRefP22_1x_0)</f>
        <v>54220.86</v>
      </c>
      <c r="Q28" s="1"/>
      <c r="R28" s="5">
        <f t="shared" ref="R28:R34" si="12">IF(P$12=0,0,P28/P$12)</f>
        <v>0</v>
      </c>
      <c r="S28" s="1"/>
      <c r="T28" s="1">
        <f>SUM(OSRRefT22_1x_0)</f>
        <v>82133.03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-27912.17</v>
      </c>
      <c r="Y28" s="1"/>
      <c r="Z28" s="5">
        <f t="shared" ref="Z28:Z34" si="15">IF(T28=0,0,X28/T28)</f>
        <v>-0.33984098723741224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>
        <v>6771.24</v>
      </c>
      <c r="I29" s="2"/>
      <c r="J29" s="7">
        <f t="shared" si="9"/>
        <v>0</v>
      </c>
      <c r="K29" s="2"/>
      <c r="L29" s="6">
        <f t="shared" si="10"/>
        <v>-6771.24</v>
      </c>
      <c r="M29" s="2"/>
      <c r="N29" s="7">
        <f t="shared" si="11"/>
        <v>-1</v>
      </c>
      <c r="O29" s="11"/>
      <c r="P29" s="6"/>
      <c r="Q29" s="2"/>
      <c r="R29" s="7">
        <f t="shared" si="12"/>
        <v>0</v>
      </c>
      <c r="S29" s="2"/>
      <c r="T29" s="6">
        <v>33856.199999999997</v>
      </c>
      <c r="U29" s="2"/>
      <c r="V29" s="7">
        <f t="shared" si="13"/>
        <v>0</v>
      </c>
      <c r="W29" s="2"/>
      <c r="X29" s="6">
        <f t="shared" si="14"/>
        <v>-33856.199999999997</v>
      </c>
      <c r="Y29" s="2"/>
      <c r="Z29" s="7">
        <f t="shared" si="15"/>
        <v>-1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-338.56</v>
      </c>
      <c r="U30" s="2"/>
      <c r="V30" s="7">
        <f t="shared" si="13"/>
        <v>0</v>
      </c>
      <c r="W30" s="2"/>
      <c r="X30" s="6">
        <f t="shared" si="14"/>
        <v>338.56</v>
      </c>
      <c r="Y30" s="2"/>
      <c r="Z30" s="7">
        <f t="shared" si="15"/>
        <v>-1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>
        <v>5283.75</v>
      </c>
      <c r="E31" s="2"/>
      <c r="F31" s="7">
        <f t="shared" si="8"/>
        <v>0</v>
      </c>
      <c r="G31" s="2"/>
      <c r="H31" s="6">
        <v>3816.15</v>
      </c>
      <c r="I31" s="2"/>
      <c r="J31" s="7">
        <f t="shared" si="9"/>
        <v>0</v>
      </c>
      <c r="K31" s="2"/>
      <c r="L31" s="6">
        <f t="shared" si="10"/>
        <v>1467.6</v>
      </c>
      <c r="M31" s="2"/>
      <c r="N31" s="7">
        <f t="shared" si="11"/>
        <v>0.38457607798435595</v>
      </c>
      <c r="O31" s="11"/>
      <c r="P31" s="6">
        <v>27131.25</v>
      </c>
      <c r="Q31" s="2"/>
      <c r="R31" s="7">
        <f t="shared" si="12"/>
        <v>0</v>
      </c>
      <c r="S31" s="2"/>
      <c r="T31" s="6">
        <v>19442.28</v>
      </c>
      <c r="U31" s="2"/>
      <c r="V31" s="7">
        <f t="shared" si="13"/>
        <v>0</v>
      </c>
      <c r="W31" s="2"/>
      <c r="X31" s="6">
        <f t="shared" si="14"/>
        <v>7688.9700000000012</v>
      </c>
      <c r="Y31" s="2"/>
      <c r="Z31" s="7">
        <f t="shared" si="15"/>
        <v>0.3954767650707634</v>
      </c>
    </row>
    <row r="32" spans="1:26" s="24" customFormat="1" hidden="1" outlineLevel="2" x14ac:dyDescent="0.25">
      <c r="A32" s="26"/>
      <c r="B32" s="11" t="str">
        <f>CONCATENATE("          ", "6006", " - ", "TEMPORARY PART TIME")</f>
        <v xml:space="preserve">          6006 - TEMPORARY PART TIME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2361.4299999999998</v>
      </c>
      <c r="Q32" s="2"/>
      <c r="R32" s="7">
        <f t="shared" si="12"/>
        <v>0</v>
      </c>
      <c r="S32" s="2"/>
      <c r="T32" s="6">
        <v>247.86</v>
      </c>
      <c r="U32" s="2"/>
      <c r="V32" s="7">
        <f t="shared" si="13"/>
        <v>0</v>
      </c>
      <c r="W32" s="2"/>
      <c r="X32" s="6">
        <f t="shared" si="14"/>
        <v>2113.5699999999997</v>
      </c>
      <c r="Y32" s="2"/>
      <c r="Z32" s="7">
        <f t="shared" si="15"/>
        <v>8.5272734608246576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6">
        <v>3726.89</v>
      </c>
      <c r="E33" s="2"/>
      <c r="F33" s="7">
        <f t="shared" si="8"/>
        <v>0</v>
      </c>
      <c r="G33" s="2"/>
      <c r="H33" s="6">
        <v>4584.7</v>
      </c>
      <c r="I33" s="2"/>
      <c r="J33" s="7">
        <f t="shared" si="9"/>
        <v>0</v>
      </c>
      <c r="K33" s="2"/>
      <c r="L33" s="6">
        <f t="shared" si="10"/>
        <v>-857.81</v>
      </c>
      <c r="M33" s="2"/>
      <c r="N33" s="7">
        <f t="shared" si="11"/>
        <v>-0.18710275481492791</v>
      </c>
      <c r="O33" s="11"/>
      <c r="P33" s="6">
        <v>20868.48</v>
      </c>
      <c r="Q33" s="2"/>
      <c r="R33" s="7">
        <f t="shared" si="12"/>
        <v>0</v>
      </c>
      <c r="S33" s="2"/>
      <c r="T33" s="6">
        <v>28925.25</v>
      </c>
      <c r="U33" s="2"/>
      <c r="V33" s="7">
        <f t="shared" si="13"/>
        <v>0</v>
      </c>
      <c r="W33" s="2"/>
      <c r="X33" s="6">
        <f t="shared" si="14"/>
        <v>-8056.77</v>
      </c>
      <c r="Y33" s="2"/>
      <c r="Z33" s="7">
        <f t="shared" si="15"/>
        <v>-0.27853760987372628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6">
        <v>1046.25</v>
      </c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1046.25</v>
      </c>
      <c r="M34" s="2"/>
      <c r="N34" s="7">
        <f t="shared" si="11"/>
        <v>0</v>
      </c>
      <c r="O34" s="11"/>
      <c r="P34" s="6">
        <v>3859.7</v>
      </c>
      <c r="Q34" s="2"/>
      <c r="R34" s="7">
        <f t="shared" si="12"/>
        <v>0</v>
      </c>
      <c r="S34" s="2"/>
      <c r="T34" s="6"/>
      <c r="U34" s="2"/>
      <c r="V34" s="7">
        <f t="shared" si="13"/>
        <v>0</v>
      </c>
      <c r="W34" s="2"/>
      <c r="X34" s="6">
        <f t="shared" si="14"/>
        <v>3859.7</v>
      </c>
      <c r="Y34" s="2"/>
      <c r="Z34" s="7">
        <f t="shared" si="15"/>
        <v>0</v>
      </c>
    </row>
    <row r="35" spans="1:26" s="25" customFormat="1" outlineLevel="1" collapsed="1" x14ac:dyDescent="0.25">
      <c r="A35" s="27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-5900.04</v>
      </c>
      <c r="E35" s="1"/>
      <c r="F35" s="5">
        <f t="shared" ref="F35:F43" si="16">IF(D$12=0,0,D35/D$12)</f>
        <v>0</v>
      </c>
      <c r="G35" s="1"/>
      <c r="H35" s="1">
        <f>SUM(OSRRefH22_2x_0)</f>
        <v>-15714.32</v>
      </c>
      <c r="I35" s="1"/>
      <c r="J35" s="5">
        <f t="shared" ref="J35:J43" si="17">IF(H$12=0,0,H35/H$12)</f>
        <v>0</v>
      </c>
      <c r="K35" s="1"/>
      <c r="L35" s="1">
        <f t="shared" ref="L35:L43" si="18">+D35-H35</f>
        <v>9814.2799999999988</v>
      </c>
      <c r="M35" s="1"/>
      <c r="N35" s="5">
        <f t="shared" ref="N35:N43" si="19">IF(H35=0,0,L35/H35)</f>
        <v>-0.62454372826822913</v>
      </c>
      <c r="O35" s="13"/>
      <c r="P35" s="1">
        <f>SUM(OSRRefP22_2x_0)</f>
        <v>-30621.929999999997</v>
      </c>
      <c r="Q35" s="1"/>
      <c r="R35" s="5">
        <f t="shared" ref="R35:R43" si="20">IF(P$12=0,0,P35/P$12)</f>
        <v>0</v>
      </c>
      <c r="S35" s="1"/>
      <c r="T35" s="1">
        <f>SUM(OSRRefT22_2x_0)</f>
        <v>-82413.14</v>
      </c>
      <c r="U35" s="1"/>
      <c r="V35" s="5">
        <f t="shared" ref="V35:V43" si="21">IF(T$12=0,0,T35/T$12)</f>
        <v>0</v>
      </c>
      <c r="W35" s="1"/>
      <c r="X35" s="1">
        <f t="shared" ref="X35:X43" si="22">+P35-T35</f>
        <v>51791.210000000006</v>
      </c>
      <c r="Y35" s="1"/>
      <c r="Z35" s="5">
        <f t="shared" ref="Z35:Z43" si="23">IF(T35=0,0,X35/T35)</f>
        <v>-0.62843388809114675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6">
        <v>-5900.04</v>
      </c>
      <c r="E36" s="2"/>
      <c r="F36" s="7">
        <f t="shared" si="16"/>
        <v>0</v>
      </c>
      <c r="G36" s="2"/>
      <c r="H36" s="6">
        <v>-15714.32</v>
      </c>
      <c r="I36" s="2"/>
      <c r="J36" s="7">
        <f t="shared" si="17"/>
        <v>0</v>
      </c>
      <c r="K36" s="2"/>
      <c r="L36" s="6">
        <f t="shared" si="18"/>
        <v>9814.2799999999988</v>
      </c>
      <c r="M36" s="2"/>
      <c r="N36" s="7">
        <f t="shared" si="19"/>
        <v>-0.62454372826822913</v>
      </c>
      <c r="O36" s="11"/>
      <c r="P36" s="6">
        <v>-30621.929999999997</v>
      </c>
      <c r="Q36" s="2"/>
      <c r="R36" s="7">
        <f t="shared" si="20"/>
        <v>0</v>
      </c>
      <c r="S36" s="2"/>
      <c r="T36" s="6">
        <v>-82413.14</v>
      </c>
      <c r="U36" s="2"/>
      <c r="V36" s="7">
        <f t="shared" si="21"/>
        <v>0</v>
      </c>
      <c r="W36" s="2"/>
      <c r="X36" s="6">
        <f t="shared" si="22"/>
        <v>51791.210000000006</v>
      </c>
      <c r="Y36" s="2"/>
      <c r="Z36" s="7">
        <f t="shared" si="23"/>
        <v>-0.62843388809114675</v>
      </c>
    </row>
    <row r="37" spans="1:26" s="25" customFormat="1" outlineLevel="1" collapsed="1" x14ac:dyDescent="0.25">
      <c r="A37" s="27"/>
      <c r="B37" s="13" t="str">
        <f>CONCATENATE("     ","Depreciation                                      ")</f>
        <v xml:space="preserve">     Depreciation                                      </v>
      </c>
      <c r="C37" s="13"/>
      <c r="D37" s="1">
        <f>SUM(OSRRefD22_3x_0)</f>
        <v>295.67</v>
      </c>
      <c r="E37" s="1"/>
      <c r="F37" s="5">
        <f t="shared" si="16"/>
        <v>0</v>
      </c>
      <c r="G37" s="1"/>
      <c r="H37" s="1">
        <f>SUM(OSRRefH22_3x_0)</f>
        <v>295.68</v>
      </c>
      <c r="I37" s="1"/>
      <c r="J37" s="5">
        <f t="shared" si="17"/>
        <v>0</v>
      </c>
      <c r="K37" s="1"/>
      <c r="L37" s="1">
        <f t="shared" si="18"/>
        <v>-9.9999999999909051E-3</v>
      </c>
      <c r="M37" s="1"/>
      <c r="N37" s="5">
        <f t="shared" si="19"/>
        <v>-3.3820346320315563E-5</v>
      </c>
      <c r="O37" s="13"/>
      <c r="P37" s="1">
        <f>SUM(OSRRefP22_3x_0)</f>
        <v>1478.35</v>
      </c>
      <c r="Q37" s="1"/>
      <c r="R37" s="5">
        <f t="shared" si="20"/>
        <v>0</v>
      </c>
      <c r="S37" s="1"/>
      <c r="T37" s="1">
        <f>SUM(OSRRefT22_3x_0)</f>
        <v>1478.4</v>
      </c>
      <c r="U37" s="1"/>
      <c r="V37" s="5">
        <f t="shared" si="21"/>
        <v>0</v>
      </c>
      <c r="W37" s="1"/>
      <c r="X37" s="1">
        <f t="shared" si="22"/>
        <v>-5.0000000000181899E-2</v>
      </c>
      <c r="Y37" s="1"/>
      <c r="Z37" s="5">
        <f t="shared" si="23"/>
        <v>-3.3820346320469357E-5</v>
      </c>
    </row>
    <row r="38" spans="1:26" s="24" customFormat="1" hidden="1" outlineLevel="2" x14ac:dyDescent="0.25">
      <c r="A38" s="26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295.67</v>
      </c>
      <c r="E38" s="2"/>
      <c r="F38" s="7">
        <f t="shared" si="16"/>
        <v>0</v>
      </c>
      <c r="G38" s="2"/>
      <c r="H38" s="6">
        <v>295.68</v>
      </c>
      <c r="I38" s="2"/>
      <c r="J38" s="7">
        <f t="shared" si="17"/>
        <v>0</v>
      </c>
      <c r="K38" s="2"/>
      <c r="L38" s="6">
        <f t="shared" si="18"/>
        <v>-9.9999999999909051E-3</v>
      </c>
      <c r="M38" s="2"/>
      <c r="N38" s="7">
        <f t="shared" si="19"/>
        <v>-3.3820346320315563E-5</v>
      </c>
      <c r="O38" s="11"/>
      <c r="P38" s="6">
        <v>1478.35</v>
      </c>
      <c r="Q38" s="2"/>
      <c r="R38" s="7">
        <f t="shared" si="20"/>
        <v>0</v>
      </c>
      <c r="S38" s="2"/>
      <c r="T38" s="6">
        <v>1478.4</v>
      </c>
      <c r="U38" s="2"/>
      <c r="V38" s="7">
        <f t="shared" si="21"/>
        <v>0</v>
      </c>
      <c r="W38" s="2"/>
      <c r="X38" s="6">
        <f t="shared" si="22"/>
        <v>-5.0000000000181899E-2</v>
      </c>
      <c r="Y38" s="2"/>
      <c r="Z38" s="7">
        <f t="shared" si="23"/>
        <v>-3.3820346320469357E-5</v>
      </c>
    </row>
    <row r="39" spans="1:26" s="25" customFormat="1" outlineLevel="1" collapsed="1" x14ac:dyDescent="0.25">
      <c r="A39" s="27"/>
      <c r="B39" s="13" t="str">
        <f>CONCATENATE("     ","General                                           ")</f>
        <v xml:space="preserve">     General                                           </v>
      </c>
      <c r="C39" s="13"/>
      <c r="D39" s="1">
        <f>SUM(OSRRefD22_4x_0)</f>
        <v>173.21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173.21</v>
      </c>
      <c r="M39" s="1"/>
      <c r="N39" s="5">
        <f t="shared" si="19"/>
        <v>0</v>
      </c>
      <c r="O39" s="13"/>
      <c r="P39" s="1">
        <f>SUM(OSRRefP22_4x_0)</f>
        <v>680.38</v>
      </c>
      <c r="Q39" s="1"/>
      <c r="R39" s="5">
        <f t="shared" si="20"/>
        <v>0</v>
      </c>
      <c r="S39" s="1"/>
      <c r="T39" s="1">
        <f>SUM(OSRRefT22_4x_0)</f>
        <v>0</v>
      </c>
      <c r="U39" s="1"/>
      <c r="V39" s="5">
        <f t="shared" si="21"/>
        <v>0</v>
      </c>
      <c r="W39" s="1"/>
      <c r="X39" s="1">
        <f t="shared" si="22"/>
        <v>680.38</v>
      </c>
      <c r="Y39" s="1"/>
      <c r="Z39" s="5">
        <f t="shared" si="23"/>
        <v>0</v>
      </c>
    </row>
    <row r="40" spans="1:26" s="24" customFormat="1" hidden="1" outlineLevel="2" x14ac:dyDescent="0.25">
      <c r="A40" s="26"/>
      <c r="B40" s="11" t="str">
        <f>CONCATENATE("          ", "6279", " - ", "GENERAL EXPENSE")</f>
        <v xml:space="preserve">          6279 - GENERAL EXPENSE</v>
      </c>
      <c r="C40" s="11"/>
      <c r="D40" s="6">
        <v>173.21</v>
      </c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173.21</v>
      </c>
      <c r="M40" s="2"/>
      <c r="N40" s="7">
        <f t="shared" si="19"/>
        <v>0</v>
      </c>
      <c r="O40" s="11"/>
      <c r="P40" s="6">
        <v>680.38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680.38</v>
      </c>
      <c r="Y40" s="2"/>
      <c r="Z40" s="7">
        <f t="shared" si="23"/>
        <v>0</v>
      </c>
    </row>
    <row r="41" spans="1:26" s="25" customFormat="1" outlineLevel="1" collapsed="1" x14ac:dyDescent="0.25">
      <c r="A41" s="27"/>
      <c r="B41" s="13" t="str">
        <f>CONCATENATE("     ","Supplies                                          ")</f>
        <v xml:space="preserve">     Supplies                                          </v>
      </c>
      <c r="C41" s="13"/>
      <c r="D41" s="1">
        <f>SUM(OSRRefD22_5x_0)</f>
        <v>100</v>
      </c>
      <c r="E41" s="1"/>
      <c r="F41" s="5">
        <f t="shared" si="16"/>
        <v>0</v>
      </c>
      <c r="G41" s="1"/>
      <c r="H41" s="1">
        <f>SUM(OSRRefH22_5x_0)</f>
        <v>15.89</v>
      </c>
      <c r="I41" s="1"/>
      <c r="J41" s="5">
        <f t="shared" si="17"/>
        <v>0</v>
      </c>
      <c r="K41" s="1"/>
      <c r="L41" s="1">
        <f t="shared" si="18"/>
        <v>84.11</v>
      </c>
      <c r="M41" s="1"/>
      <c r="N41" s="5">
        <f t="shared" si="19"/>
        <v>5.293266205160478</v>
      </c>
      <c r="O41" s="13"/>
      <c r="P41" s="1">
        <f>SUM(OSRRefP22_5x_0)</f>
        <v>826.1400000000001</v>
      </c>
      <c r="Q41" s="1"/>
      <c r="R41" s="5">
        <f t="shared" si="20"/>
        <v>0</v>
      </c>
      <c r="S41" s="1"/>
      <c r="T41" s="1">
        <f>SUM(OSRRefT22_5x_0)</f>
        <v>486.62</v>
      </c>
      <c r="U41" s="1"/>
      <c r="V41" s="5">
        <f t="shared" si="21"/>
        <v>0</v>
      </c>
      <c r="W41" s="1"/>
      <c r="X41" s="1">
        <f t="shared" si="22"/>
        <v>339.5200000000001</v>
      </c>
      <c r="Y41" s="1"/>
      <c r="Z41" s="5">
        <f t="shared" si="23"/>
        <v>0.69771073938596873</v>
      </c>
    </row>
    <row r="42" spans="1:26" s="24" customFormat="1" hidden="1" outlineLevel="2" x14ac:dyDescent="0.25">
      <c r="A42" s="26"/>
      <c r="B42" s="11" t="str">
        <f>CONCATENATE("          ", "6241", " - ", "OFFICE EXPENSE")</f>
        <v xml:space="preserve">          6241 - OFFICE EXPENSE</v>
      </c>
      <c r="C42" s="11"/>
      <c r="D42" s="6">
        <v>100</v>
      </c>
      <c r="E42" s="2"/>
      <c r="F42" s="7">
        <f t="shared" si="16"/>
        <v>0</v>
      </c>
      <c r="G42" s="2"/>
      <c r="H42" s="6">
        <v>15.89</v>
      </c>
      <c r="I42" s="2"/>
      <c r="J42" s="7">
        <f t="shared" si="17"/>
        <v>0</v>
      </c>
      <c r="K42" s="2"/>
      <c r="L42" s="6">
        <f t="shared" si="18"/>
        <v>84.11</v>
      </c>
      <c r="M42" s="2"/>
      <c r="N42" s="7">
        <f t="shared" si="19"/>
        <v>5.293266205160478</v>
      </c>
      <c r="O42" s="11"/>
      <c r="P42" s="6">
        <v>479.72</v>
      </c>
      <c r="Q42" s="2"/>
      <c r="R42" s="7">
        <f t="shared" si="20"/>
        <v>0</v>
      </c>
      <c r="S42" s="2"/>
      <c r="T42" s="6">
        <v>486.62</v>
      </c>
      <c r="U42" s="2"/>
      <c r="V42" s="7">
        <f t="shared" si="21"/>
        <v>0</v>
      </c>
      <c r="W42" s="2"/>
      <c r="X42" s="6">
        <f t="shared" si="22"/>
        <v>-6.8999999999999773</v>
      </c>
      <c r="Y42" s="2"/>
      <c r="Z42" s="7">
        <f t="shared" si="23"/>
        <v>-1.417944186428831E-2</v>
      </c>
    </row>
    <row r="43" spans="1:26" s="24" customFormat="1" hidden="1" outlineLevel="2" x14ac:dyDescent="0.25">
      <c r="A43" s="26"/>
      <c r="B43" s="11" t="str">
        <f>CONCATENATE("          ", "6245", " - ", "PRINTING")</f>
        <v xml:space="preserve">          6245 - PRINTING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>
        <v>346.42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346.42</v>
      </c>
      <c r="Y43" s="2"/>
      <c r="Z43" s="7">
        <f t="shared" si="23"/>
        <v>0</v>
      </c>
    </row>
    <row r="44" spans="1:26" s="25" customFormat="1" outlineLevel="1" collapsed="1" x14ac:dyDescent="0.25">
      <c r="A44" s="27"/>
      <c r="B44" s="13" t="str">
        <f>CONCATENATE("     ","Telephone/Data Lines                              ")</f>
        <v xml:space="preserve">     Telephone/Data Lines                              </v>
      </c>
      <c r="C44" s="13"/>
      <c r="D44" s="1">
        <f>SUM(OSRRefD22_6x_0)</f>
        <v>72</v>
      </c>
      <c r="E44" s="1"/>
      <c r="F44" s="5">
        <f t="shared" ref="F44:F47" si="24">IF(D$12=0,0,D44/D$12)</f>
        <v>0</v>
      </c>
      <c r="G44" s="1"/>
      <c r="H44" s="1">
        <f>SUM(OSRRefH22_6x_0)</f>
        <v>148.5</v>
      </c>
      <c r="I44" s="1"/>
      <c r="J44" s="5">
        <f t="shared" ref="J44:J47" si="25">IF(H$12=0,0,H44/H$12)</f>
        <v>0</v>
      </c>
      <c r="K44" s="1"/>
      <c r="L44" s="1">
        <f t="shared" ref="L44:L47" si="26">+D44-H44</f>
        <v>-76.5</v>
      </c>
      <c r="M44" s="1"/>
      <c r="N44" s="5">
        <f t="shared" ref="N44:N47" si="27">IF(H44=0,0,L44/H44)</f>
        <v>-0.51515151515151514</v>
      </c>
      <c r="O44" s="13"/>
      <c r="P44" s="1">
        <f>SUM(OSRRefP22_6x_0)</f>
        <v>369.45</v>
      </c>
      <c r="Q44" s="1"/>
      <c r="R44" s="5">
        <f t="shared" ref="R44:R47" si="28">IF(P$12=0,0,P44/P$12)</f>
        <v>0</v>
      </c>
      <c r="S44" s="1"/>
      <c r="T44" s="1">
        <f>SUM(OSRRefT22_6x_0)</f>
        <v>665.6</v>
      </c>
      <c r="U44" s="1"/>
      <c r="V44" s="5">
        <f t="shared" ref="V44:V47" si="29">IF(T$12=0,0,T44/T$12)</f>
        <v>0</v>
      </c>
      <c r="W44" s="1"/>
      <c r="X44" s="1">
        <f t="shared" ref="X44:X47" si="30">+P44-T44</f>
        <v>-296.15000000000003</v>
      </c>
      <c r="Y44" s="1"/>
      <c r="Z44" s="5">
        <f t="shared" ref="Z44:Z47" si="31">IF(T44=0,0,X44/T44)</f>
        <v>-0.44493689903846156</v>
      </c>
    </row>
    <row r="45" spans="1:26" s="24" customFormat="1" hidden="1" outlineLevel="2" x14ac:dyDescent="0.25">
      <c r="A45" s="26"/>
      <c r="B45" s="11" t="str">
        <f>CONCATENATE("          ", "6309", " - ", "TELEPHONE")</f>
        <v xml:space="preserve">          6309 - TELEPHONE</v>
      </c>
      <c r="C45" s="11"/>
      <c r="D45" s="6">
        <v>72</v>
      </c>
      <c r="E45" s="2"/>
      <c r="F45" s="7">
        <f t="shared" si="24"/>
        <v>0</v>
      </c>
      <c r="G45" s="2"/>
      <c r="H45" s="6">
        <v>148.5</v>
      </c>
      <c r="I45" s="2"/>
      <c r="J45" s="7">
        <f t="shared" si="25"/>
        <v>0</v>
      </c>
      <c r="K45" s="2"/>
      <c r="L45" s="6">
        <f t="shared" si="26"/>
        <v>-76.5</v>
      </c>
      <c r="M45" s="2"/>
      <c r="N45" s="7">
        <f t="shared" si="27"/>
        <v>-0.51515151515151514</v>
      </c>
      <c r="O45" s="11"/>
      <c r="P45" s="6">
        <v>369.45</v>
      </c>
      <c r="Q45" s="2"/>
      <c r="R45" s="7">
        <f t="shared" si="28"/>
        <v>0</v>
      </c>
      <c r="S45" s="2"/>
      <c r="T45" s="6">
        <v>665.6</v>
      </c>
      <c r="U45" s="2"/>
      <c r="V45" s="7">
        <f t="shared" si="29"/>
        <v>0</v>
      </c>
      <c r="W45" s="2"/>
      <c r="X45" s="6">
        <f t="shared" si="30"/>
        <v>-296.15000000000003</v>
      </c>
      <c r="Y45" s="2"/>
      <c r="Z45" s="7">
        <f t="shared" si="31"/>
        <v>-0.44493689903846156</v>
      </c>
    </row>
    <row r="46" spans="1:26" s="25" customFormat="1" outlineLevel="1" collapsed="1" x14ac:dyDescent="0.25">
      <c r="A46" s="27"/>
      <c r="B46" s="13" t="str">
        <f>CONCATENATE("     ","Travel                                            ")</f>
        <v xml:space="preserve">     Travel                                            </v>
      </c>
      <c r="C46" s="13"/>
      <c r="D46" s="1">
        <f>SUM(OSRRefD22_7x_0)</f>
        <v>0</v>
      </c>
      <c r="E46" s="1"/>
      <c r="F46" s="5">
        <f t="shared" si="24"/>
        <v>0</v>
      </c>
      <c r="G46" s="1"/>
      <c r="H46" s="1">
        <f>SUM(OSRRefH22_7x_0)</f>
        <v>177.31</v>
      </c>
      <c r="I46" s="1"/>
      <c r="J46" s="5">
        <f t="shared" si="25"/>
        <v>0</v>
      </c>
      <c r="K46" s="1"/>
      <c r="L46" s="1">
        <f t="shared" si="26"/>
        <v>-177.31</v>
      </c>
      <c r="M46" s="1"/>
      <c r="N46" s="5">
        <f t="shared" si="27"/>
        <v>-1</v>
      </c>
      <c r="O46" s="13"/>
      <c r="P46" s="1">
        <f>SUM(OSRRefP22_7x_0)</f>
        <v>118.32</v>
      </c>
      <c r="Q46" s="1"/>
      <c r="R46" s="5">
        <f t="shared" si="28"/>
        <v>0</v>
      </c>
      <c r="S46" s="1"/>
      <c r="T46" s="1">
        <f>SUM(OSRRefT22_7x_0)</f>
        <v>911.23</v>
      </c>
      <c r="U46" s="1"/>
      <c r="V46" s="5">
        <f t="shared" si="29"/>
        <v>0</v>
      </c>
      <c r="W46" s="1"/>
      <c r="X46" s="1">
        <f t="shared" si="30"/>
        <v>-792.91000000000008</v>
      </c>
      <c r="Y46" s="1"/>
      <c r="Z46" s="5">
        <f t="shared" si="31"/>
        <v>-0.8701535287468587</v>
      </c>
    </row>
    <row r="47" spans="1:26" s="24" customFormat="1" hidden="1" outlineLevel="2" x14ac:dyDescent="0.25">
      <c r="A47" s="26"/>
      <c r="B47" s="11" t="str">
        <f>CONCATENATE("          ", "6292", " - ", "TRAVEL/CONFERENCE")</f>
        <v xml:space="preserve">          6292 - TRAVEL/CONFERENCE</v>
      </c>
      <c r="C47" s="11"/>
      <c r="D47" s="6"/>
      <c r="E47" s="2"/>
      <c r="F47" s="7">
        <f t="shared" si="24"/>
        <v>0</v>
      </c>
      <c r="G47" s="2"/>
      <c r="H47" s="6">
        <v>177.31</v>
      </c>
      <c r="I47" s="2"/>
      <c r="J47" s="7">
        <f t="shared" si="25"/>
        <v>0</v>
      </c>
      <c r="K47" s="2"/>
      <c r="L47" s="6">
        <f t="shared" si="26"/>
        <v>-177.31</v>
      </c>
      <c r="M47" s="2"/>
      <c r="N47" s="7">
        <f t="shared" si="27"/>
        <v>-1</v>
      </c>
      <c r="O47" s="11"/>
      <c r="P47" s="6">
        <v>118.32</v>
      </c>
      <c r="Q47" s="2"/>
      <c r="R47" s="7">
        <f t="shared" si="28"/>
        <v>0</v>
      </c>
      <c r="S47" s="2"/>
      <c r="T47" s="6">
        <v>911.23</v>
      </c>
      <c r="U47" s="2"/>
      <c r="V47" s="7">
        <f t="shared" si="29"/>
        <v>0</v>
      </c>
      <c r="W47" s="2"/>
      <c r="X47" s="6">
        <f t="shared" si="30"/>
        <v>-792.91000000000008</v>
      </c>
      <c r="Y47" s="2"/>
      <c r="Z47" s="7">
        <f t="shared" si="31"/>
        <v>-0.8701535287468587</v>
      </c>
    </row>
    <row r="48" spans="1:26" s="53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8" t="s">
        <v>0</v>
      </c>
      <c r="C49" s="10"/>
      <c r="D49" s="4">
        <f>SUM(0)</f>
        <v>0</v>
      </c>
      <c r="E49" s="4"/>
      <c r="F49" s="12">
        <f>IF(D$12=0,0,D49/D$12)</f>
        <v>0</v>
      </c>
      <c r="G49" s="4"/>
      <c r="H49" s="4">
        <f>SUM(0)</f>
        <v>0</v>
      </c>
      <c r="I49" s="4"/>
      <c r="J49" s="12">
        <f>IF(H$12=0,0,H49/H$12)</f>
        <v>0</v>
      </c>
      <c r="K49" s="4"/>
      <c r="L49" s="4">
        <f>+D49-H49</f>
        <v>0</v>
      </c>
      <c r="M49" s="4"/>
      <c r="N49" s="12">
        <f>IF(H49=0,0,L49/H49)</f>
        <v>0</v>
      </c>
      <c r="O49" s="10"/>
      <c r="P49" s="4">
        <f>SUM(0)</f>
        <v>0</v>
      </c>
      <c r="Q49" s="4"/>
      <c r="R49" s="12">
        <f>IF(P$12=0,0,P49/P$12)</f>
        <v>0</v>
      </c>
      <c r="S49" s="4"/>
      <c r="T49" s="4">
        <f>SUM(0)</f>
        <v>0</v>
      </c>
      <c r="U49" s="4"/>
      <c r="V49" s="12">
        <f>IF(T$12=0,0,T49/T$12)</f>
        <v>0</v>
      </c>
      <c r="W49" s="4"/>
      <c r="X49" s="4">
        <f>+P49-T49</f>
        <v>0</v>
      </c>
      <c r="Y49" s="4"/>
      <c r="Z49" s="12">
        <f>IF(T49=0,0,X49/T49)</f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9" t="s">
        <v>3</v>
      </c>
      <c r="C51" s="29"/>
      <c r="D51" s="21">
        <f>+D16-D18+D49</f>
        <v>-6521.0400000000009</v>
      </c>
      <c r="E51" s="14"/>
      <c r="F51" s="20">
        <f>IF(D$12=0,0,D51/D$12)</f>
        <v>0</v>
      </c>
      <c r="G51" s="14"/>
      <c r="H51" s="21">
        <f>+H16-H18+H49</f>
        <v>-6434.2900000000045</v>
      </c>
      <c r="I51" s="14"/>
      <c r="J51" s="20">
        <f>IF(H$12=0,0,H51/H$12)</f>
        <v>0</v>
      </c>
      <c r="K51" s="15"/>
      <c r="L51" s="21">
        <f>+D51-H51</f>
        <v>-86.749999999996362</v>
      </c>
      <c r="M51" s="15"/>
      <c r="N51" s="20">
        <f>IF(H51=0,0,L51/H51)</f>
        <v>1.3482451055205206E-2</v>
      </c>
      <c r="O51" s="28"/>
      <c r="P51" s="21">
        <f>+P16-P18+P49</f>
        <v>-36604.44999999999</v>
      </c>
      <c r="Q51" s="14"/>
      <c r="R51" s="20">
        <f>IF(P$12=0,0,P51/P$12)</f>
        <v>0</v>
      </c>
      <c r="S51" s="14"/>
      <c r="T51" s="21">
        <f>+T16-T18+T49</f>
        <v>-36865.11</v>
      </c>
      <c r="U51" s="14"/>
      <c r="V51" s="20">
        <f>IF(T$12=0,0,T51/T$12)</f>
        <v>0</v>
      </c>
      <c r="W51" s="15"/>
      <c r="X51" s="21">
        <f>+P51-T51</f>
        <v>260.66000000001077</v>
      </c>
      <c r="Y51" s="15"/>
      <c r="Z51" s="20">
        <f>IF(T51=0,0,X51/T51)</f>
        <v>-7.0706421329004791E-3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51"/>
      <c r="B53" s="10" t="s">
        <v>13</v>
      </c>
      <c r="C53" s="10"/>
      <c r="D53" s="4"/>
      <c r="E53" s="4"/>
      <c r="F53" s="12">
        <f>IF(D$12=0,0,D53/D$12)</f>
        <v>0</v>
      </c>
      <c r="G53" s="4"/>
      <c r="H53" s="4"/>
      <c r="I53" s="4"/>
      <c r="J53" s="12">
        <f>IF(H$12=0,0,H53/H$12)</f>
        <v>0</v>
      </c>
      <c r="K53" s="4"/>
      <c r="L53" s="4">
        <f>+D53-H53</f>
        <v>0</v>
      </c>
      <c r="M53" s="4"/>
      <c r="N53" s="12">
        <f>IF(H53=0,0,L53/H53)</f>
        <v>0</v>
      </c>
      <c r="O53" s="10"/>
      <c r="P53" s="4"/>
      <c r="Q53" s="4"/>
      <c r="R53" s="12">
        <f>IF(P$12=0,0,P53/P$12)</f>
        <v>0</v>
      </c>
      <c r="S53" s="4"/>
      <c r="T53" s="4"/>
      <c r="U53" s="4"/>
      <c r="V53" s="12">
        <f>IF(T$12=0,0,T53/T$12)</f>
        <v>0</v>
      </c>
      <c r="W53" s="4"/>
      <c r="X53" s="4">
        <f>+P53-T53</f>
        <v>0</v>
      </c>
      <c r="Y53" s="4"/>
      <c r="Z53" s="12">
        <f>IF(T53=0,0,X53/T53)</f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9" t="s">
        <v>4</v>
      </c>
      <c r="C55" s="29"/>
      <c r="D55" s="31">
        <f>+D51-D53</f>
        <v>-6521.0400000000009</v>
      </c>
      <c r="E55" s="14"/>
      <c r="F55" s="32">
        <f>IF(D$12=0,0,D55/D$12)</f>
        <v>0</v>
      </c>
      <c r="G55" s="14"/>
      <c r="H55" s="31">
        <f>+H51-H53</f>
        <v>-6434.2900000000045</v>
      </c>
      <c r="I55" s="14"/>
      <c r="J55" s="32">
        <f>IF(H$12=0,0,H55/H$12)</f>
        <v>0</v>
      </c>
      <c r="K55" s="15"/>
      <c r="L55" s="31">
        <f>D55-H55</f>
        <v>-86.749999999996362</v>
      </c>
      <c r="M55" s="15"/>
      <c r="N55" s="32">
        <f>IF(H55=0,0,L55/H55)</f>
        <v>1.3482451055205206E-2</v>
      </c>
      <c r="O55" s="28"/>
      <c r="P55" s="31">
        <f>+P51-P53</f>
        <v>-36604.44999999999</v>
      </c>
      <c r="Q55" s="14"/>
      <c r="R55" s="32">
        <f>IF(P$12=0,0,P55/P$12)</f>
        <v>0</v>
      </c>
      <c r="S55" s="14"/>
      <c r="T55" s="31">
        <f>+T51-T53</f>
        <v>-36865.11</v>
      </c>
      <c r="U55" s="14"/>
      <c r="V55" s="32">
        <f>IF(T$12=0,0,T55/T$12)</f>
        <v>0</v>
      </c>
      <c r="W55" s="15"/>
      <c r="X55" s="31">
        <f>P55-T55</f>
        <v>260.66000000001077</v>
      </c>
      <c r="Y55" s="15"/>
      <c r="Z55" s="32">
        <f>IF(T55=0,0,X55/T55)</f>
        <v>-7.0706421329004791E-3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9" t="s">
        <v>5</v>
      </c>
      <c r="C58" s="29"/>
      <c r="D58" s="34">
        <f>SUM(D55:D57)</f>
        <v>-6521.0400000000009</v>
      </c>
      <c r="E58" s="14"/>
      <c r="F58" s="30">
        <f>IF(D$12=0,0,D58/D$12)</f>
        <v>0</v>
      </c>
      <c r="G58" s="14"/>
      <c r="H58" s="34">
        <f>SUM(H55:H57)</f>
        <v>-6434.2900000000045</v>
      </c>
      <c r="I58" s="14"/>
      <c r="J58" s="30">
        <f>IF(H$12=0,0,H58/H$12)</f>
        <v>0</v>
      </c>
      <c r="K58" s="15"/>
      <c r="L58" s="34">
        <f>+D58-H58</f>
        <v>-86.749999999996362</v>
      </c>
      <c r="M58" s="15"/>
      <c r="N58" s="30">
        <f>IF(H58=0,0,L58/H58)</f>
        <v>1.3482451055205206E-2</v>
      </c>
      <c r="O58" s="28"/>
      <c r="P58" s="34">
        <f>SUM(P55:P57)</f>
        <v>-36604.44999999999</v>
      </c>
      <c r="Q58" s="14"/>
      <c r="R58" s="30">
        <f>IF(P$12=0,0,P58/P$12)</f>
        <v>0</v>
      </c>
      <c r="S58" s="14"/>
      <c r="T58" s="34">
        <f>SUM(T55:T57)</f>
        <v>-36865.11</v>
      </c>
      <c r="U58" s="14"/>
      <c r="V58" s="30">
        <f>IF(T$12=0,0,T58/T$12)</f>
        <v>0</v>
      </c>
      <c r="W58" s="15"/>
      <c r="X58" s="34">
        <f>+P58-T58</f>
        <v>260.66000000001077</v>
      </c>
      <c r="Y58" s="15"/>
      <c r="Z58" s="30">
        <f>IF(T58=0,0,X58/T58)</f>
        <v>-7.0706421329004791E-3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9">
        <v>43815.491596759261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62" t="s">
        <v>313</v>
      </c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A62" s="9"/>
      <c r="B62" s="61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7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307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751115.94000000006</v>
      </c>
      <c r="E12" s="4"/>
      <c r="F12" s="12"/>
      <c r="G12" s="4"/>
      <c r="H12" s="4">
        <f>SUM(OSRRefH13x_0)</f>
        <v>601787.00000000012</v>
      </c>
      <c r="I12" s="4"/>
      <c r="J12" s="12"/>
      <c r="K12" s="4"/>
      <c r="L12" s="4">
        <f t="shared" ref="L12:L107" si="0">+D12-H12</f>
        <v>149328.93999999994</v>
      </c>
      <c r="M12" s="4"/>
      <c r="N12" s="12">
        <f t="shared" ref="N12:N107" si="1">IF(H12=0,0,L12/H12)</f>
        <v>0.24814251554121294</v>
      </c>
      <c r="O12" s="10"/>
      <c r="P12" s="4">
        <f>SUM(OSRRefP13x_0)</f>
        <v>6490004.4499999974</v>
      </c>
      <c r="Q12" s="4"/>
      <c r="R12" s="12"/>
      <c r="S12" s="4"/>
      <c r="T12" s="4">
        <f>SUM(OSRRefT13x_0)</f>
        <v>6691823.9199999999</v>
      </c>
      <c r="U12" s="4"/>
      <c r="V12" s="12"/>
      <c r="W12" s="4"/>
      <c r="X12" s="4">
        <f t="shared" ref="X12:X107" si="2">+P12-T12</f>
        <v>-201819.47000000253</v>
      </c>
      <c r="Y12" s="4"/>
      <c r="Z12" s="12">
        <f t="shared" ref="Z12:Z107" si="3">IF(T12=0,0,X12/T12)</f>
        <v>-3.0159112435224168E-2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--8184.69</f>
        <v>8184.69</v>
      </c>
      <c r="E13" s="2"/>
      <c r="F13" s="19"/>
      <c r="G13" s="2"/>
      <c r="H13" s="2">
        <f>--11453.82</f>
        <v>11453.82</v>
      </c>
      <c r="I13" s="2"/>
      <c r="J13" s="19"/>
      <c r="K13" s="2"/>
      <c r="L13" s="2">
        <f t="shared" si="0"/>
        <v>-3269.13</v>
      </c>
      <c r="M13" s="2"/>
      <c r="N13" s="19">
        <f t="shared" si="1"/>
        <v>-0.28541831458849537</v>
      </c>
      <c r="O13" s="11"/>
      <c r="P13" s="2">
        <f>--1503344.43</f>
        <v>1503344.43</v>
      </c>
      <c r="Q13" s="2"/>
      <c r="R13" s="19"/>
      <c r="S13" s="2"/>
      <c r="T13" s="2">
        <f>--1850269.85</f>
        <v>1850269.85</v>
      </c>
      <c r="U13" s="2"/>
      <c r="V13" s="19"/>
      <c r="W13" s="2"/>
      <c r="X13" s="2">
        <f t="shared" si="2"/>
        <v>-346925.42000000016</v>
      </c>
      <c r="Y13" s="2"/>
      <c r="Z13" s="19">
        <f t="shared" si="3"/>
        <v>-0.1874999044058358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--4182.93</f>
        <v>4182.93</v>
      </c>
      <c r="E14" s="2"/>
      <c r="F14" s="19"/>
      <c r="G14" s="2"/>
      <c r="H14" s="2">
        <f>--771.05</f>
        <v>771.05</v>
      </c>
      <c r="I14" s="2"/>
      <c r="J14" s="19"/>
      <c r="K14" s="2"/>
      <c r="L14" s="2">
        <f t="shared" si="0"/>
        <v>3411.88</v>
      </c>
      <c r="M14" s="2"/>
      <c r="N14" s="19">
        <f t="shared" si="1"/>
        <v>4.4249789248427476</v>
      </c>
      <c r="O14" s="11"/>
      <c r="P14" s="2">
        <f>--670479.29</f>
        <v>670479.29</v>
      </c>
      <c r="Q14" s="2"/>
      <c r="R14" s="19"/>
      <c r="S14" s="2"/>
      <c r="T14" s="2">
        <f>--741382.24</f>
        <v>741382.24</v>
      </c>
      <c r="U14" s="2"/>
      <c r="V14" s="19"/>
      <c r="W14" s="2"/>
      <c r="X14" s="2">
        <f t="shared" si="2"/>
        <v>-70902.949999999953</v>
      </c>
      <c r="Y14" s="2"/>
      <c r="Z14" s="19">
        <f t="shared" si="3"/>
        <v>-9.5636159290786296E-2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--15844.66</f>
        <v>15844.66</v>
      </c>
      <c r="Q15" s="2"/>
      <c r="R15" s="19"/>
      <c r="S15" s="2"/>
      <c r="T15" s="2">
        <f>--9944.25</f>
        <v>9944.25</v>
      </c>
      <c r="U15" s="2"/>
      <c r="V15" s="19"/>
      <c r="W15" s="2"/>
      <c r="X15" s="2">
        <f t="shared" si="2"/>
        <v>5900.41</v>
      </c>
      <c r="Y15" s="2"/>
      <c r="Z15" s="19">
        <f t="shared" si="3"/>
        <v>0.59334892023028385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--119.4</f>
        <v>119.4</v>
      </c>
      <c r="E16" s="2"/>
      <c r="F16" s="19"/>
      <c r="G16" s="2"/>
      <c r="H16" s="2">
        <f>--345.04</f>
        <v>345.04</v>
      </c>
      <c r="I16" s="2"/>
      <c r="J16" s="19"/>
      <c r="K16" s="2"/>
      <c r="L16" s="2">
        <f t="shared" si="0"/>
        <v>-225.64000000000001</v>
      </c>
      <c r="M16" s="2"/>
      <c r="N16" s="19">
        <f t="shared" si="1"/>
        <v>-0.65395316485045207</v>
      </c>
      <c r="O16" s="11"/>
      <c r="P16" s="2">
        <f>--30279.88</f>
        <v>30279.88</v>
      </c>
      <c r="Q16" s="2"/>
      <c r="R16" s="19"/>
      <c r="S16" s="2"/>
      <c r="T16" s="2">
        <f>--42625.32</f>
        <v>42625.32</v>
      </c>
      <c r="U16" s="2"/>
      <c r="V16" s="19"/>
      <c r="W16" s="2"/>
      <c r="X16" s="2">
        <f t="shared" si="2"/>
        <v>-12345.439999999999</v>
      </c>
      <c r="Y16" s="2"/>
      <c r="Z16" s="19">
        <f t="shared" si="3"/>
        <v>-0.28962691658385203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>
        <f>--0.08</f>
        <v>0.08</v>
      </c>
      <c r="I17" s="2"/>
      <c r="J17" s="19"/>
      <c r="K17" s="2"/>
      <c r="L17" s="2">
        <f t="shared" si="0"/>
        <v>-0.08</v>
      </c>
      <c r="M17" s="2"/>
      <c r="N17" s="19">
        <f t="shared" si="1"/>
        <v>-1</v>
      </c>
      <c r="O17" s="11"/>
      <c r="P17" s="2">
        <f>--9.6</f>
        <v>9.6</v>
      </c>
      <c r="Q17" s="2"/>
      <c r="R17" s="19"/>
      <c r="S17" s="2"/>
      <c r="T17" s="2">
        <f>--5.31</f>
        <v>5.31</v>
      </c>
      <c r="U17" s="2"/>
      <c r="V17" s="19"/>
      <c r="W17" s="2"/>
      <c r="X17" s="2">
        <f t="shared" si="2"/>
        <v>4.29</v>
      </c>
      <c r="Y17" s="2"/>
      <c r="Z17" s="19">
        <f t="shared" si="3"/>
        <v>0.80790960451977412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--285.33</f>
        <v>285.33</v>
      </c>
      <c r="E18" s="2"/>
      <c r="F18" s="19"/>
      <c r="G18" s="2"/>
      <c r="H18" s="2">
        <f>--647.84</f>
        <v>647.84</v>
      </c>
      <c r="I18" s="2"/>
      <c r="J18" s="19"/>
      <c r="K18" s="2"/>
      <c r="L18" s="2">
        <f t="shared" si="0"/>
        <v>-362.51000000000005</v>
      </c>
      <c r="M18" s="2"/>
      <c r="N18" s="19">
        <f t="shared" si="1"/>
        <v>-0.55956717708076076</v>
      </c>
      <c r="O18" s="11"/>
      <c r="P18" s="2">
        <f>--1112.72</f>
        <v>1112.72</v>
      </c>
      <c r="Q18" s="2"/>
      <c r="R18" s="19"/>
      <c r="S18" s="2"/>
      <c r="T18" s="2">
        <f>--2656.33</f>
        <v>2656.33</v>
      </c>
      <c r="U18" s="2"/>
      <c r="V18" s="19"/>
      <c r="W18" s="2"/>
      <c r="X18" s="2">
        <f t="shared" si="2"/>
        <v>-1543.61</v>
      </c>
      <c r="Y18" s="2"/>
      <c r="Z18" s="19">
        <f t="shared" si="3"/>
        <v>-0.58110626315254499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--189.13</f>
        <v>189.13</v>
      </c>
      <c r="E19" s="2"/>
      <c r="F19" s="19"/>
      <c r="G19" s="2"/>
      <c r="H19" s="2">
        <f>--327.3</f>
        <v>327.3</v>
      </c>
      <c r="I19" s="2"/>
      <c r="J19" s="19"/>
      <c r="K19" s="2"/>
      <c r="L19" s="2">
        <f t="shared" si="0"/>
        <v>-138.17000000000002</v>
      </c>
      <c r="M19" s="2"/>
      <c r="N19" s="19">
        <f t="shared" si="1"/>
        <v>-0.42215093186678893</v>
      </c>
      <c r="O19" s="11"/>
      <c r="P19" s="2">
        <f>--883.35</f>
        <v>883.35</v>
      </c>
      <c r="Q19" s="2"/>
      <c r="R19" s="19"/>
      <c r="S19" s="2"/>
      <c r="T19" s="2">
        <f>--1143.92</f>
        <v>1143.92</v>
      </c>
      <c r="U19" s="2"/>
      <c r="V19" s="19"/>
      <c r="W19" s="2"/>
      <c r="X19" s="2">
        <f t="shared" si="2"/>
        <v>-260.57000000000005</v>
      </c>
      <c r="Y19" s="2"/>
      <c r="Z19" s="19">
        <f t="shared" si="3"/>
        <v>-0.2277869081753969</v>
      </c>
    </row>
    <row r="20" spans="1:26" s="24" customFormat="1" hidden="1" outlineLevel="1" x14ac:dyDescent="0.25">
      <c r="A20" s="44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--5.49</f>
        <v>5.49</v>
      </c>
      <c r="E20" s="2"/>
      <c r="F20" s="19"/>
      <c r="G20" s="2"/>
      <c r="H20" s="2">
        <f>--10.44</f>
        <v>10.44</v>
      </c>
      <c r="I20" s="2"/>
      <c r="J20" s="19"/>
      <c r="K20" s="2"/>
      <c r="L20" s="2">
        <f t="shared" si="0"/>
        <v>-4.9499999999999993</v>
      </c>
      <c r="M20" s="2"/>
      <c r="N20" s="19">
        <f t="shared" si="1"/>
        <v>-0.47413793103448271</v>
      </c>
      <c r="O20" s="11"/>
      <c r="P20" s="2">
        <f>--231.16</f>
        <v>231.16</v>
      </c>
      <c r="Q20" s="2"/>
      <c r="R20" s="19"/>
      <c r="S20" s="2"/>
      <c r="T20" s="2">
        <f>--643.57</f>
        <v>643.57000000000005</v>
      </c>
      <c r="U20" s="2"/>
      <c r="V20" s="19"/>
      <c r="W20" s="2"/>
      <c r="X20" s="2">
        <f t="shared" si="2"/>
        <v>-412.41000000000008</v>
      </c>
      <c r="Y20" s="2"/>
      <c r="Z20" s="19">
        <f t="shared" si="3"/>
        <v>-0.64081607284366904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--277.82</f>
        <v>277.82</v>
      </c>
      <c r="E21" s="2"/>
      <c r="F21" s="19"/>
      <c r="G21" s="2"/>
      <c r="H21" s="2">
        <f>--289.77</f>
        <v>289.77</v>
      </c>
      <c r="I21" s="2"/>
      <c r="J21" s="19"/>
      <c r="K21" s="2"/>
      <c r="L21" s="2">
        <f t="shared" si="0"/>
        <v>-11.949999999999989</v>
      </c>
      <c r="M21" s="2"/>
      <c r="N21" s="19">
        <f t="shared" si="1"/>
        <v>-4.1239603823722229E-2</v>
      </c>
      <c r="O21" s="11"/>
      <c r="P21" s="2">
        <f>--2732.65</f>
        <v>2732.65</v>
      </c>
      <c r="Q21" s="2"/>
      <c r="R21" s="19"/>
      <c r="S21" s="2"/>
      <c r="T21" s="2">
        <f>--3719.55</f>
        <v>3719.55</v>
      </c>
      <c r="U21" s="2"/>
      <c r="V21" s="19"/>
      <c r="W21" s="2"/>
      <c r="X21" s="2">
        <f t="shared" si="2"/>
        <v>-986.90000000000009</v>
      </c>
      <c r="Y21" s="2"/>
      <c r="Z21" s="19">
        <f t="shared" si="3"/>
        <v>-0.26532779502896858</v>
      </c>
    </row>
    <row r="22" spans="1:26" s="24" customFormat="1" hidden="1" outlineLevel="1" x14ac:dyDescent="0.25">
      <c r="A22" s="44"/>
      <c r="B22" s="11" t="str">
        <f>CONCATENATE("          ", "4019", " - ", "TAXABLE SALES-BOOK RELATED")</f>
        <v xml:space="preserve">          4019 - TAXABLE SALES-BOOK RELATED</v>
      </c>
      <c r="C22" s="11"/>
      <c r="D22" s="2">
        <f>--3.98</f>
        <v>3.98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3.98</v>
      </c>
      <c r="M22" s="2"/>
      <c r="N22" s="19">
        <f t="shared" si="1"/>
        <v>0</v>
      </c>
      <c r="O22" s="11"/>
      <c r="P22" s="2">
        <f>--33.88</f>
        <v>33.880000000000003</v>
      </c>
      <c r="Q22" s="2"/>
      <c r="R22" s="19"/>
      <c r="S22" s="2"/>
      <c r="T22" s="2">
        <f>--54.48</f>
        <v>54.48</v>
      </c>
      <c r="U22" s="2"/>
      <c r="V22" s="19"/>
      <c r="W22" s="2"/>
      <c r="X22" s="2">
        <f t="shared" si="2"/>
        <v>-20.599999999999994</v>
      </c>
      <c r="Y22" s="2"/>
      <c r="Z22" s="19">
        <f t="shared" si="3"/>
        <v>-0.37812041116005868</v>
      </c>
    </row>
    <row r="23" spans="1:26" s="24" customFormat="1" hidden="1" outlineLevel="1" x14ac:dyDescent="0.25">
      <c r="A23" s="44"/>
      <c r="B23" s="11" t="str">
        <f>CONCATENATE("          ", "4025", " - ", "TAXABLE SALES-TEST FORMS")</f>
        <v xml:space="preserve">          4025 - TAXABLE SALES-TEST FORMS</v>
      </c>
      <c r="C23" s="11"/>
      <c r="D23" s="2">
        <f>--3212.68</f>
        <v>3212.68</v>
      </c>
      <c r="E23" s="2"/>
      <c r="F23" s="19"/>
      <c r="G23" s="2"/>
      <c r="H23" s="2">
        <f>--2857.44</f>
        <v>2857.44</v>
      </c>
      <c r="I23" s="2"/>
      <c r="J23" s="19"/>
      <c r="K23" s="2"/>
      <c r="L23" s="2">
        <f t="shared" si="0"/>
        <v>355.23999999999978</v>
      </c>
      <c r="M23" s="2"/>
      <c r="N23" s="19">
        <f t="shared" si="1"/>
        <v>0.12432107060865662</v>
      </c>
      <c r="O23" s="11"/>
      <c r="P23" s="2">
        <f>--29544.72</f>
        <v>29544.720000000001</v>
      </c>
      <c r="Q23" s="2"/>
      <c r="R23" s="19"/>
      <c r="S23" s="2"/>
      <c r="T23" s="2">
        <f>--28067.17</f>
        <v>28067.17</v>
      </c>
      <c r="U23" s="2"/>
      <c r="V23" s="19"/>
      <c r="W23" s="2"/>
      <c r="X23" s="2">
        <f t="shared" si="2"/>
        <v>1477.5500000000029</v>
      </c>
      <c r="Y23" s="2"/>
      <c r="Z23" s="19">
        <f t="shared" si="3"/>
        <v>5.2643355208238062E-2</v>
      </c>
    </row>
    <row r="24" spans="1:26" s="24" customFormat="1" hidden="1" outlineLevel="1" x14ac:dyDescent="0.25">
      <c r="A24" s="44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>--6609.41</f>
        <v>6609.41</v>
      </c>
      <c r="E24" s="2"/>
      <c r="F24" s="19"/>
      <c r="G24" s="2"/>
      <c r="H24" s="2">
        <f>--4736.5</f>
        <v>4736.5</v>
      </c>
      <c r="I24" s="2"/>
      <c r="J24" s="19"/>
      <c r="K24" s="2"/>
      <c r="L24" s="2">
        <f t="shared" si="0"/>
        <v>1872.9099999999999</v>
      </c>
      <c r="M24" s="2"/>
      <c r="N24" s="19">
        <f t="shared" si="1"/>
        <v>0.39542066927055841</v>
      </c>
      <c r="O24" s="11"/>
      <c r="P24" s="2">
        <f>--43673.95</f>
        <v>43673.95</v>
      </c>
      <c r="Q24" s="2"/>
      <c r="R24" s="19"/>
      <c r="S24" s="2"/>
      <c r="T24" s="2">
        <f>--37370.84</f>
        <v>37370.839999999997</v>
      </c>
      <c r="U24" s="2"/>
      <c r="V24" s="19"/>
      <c r="W24" s="2"/>
      <c r="X24" s="2">
        <f t="shared" si="2"/>
        <v>6303.1100000000006</v>
      </c>
      <c r="Y24" s="2"/>
      <c r="Z24" s="19">
        <f t="shared" si="3"/>
        <v>0.1686638566326045</v>
      </c>
    </row>
    <row r="25" spans="1:26" s="24" customFormat="1" hidden="1" outlineLevel="1" x14ac:dyDescent="0.25">
      <c r="A25" s="44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--10515.54</f>
        <v>10515.54</v>
      </c>
      <c r="E25" s="2"/>
      <c r="F25" s="19"/>
      <c r="G25" s="2"/>
      <c r="H25" s="2">
        <f>--9293.82</f>
        <v>9293.82</v>
      </c>
      <c r="I25" s="2"/>
      <c r="J25" s="19"/>
      <c r="K25" s="2"/>
      <c r="L25" s="2">
        <f t="shared" si="0"/>
        <v>1221.7200000000012</v>
      </c>
      <c r="M25" s="2"/>
      <c r="N25" s="19">
        <f t="shared" si="1"/>
        <v>0.13145509596699756</v>
      </c>
      <c r="O25" s="11"/>
      <c r="P25" s="2">
        <f>--154789.08</f>
        <v>154789.07999999999</v>
      </c>
      <c r="Q25" s="2"/>
      <c r="R25" s="19"/>
      <c r="S25" s="2"/>
      <c r="T25" s="2">
        <f>--142192.08</f>
        <v>142192.07999999999</v>
      </c>
      <c r="U25" s="2"/>
      <c r="V25" s="19"/>
      <c r="W25" s="2"/>
      <c r="X25" s="2">
        <f t="shared" si="2"/>
        <v>12597</v>
      </c>
      <c r="Y25" s="2"/>
      <c r="Z25" s="19">
        <f t="shared" si="3"/>
        <v>8.8591432096639985E-2</v>
      </c>
    </row>
    <row r="26" spans="1:26" s="24" customFormat="1" hidden="1" outlineLevel="1" x14ac:dyDescent="0.25">
      <c r="A26" s="44"/>
      <c r="B26" s="11" t="str">
        <f>CONCATENATE("          ", "4028", " - ", "TAXABLE SALES-ART/TECH")</f>
        <v xml:space="preserve">          4028 - TAXABLE SALES-ART/TECH</v>
      </c>
      <c r="C26" s="11"/>
      <c r="D26" s="2">
        <f>--29388.04</f>
        <v>29388.04</v>
      </c>
      <c r="E26" s="2"/>
      <c r="F26" s="19"/>
      <c r="G26" s="2"/>
      <c r="H26" s="2">
        <f>--23523.68</f>
        <v>23523.68</v>
      </c>
      <c r="I26" s="2"/>
      <c r="J26" s="19"/>
      <c r="K26" s="2"/>
      <c r="L26" s="2">
        <f t="shared" si="0"/>
        <v>5864.3600000000006</v>
      </c>
      <c r="M26" s="2"/>
      <c r="N26" s="19">
        <f t="shared" si="1"/>
        <v>0.24929602851254568</v>
      </c>
      <c r="O26" s="11"/>
      <c r="P26" s="2">
        <f>--175952.71</f>
        <v>175952.71</v>
      </c>
      <c r="Q26" s="2"/>
      <c r="R26" s="19"/>
      <c r="S26" s="2"/>
      <c r="T26" s="2">
        <f>--178368.48</f>
        <v>178368.48</v>
      </c>
      <c r="U26" s="2"/>
      <c r="V26" s="19"/>
      <c r="W26" s="2"/>
      <c r="X26" s="2">
        <f t="shared" si="2"/>
        <v>-2415.7700000000186</v>
      </c>
      <c r="Y26" s="2"/>
      <c r="Z26" s="19">
        <f t="shared" si="3"/>
        <v>-1.3543704582782892E-2</v>
      </c>
    </row>
    <row r="27" spans="1:26" s="24" customFormat="1" hidden="1" outlineLevel="1" x14ac:dyDescent="0.25">
      <c r="A27" s="44"/>
      <c r="B27" s="11" t="str">
        <f>CONCATENATE("          ", "4031", " - ", "TAXABLE SALES-FOOD")</f>
        <v xml:space="preserve">          4031 - TAXABLE SALES-FOOD</v>
      </c>
      <c r="C27" s="11"/>
      <c r="D27" s="2">
        <f>--58.77</f>
        <v>58.77</v>
      </c>
      <c r="E27" s="2"/>
      <c r="F27" s="19"/>
      <c r="G27" s="2"/>
      <c r="H27" s="2">
        <f>--42.39</f>
        <v>42.39</v>
      </c>
      <c r="I27" s="2"/>
      <c r="J27" s="19"/>
      <c r="K27" s="2"/>
      <c r="L27" s="2">
        <f t="shared" si="0"/>
        <v>16.380000000000003</v>
      </c>
      <c r="M27" s="2"/>
      <c r="N27" s="19">
        <f t="shared" si="1"/>
        <v>0.38641188959660305</v>
      </c>
      <c r="O27" s="11"/>
      <c r="P27" s="2">
        <f>--280.05</f>
        <v>280.05</v>
      </c>
      <c r="Q27" s="2"/>
      <c r="R27" s="19"/>
      <c r="S27" s="2"/>
      <c r="T27" s="2">
        <f>--288.29</f>
        <v>288.29000000000002</v>
      </c>
      <c r="U27" s="2"/>
      <c r="V27" s="19"/>
      <c r="W27" s="2"/>
      <c r="X27" s="2">
        <f t="shared" si="2"/>
        <v>-8.2400000000000091</v>
      </c>
      <c r="Y27" s="2"/>
      <c r="Z27" s="19">
        <f t="shared" si="3"/>
        <v>-2.8582330292413919E-2</v>
      </c>
    </row>
    <row r="28" spans="1:26" s="24" customFormat="1" hidden="1" outlineLevel="1" x14ac:dyDescent="0.25">
      <c r="A28" s="44"/>
      <c r="B28" s="11" t="str">
        <f>CONCATENATE("          ", "4032", " - ", "TAXABLE SALES-JUICE")</f>
        <v xml:space="preserve">          4032 - TAXABLE SALES-JUICE</v>
      </c>
      <c r="C28" s="11"/>
      <c r="D28" s="2">
        <f>--30308.52</f>
        <v>30308.52</v>
      </c>
      <c r="E28" s="2"/>
      <c r="F28" s="19"/>
      <c r="G28" s="2"/>
      <c r="H28" s="2">
        <f>--27815.24</f>
        <v>27815.24</v>
      </c>
      <c r="I28" s="2"/>
      <c r="J28" s="19"/>
      <c r="K28" s="2"/>
      <c r="L28" s="2">
        <f t="shared" si="0"/>
        <v>2493.2799999999988</v>
      </c>
      <c r="M28" s="2"/>
      <c r="N28" s="19">
        <f t="shared" si="1"/>
        <v>8.9637191697788651E-2</v>
      </c>
      <c r="O28" s="11"/>
      <c r="P28" s="2">
        <f>--162176.81</f>
        <v>162176.81</v>
      </c>
      <c r="Q28" s="2"/>
      <c r="R28" s="19"/>
      <c r="S28" s="2"/>
      <c r="T28" s="2">
        <f>--164269.96</f>
        <v>164269.96</v>
      </c>
      <c r="U28" s="2"/>
      <c r="V28" s="19"/>
      <c r="W28" s="2"/>
      <c r="X28" s="2">
        <f t="shared" si="2"/>
        <v>-2093.1499999999942</v>
      </c>
      <c r="Y28" s="2"/>
      <c r="Z28" s="19">
        <f t="shared" si="3"/>
        <v>-1.274213495882019E-2</v>
      </c>
    </row>
    <row r="29" spans="1:26" s="24" customFormat="1" hidden="1" outlineLevel="1" x14ac:dyDescent="0.25">
      <c r="A29" s="44"/>
      <c r="B29" s="11" t="str">
        <f>CONCATENATE("          ", "4033", " - ", "TAXABLE SALES-CANDY")</f>
        <v xml:space="preserve">          4033 - TAXABLE SALES-CANDY</v>
      </c>
      <c r="C29" s="11"/>
      <c r="D29" s="2">
        <f>--23.21</f>
        <v>23.21</v>
      </c>
      <c r="E29" s="2"/>
      <c r="F29" s="19"/>
      <c r="G29" s="2"/>
      <c r="H29" s="2">
        <f>--18.59</f>
        <v>18.59</v>
      </c>
      <c r="I29" s="2"/>
      <c r="J29" s="19"/>
      <c r="K29" s="2"/>
      <c r="L29" s="2">
        <f t="shared" si="0"/>
        <v>4.620000000000001</v>
      </c>
      <c r="M29" s="2"/>
      <c r="N29" s="19">
        <f t="shared" si="1"/>
        <v>0.24852071005917165</v>
      </c>
      <c r="O29" s="11"/>
      <c r="P29" s="2">
        <f>--108.61</f>
        <v>108.61</v>
      </c>
      <c r="Q29" s="2"/>
      <c r="R29" s="19"/>
      <c r="S29" s="2"/>
      <c r="T29" s="2">
        <f>--112.25</f>
        <v>112.25</v>
      </c>
      <c r="U29" s="2"/>
      <c r="V29" s="19"/>
      <c r="W29" s="2"/>
      <c r="X29" s="2">
        <f t="shared" si="2"/>
        <v>-3.6400000000000006</v>
      </c>
      <c r="Y29" s="2"/>
      <c r="Z29" s="19">
        <f t="shared" si="3"/>
        <v>-3.2427616926503346E-2</v>
      </c>
    </row>
    <row r="30" spans="1:26" s="24" customFormat="1" hidden="1" outlineLevel="1" x14ac:dyDescent="0.25">
      <c r="A30" s="44"/>
      <c r="B30" s="11" t="str">
        <f>CONCATENATE("          ", "4034", " - ", "TAXABLE SALES-SODA")</f>
        <v xml:space="preserve">          4034 - TAXABLE SALES-SODA</v>
      </c>
      <c r="C30" s="11"/>
      <c r="D30" s="2">
        <f>--1247.1</f>
        <v>1247.0999999999999</v>
      </c>
      <c r="E30" s="2"/>
      <c r="F30" s="19"/>
      <c r="G30" s="2"/>
      <c r="H30" s="2">
        <f>--862.83</f>
        <v>862.83</v>
      </c>
      <c r="I30" s="2"/>
      <c r="J30" s="19"/>
      <c r="K30" s="2"/>
      <c r="L30" s="2">
        <f t="shared" si="0"/>
        <v>384.26999999999987</v>
      </c>
      <c r="M30" s="2"/>
      <c r="N30" s="19">
        <f t="shared" si="1"/>
        <v>0.44536003616007769</v>
      </c>
      <c r="O30" s="11"/>
      <c r="P30" s="2">
        <f>--6643.42</f>
        <v>6643.42</v>
      </c>
      <c r="Q30" s="2"/>
      <c r="R30" s="19"/>
      <c r="S30" s="2"/>
      <c r="T30" s="2">
        <f>--4882.6</f>
        <v>4882.6000000000004</v>
      </c>
      <c r="U30" s="2"/>
      <c r="V30" s="19"/>
      <c r="W30" s="2"/>
      <c r="X30" s="2">
        <f t="shared" si="2"/>
        <v>1760.8199999999997</v>
      </c>
      <c r="Y30" s="2"/>
      <c r="Z30" s="19">
        <f t="shared" si="3"/>
        <v>0.36063163068856746</v>
      </c>
    </row>
    <row r="31" spans="1:26" s="24" customFormat="1" hidden="1" outlineLevel="1" x14ac:dyDescent="0.25">
      <c r="A31" s="44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>--269.24</f>
        <v>269.24</v>
      </c>
      <c r="E31" s="2"/>
      <c r="F31" s="19"/>
      <c r="G31" s="2"/>
      <c r="H31" s="2">
        <f>--245.92</f>
        <v>245.92</v>
      </c>
      <c r="I31" s="2"/>
      <c r="J31" s="19"/>
      <c r="K31" s="2"/>
      <c r="L31" s="2">
        <f t="shared" si="0"/>
        <v>23.320000000000022</v>
      </c>
      <c r="M31" s="2"/>
      <c r="N31" s="19">
        <f t="shared" si="1"/>
        <v>9.4827586206896644E-2</v>
      </c>
      <c r="O31" s="11"/>
      <c r="P31" s="2">
        <f>--1133.6</f>
        <v>1133.5999999999999</v>
      </c>
      <c r="Q31" s="2"/>
      <c r="R31" s="19"/>
      <c r="S31" s="2"/>
      <c r="T31" s="2">
        <f>--1389.93</f>
        <v>1389.93</v>
      </c>
      <c r="U31" s="2"/>
      <c r="V31" s="19"/>
      <c r="W31" s="2"/>
      <c r="X31" s="2">
        <f t="shared" si="2"/>
        <v>-256.33000000000015</v>
      </c>
      <c r="Y31" s="2"/>
      <c r="Z31" s="19">
        <f t="shared" si="3"/>
        <v>-0.18441935924830757</v>
      </c>
    </row>
    <row r="32" spans="1:26" s="24" customFormat="1" hidden="1" outlineLevel="1" x14ac:dyDescent="0.25">
      <c r="A32" s="44"/>
      <c r="B32" s="11" t="str">
        <f>CONCATENATE("          ", "4037", " - ", "TAXABLE SALES-WATER")</f>
        <v xml:space="preserve">          4037 - TAXABLE SALES-WATER</v>
      </c>
      <c r="C32" s="11"/>
      <c r="D32" s="2">
        <f>--74.6</f>
        <v>74.599999999999994</v>
      </c>
      <c r="E32" s="2"/>
      <c r="F32" s="19"/>
      <c r="G32" s="2"/>
      <c r="H32" s="2">
        <f>--78.77</f>
        <v>78.77</v>
      </c>
      <c r="I32" s="2"/>
      <c r="J32" s="19"/>
      <c r="K32" s="2"/>
      <c r="L32" s="2">
        <f t="shared" si="0"/>
        <v>-4.1700000000000017</v>
      </c>
      <c r="M32" s="2"/>
      <c r="N32" s="19">
        <f t="shared" si="1"/>
        <v>-5.2938936143201748E-2</v>
      </c>
      <c r="O32" s="11"/>
      <c r="P32" s="2">
        <f>--377.17</f>
        <v>377.17</v>
      </c>
      <c r="Q32" s="2"/>
      <c r="R32" s="19"/>
      <c r="S32" s="2"/>
      <c r="T32" s="2">
        <f>--381.85</f>
        <v>381.85</v>
      </c>
      <c r="U32" s="2"/>
      <c r="V32" s="19"/>
      <c r="W32" s="2"/>
      <c r="X32" s="2">
        <f t="shared" si="2"/>
        <v>-4.6800000000000068</v>
      </c>
      <c r="Y32" s="2"/>
      <c r="Z32" s="19">
        <f t="shared" si="3"/>
        <v>-1.2256121513683401E-2</v>
      </c>
    </row>
    <row r="33" spans="1:26" s="24" customFormat="1" hidden="1" outlineLevel="1" x14ac:dyDescent="0.25">
      <c r="A33" s="44"/>
      <c r="B33" s="11" t="str">
        <f>CONCATENATE("          ", "4040", " - ", "TAXABLE SALES-LOGO CLOTHING")</f>
        <v xml:space="preserve">          4040 - TAXABLE SALES-LOGO CLOTHING</v>
      </c>
      <c r="C33" s="11"/>
      <c r="D33" s="2">
        <f>--249896.49</f>
        <v>249896.49</v>
      </c>
      <c r="E33" s="2"/>
      <c r="F33" s="19"/>
      <c r="G33" s="2"/>
      <c r="H33" s="2">
        <f>--194328.13</f>
        <v>194328.13</v>
      </c>
      <c r="I33" s="2"/>
      <c r="J33" s="19"/>
      <c r="K33" s="2"/>
      <c r="L33" s="2">
        <f t="shared" si="0"/>
        <v>55568.359999999986</v>
      </c>
      <c r="M33" s="2"/>
      <c r="N33" s="19">
        <f t="shared" si="1"/>
        <v>0.28595118987662765</v>
      </c>
      <c r="O33" s="11"/>
      <c r="P33" s="2">
        <f>--1098136.94</f>
        <v>1098136.94</v>
      </c>
      <c r="Q33" s="2"/>
      <c r="R33" s="19"/>
      <c r="S33" s="2"/>
      <c r="T33" s="2">
        <f>--912468.46</f>
        <v>912468.46</v>
      </c>
      <c r="U33" s="2"/>
      <c r="V33" s="19"/>
      <c r="W33" s="2"/>
      <c r="X33" s="2">
        <f t="shared" si="2"/>
        <v>185668.47999999998</v>
      </c>
      <c r="Y33" s="2"/>
      <c r="Z33" s="19">
        <f t="shared" si="3"/>
        <v>0.20347933998726925</v>
      </c>
    </row>
    <row r="34" spans="1:26" s="24" customFormat="1" hidden="1" outlineLevel="1" x14ac:dyDescent="0.25">
      <c r="A34" s="44"/>
      <c r="B34" s="11" t="str">
        <f>CONCATENATE("          ", "4041", " - ", "TAXABLE SALES-LOGO GIFTS")</f>
        <v xml:space="preserve">          4041 - TAXABLE SALES-LOGO GIFTS</v>
      </c>
      <c r="C34" s="11"/>
      <c r="D34" s="2">
        <f>--29333.75</f>
        <v>29333.75</v>
      </c>
      <c r="E34" s="2"/>
      <c r="F34" s="19"/>
      <c r="G34" s="2"/>
      <c r="H34" s="2">
        <f>--30125.18</f>
        <v>30125.18</v>
      </c>
      <c r="I34" s="2"/>
      <c r="J34" s="19"/>
      <c r="K34" s="2"/>
      <c r="L34" s="2">
        <f t="shared" si="0"/>
        <v>-791.43000000000029</v>
      </c>
      <c r="M34" s="2"/>
      <c r="N34" s="19">
        <f t="shared" si="1"/>
        <v>-2.6271378295498991E-2</v>
      </c>
      <c r="O34" s="11"/>
      <c r="P34" s="2">
        <f>--258147.65</f>
        <v>258147.65</v>
      </c>
      <c r="Q34" s="2"/>
      <c r="R34" s="19"/>
      <c r="S34" s="2"/>
      <c r="T34" s="2">
        <f>--267149.71</f>
        <v>267149.71000000002</v>
      </c>
      <c r="U34" s="2"/>
      <c r="V34" s="19"/>
      <c r="W34" s="2"/>
      <c r="X34" s="2">
        <f t="shared" si="2"/>
        <v>-9002.0600000000268</v>
      </c>
      <c r="Y34" s="2"/>
      <c r="Z34" s="19">
        <f t="shared" si="3"/>
        <v>-3.3696686401044666E-2</v>
      </c>
    </row>
    <row r="35" spans="1:26" s="24" customFormat="1" hidden="1" outlineLevel="1" x14ac:dyDescent="0.25">
      <c r="A35" s="44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--30667.82</f>
        <v>30667.82</v>
      </c>
      <c r="E35" s="2"/>
      <c r="F35" s="19"/>
      <c r="G35" s="2"/>
      <c r="H35" s="2">
        <f>--20043.59</f>
        <v>20043.59</v>
      </c>
      <c r="I35" s="2"/>
      <c r="J35" s="19"/>
      <c r="K35" s="2"/>
      <c r="L35" s="2">
        <f t="shared" si="0"/>
        <v>10624.23</v>
      </c>
      <c r="M35" s="2"/>
      <c r="N35" s="19">
        <f t="shared" si="1"/>
        <v>0.53005624241964633</v>
      </c>
      <c r="O35" s="11"/>
      <c r="P35" s="2">
        <f>--154978.19</f>
        <v>154978.19</v>
      </c>
      <c r="Q35" s="2"/>
      <c r="R35" s="19"/>
      <c r="S35" s="2"/>
      <c r="T35" s="2">
        <f>--120570.83</f>
        <v>120570.83</v>
      </c>
      <c r="U35" s="2"/>
      <c r="V35" s="19"/>
      <c r="W35" s="2"/>
      <c r="X35" s="2">
        <f t="shared" si="2"/>
        <v>34407.360000000001</v>
      </c>
      <c r="Y35" s="2"/>
      <c r="Z35" s="19">
        <f t="shared" si="3"/>
        <v>0.28537051623514575</v>
      </c>
    </row>
    <row r="36" spans="1:26" s="24" customFormat="1" hidden="1" outlineLevel="1" x14ac:dyDescent="0.25">
      <c r="A36" s="44"/>
      <c r="B36" s="11" t="str">
        <f>CONCATENATE("          ", "4043", " - ", "TAXABLE SALES-CARDS")</f>
        <v xml:space="preserve">          4043 - TAXABLE SALES-CARDS</v>
      </c>
      <c r="C36" s="11"/>
      <c r="D36" s="2">
        <f>--4302.17</f>
        <v>4302.17</v>
      </c>
      <c r="E36" s="2"/>
      <c r="F36" s="19"/>
      <c r="G36" s="2"/>
      <c r="H36" s="2">
        <f>--235.27</f>
        <v>235.27</v>
      </c>
      <c r="I36" s="2"/>
      <c r="J36" s="19"/>
      <c r="K36" s="2"/>
      <c r="L36" s="2">
        <f t="shared" si="0"/>
        <v>4066.9</v>
      </c>
      <c r="M36" s="2"/>
      <c r="N36" s="19">
        <f t="shared" si="1"/>
        <v>17.286096824924556</v>
      </c>
      <c r="O36" s="11"/>
      <c r="P36" s="2">
        <f>--4823.02</f>
        <v>4823.0200000000004</v>
      </c>
      <c r="Q36" s="2"/>
      <c r="R36" s="19"/>
      <c r="S36" s="2"/>
      <c r="T36" s="2">
        <f>--1633.08</f>
        <v>1633.08</v>
      </c>
      <c r="U36" s="2"/>
      <c r="V36" s="19"/>
      <c r="W36" s="2"/>
      <c r="X36" s="2">
        <f t="shared" si="2"/>
        <v>3189.9400000000005</v>
      </c>
      <c r="Y36" s="2"/>
      <c r="Z36" s="19">
        <f t="shared" si="3"/>
        <v>1.9533274548705517</v>
      </c>
    </row>
    <row r="37" spans="1:26" s="24" customFormat="1" hidden="1" outlineLevel="1" x14ac:dyDescent="0.25">
      <c r="A37" s="44"/>
      <c r="B37" s="11" t="str">
        <f>CONCATENATE("          ", "4044", " - ", "TAXABLE SALES-ACCESSORIES")</f>
        <v xml:space="preserve">          4044 - TAXABLE SALES-ACCESSORIES</v>
      </c>
      <c r="C37" s="11"/>
      <c r="D37" s="2">
        <f>--8230.63</f>
        <v>8230.6299999999992</v>
      </c>
      <c r="E37" s="2"/>
      <c r="F37" s="19"/>
      <c r="G37" s="2"/>
      <c r="H37" s="2">
        <f>--4224.97</f>
        <v>4224.97</v>
      </c>
      <c r="I37" s="2"/>
      <c r="J37" s="19"/>
      <c r="K37" s="2"/>
      <c r="L37" s="2">
        <f t="shared" si="0"/>
        <v>4005.6599999999989</v>
      </c>
      <c r="M37" s="2"/>
      <c r="N37" s="19">
        <f t="shared" si="1"/>
        <v>0.94809193911436029</v>
      </c>
      <c r="O37" s="11"/>
      <c r="P37" s="2">
        <f>--41297.78</f>
        <v>41297.78</v>
      </c>
      <c r="Q37" s="2"/>
      <c r="R37" s="19"/>
      <c r="S37" s="2"/>
      <c r="T37" s="2">
        <f>--39724.95</f>
        <v>39724.949999999997</v>
      </c>
      <c r="U37" s="2"/>
      <c r="V37" s="19"/>
      <c r="W37" s="2"/>
      <c r="X37" s="2">
        <f t="shared" si="2"/>
        <v>1572.8300000000017</v>
      </c>
      <c r="Y37" s="2"/>
      <c r="Z37" s="19">
        <f t="shared" si="3"/>
        <v>3.9593001375709772E-2</v>
      </c>
    </row>
    <row r="38" spans="1:26" s="24" customFormat="1" hidden="1" outlineLevel="1" x14ac:dyDescent="0.25">
      <c r="A38" s="44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--18665.34</f>
        <v>18665.34</v>
      </c>
      <c r="E38" s="2"/>
      <c r="F38" s="19"/>
      <c r="G38" s="2"/>
      <c r="H38" s="2">
        <f>--4968.26</f>
        <v>4968.26</v>
      </c>
      <c r="I38" s="2"/>
      <c r="J38" s="19"/>
      <c r="K38" s="2"/>
      <c r="L38" s="2">
        <f t="shared" si="0"/>
        <v>13697.08</v>
      </c>
      <c r="M38" s="2"/>
      <c r="N38" s="19">
        <f t="shared" si="1"/>
        <v>2.7569169085353824</v>
      </c>
      <c r="O38" s="11"/>
      <c r="P38" s="2">
        <f>--54518.44</f>
        <v>54518.44</v>
      </c>
      <c r="Q38" s="2"/>
      <c r="R38" s="19"/>
      <c r="S38" s="2"/>
      <c r="T38" s="2">
        <f>--63163.72</f>
        <v>63163.72</v>
      </c>
      <c r="U38" s="2"/>
      <c r="V38" s="19"/>
      <c r="W38" s="2"/>
      <c r="X38" s="2">
        <f t="shared" si="2"/>
        <v>-8645.2799999999988</v>
      </c>
      <c r="Y38" s="2"/>
      <c r="Z38" s="19">
        <f t="shared" si="3"/>
        <v>-0.13687097593365302</v>
      </c>
    </row>
    <row r="39" spans="1:26" s="24" customFormat="1" hidden="1" outlineLevel="1" x14ac:dyDescent="0.25">
      <c r="A39" s="44"/>
      <c r="B39" s="11" t="str">
        <f>CONCATENATE("          ", "4047", " - ", "TAXABLE SALES-MISC")</f>
        <v xml:space="preserve">          4047 - TAXABLE SALES-MISC</v>
      </c>
      <c r="C39" s="11"/>
      <c r="D39" s="2">
        <f>--304.55</f>
        <v>304.55</v>
      </c>
      <c r="E39" s="2"/>
      <c r="F39" s="19"/>
      <c r="G39" s="2"/>
      <c r="H39" s="2">
        <f>--427.56</f>
        <v>427.56</v>
      </c>
      <c r="I39" s="2"/>
      <c r="J39" s="19"/>
      <c r="K39" s="2"/>
      <c r="L39" s="2">
        <f t="shared" si="0"/>
        <v>-123.00999999999999</v>
      </c>
      <c r="M39" s="2"/>
      <c r="N39" s="19">
        <f t="shared" si="1"/>
        <v>-0.28770231078679015</v>
      </c>
      <c r="O39" s="11"/>
      <c r="P39" s="2">
        <f>--1678.55</f>
        <v>1678.55</v>
      </c>
      <c r="Q39" s="2"/>
      <c r="R39" s="19"/>
      <c r="S39" s="2"/>
      <c r="T39" s="2">
        <f>--1609.41</f>
        <v>1609.41</v>
      </c>
      <c r="U39" s="2"/>
      <c r="V39" s="19"/>
      <c r="W39" s="2"/>
      <c r="X39" s="2">
        <f t="shared" si="2"/>
        <v>69.139999999999873</v>
      </c>
      <c r="Y39" s="2"/>
      <c r="Z39" s="19">
        <f t="shared" si="3"/>
        <v>4.2959842426727728E-2</v>
      </c>
    </row>
    <row r="40" spans="1:26" s="24" customFormat="1" hidden="1" outlineLevel="1" x14ac:dyDescent="0.25">
      <c r="A40" s="44"/>
      <c r="B40" s="11" t="str">
        <f>CONCATENATE("          ", "4051", " - ", "TAXABLE SALES-FOOD")</f>
        <v xml:space="preserve">          4051 - TAXABLE SALES-FOOD</v>
      </c>
      <c r="C40" s="11"/>
      <c r="D40" s="2">
        <f>--17577.92</f>
        <v>17577.919999999998</v>
      </c>
      <c r="E40" s="2"/>
      <c r="F40" s="19"/>
      <c r="G40" s="2"/>
      <c r="H40" s="2">
        <f>--20086.82</f>
        <v>20086.82</v>
      </c>
      <c r="I40" s="2"/>
      <c r="J40" s="19"/>
      <c r="K40" s="2"/>
      <c r="L40" s="2">
        <f t="shared" si="0"/>
        <v>-2508.9000000000015</v>
      </c>
      <c r="M40" s="2"/>
      <c r="N40" s="19">
        <f t="shared" si="1"/>
        <v>-0.12490279695840364</v>
      </c>
      <c r="O40" s="11"/>
      <c r="P40" s="2">
        <f>--91997.19</f>
        <v>91997.19</v>
      </c>
      <c r="Q40" s="2"/>
      <c r="R40" s="19"/>
      <c r="S40" s="2"/>
      <c r="T40" s="2">
        <f>--105710.27</f>
        <v>105710.27</v>
      </c>
      <c r="U40" s="2"/>
      <c r="V40" s="19"/>
      <c r="W40" s="2"/>
      <c r="X40" s="2">
        <f t="shared" si="2"/>
        <v>-13713.080000000002</v>
      </c>
      <c r="Y40" s="2"/>
      <c r="Z40" s="19">
        <f t="shared" si="3"/>
        <v>-0.1297232520548855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--430.76</f>
        <v>430.76</v>
      </c>
      <c r="E41" s="2"/>
      <c r="F41" s="19"/>
      <c r="G41" s="2"/>
      <c r="H41" s="2">
        <f>--382.68</f>
        <v>382.68</v>
      </c>
      <c r="I41" s="2"/>
      <c r="J41" s="19"/>
      <c r="K41" s="2"/>
      <c r="L41" s="2">
        <f t="shared" si="0"/>
        <v>48.079999999999984</v>
      </c>
      <c r="M41" s="2"/>
      <c r="N41" s="19">
        <f t="shared" si="1"/>
        <v>0.12564022159506633</v>
      </c>
      <c r="O41" s="11"/>
      <c r="P41" s="2">
        <f>--2223.67</f>
        <v>2223.67</v>
      </c>
      <c r="Q41" s="2"/>
      <c r="R41" s="19"/>
      <c r="S41" s="2"/>
      <c r="T41" s="2">
        <f>--2582.14</f>
        <v>2582.14</v>
      </c>
      <c r="U41" s="2"/>
      <c r="V41" s="19"/>
      <c r="W41" s="2"/>
      <c r="X41" s="2">
        <f t="shared" si="2"/>
        <v>-358.4699999999998</v>
      </c>
      <c r="Y41" s="2"/>
      <c r="Z41" s="19">
        <f t="shared" si="3"/>
        <v>-0.13882670962844765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0</f>
        <v>0</v>
      </c>
      <c r="E42" s="2"/>
      <c r="F42" s="19"/>
      <c r="G42" s="2"/>
      <c r="H42" s="2">
        <f>--58</f>
        <v>58</v>
      </c>
      <c r="I42" s="2"/>
      <c r="J42" s="19"/>
      <c r="K42" s="2"/>
      <c r="L42" s="2">
        <f t="shared" si="0"/>
        <v>-58</v>
      </c>
      <c r="M42" s="2"/>
      <c r="N42" s="19">
        <f t="shared" si="1"/>
        <v>-1</v>
      </c>
      <c r="O42" s="11"/>
      <c r="P42" s="2">
        <f>--162</f>
        <v>162</v>
      </c>
      <c r="Q42" s="2"/>
      <c r="R42" s="19"/>
      <c r="S42" s="2"/>
      <c r="T42" s="2">
        <f>--366</f>
        <v>366</v>
      </c>
      <c r="U42" s="2"/>
      <c r="V42" s="19"/>
      <c r="W42" s="2"/>
      <c r="X42" s="2">
        <f t="shared" si="2"/>
        <v>-204</v>
      </c>
      <c r="Y42" s="2"/>
      <c r="Z42" s="19">
        <f t="shared" si="3"/>
        <v>-0.55737704918032782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--139.91</f>
        <v>139.91</v>
      </c>
      <c r="E43" s="2"/>
      <c r="F43" s="19"/>
      <c r="G43" s="2"/>
      <c r="H43" s="2">
        <f>--49.95</f>
        <v>49.95</v>
      </c>
      <c r="I43" s="2"/>
      <c r="J43" s="19"/>
      <c r="K43" s="2"/>
      <c r="L43" s="2">
        <f t="shared" si="0"/>
        <v>89.96</v>
      </c>
      <c r="M43" s="2"/>
      <c r="N43" s="19">
        <f t="shared" si="1"/>
        <v>1.8010010010010007</v>
      </c>
      <c r="O43" s="11"/>
      <c r="P43" s="2">
        <f>--569.6</f>
        <v>569.6</v>
      </c>
      <c r="Q43" s="2"/>
      <c r="R43" s="19"/>
      <c r="S43" s="2"/>
      <c r="T43" s="2">
        <f>--689.44</f>
        <v>689.44</v>
      </c>
      <c r="U43" s="2"/>
      <c r="V43" s="19"/>
      <c r="W43" s="2"/>
      <c r="X43" s="2">
        <f t="shared" si="2"/>
        <v>-119.84000000000003</v>
      </c>
      <c r="Y43" s="2"/>
      <c r="Z43" s="19">
        <f t="shared" si="3"/>
        <v>-0.17382223253655144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--105</f>
        <v>105</v>
      </c>
      <c r="E44" s="2"/>
      <c r="F44" s="19"/>
      <c r="G44" s="2"/>
      <c r="H44" s="2">
        <f>--124.91</f>
        <v>124.91</v>
      </c>
      <c r="I44" s="2"/>
      <c r="J44" s="19"/>
      <c r="K44" s="2"/>
      <c r="L44" s="2">
        <f t="shared" si="0"/>
        <v>-19.909999999999997</v>
      </c>
      <c r="M44" s="2"/>
      <c r="N44" s="19">
        <f t="shared" si="1"/>
        <v>-0.15939476423024576</v>
      </c>
      <c r="O44" s="11"/>
      <c r="P44" s="2">
        <f>--639.79</f>
        <v>639.79</v>
      </c>
      <c r="Q44" s="2"/>
      <c r="R44" s="19"/>
      <c r="S44" s="2"/>
      <c r="T44" s="2">
        <f>--1095.4</f>
        <v>1095.4000000000001</v>
      </c>
      <c r="U44" s="2"/>
      <c r="V44" s="19"/>
      <c r="W44" s="2"/>
      <c r="X44" s="2">
        <f t="shared" si="2"/>
        <v>-455.61000000000013</v>
      </c>
      <c r="Y44" s="2"/>
      <c r="Z44" s="19">
        <f t="shared" si="3"/>
        <v>-0.41593025378857046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>--2389.54</f>
        <v>2389.54</v>
      </c>
      <c r="E45" s="2"/>
      <c r="F45" s="19"/>
      <c r="G45" s="2"/>
      <c r="H45" s="2">
        <f>--2259.21</f>
        <v>2259.21</v>
      </c>
      <c r="I45" s="2"/>
      <c r="J45" s="19"/>
      <c r="K45" s="2"/>
      <c r="L45" s="2">
        <f t="shared" si="0"/>
        <v>130.32999999999993</v>
      </c>
      <c r="M45" s="2"/>
      <c r="N45" s="19">
        <f t="shared" si="1"/>
        <v>5.768830697456187E-2</v>
      </c>
      <c r="O45" s="11"/>
      <c r="P45" s="2">
        <f>--7440.62</f>
        <v>7440.62</v>
      </c>
      <c r="Q45" s="2"/>
      <c r="R45" s="19"/>
      <c r="S45" s="2"/>
      <c r="T45" s="2">
        <f>--6626.46</f>
        <v>6626.46</v>
      </c>
      <c r="U45" s="2"/>
      <c r="V45" s="19"/>
      <c r="W45" s="2"/>
      <c r="X45" s="2">
        <f t="shared" si="2"/>
        <v>814.15999999999985</v>
      </c>
      <c r="Y45" s="2"/>
      <c r="Z45" s="19">
        <f t="shared" si="3"/>
        <v>0.12286499880780988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>--31.83</f>
        <v>31.83</v>
      </c>
      <c r="E46" s="2"/>
      <c r="F46" s="19"/>
      <c r="G46" s="2"/>
      <c r="H46" s="2">
        <f>--138.7</f>
        <v>138.69999999999999</v>
      </c>
      <c r="I46" s="2"/>
      <c r="J46" s="19"/>
      <c r="K46" s="2"/>
      <c r="L46" s="2">
        <f t="shared" si="0"/>
        <v>-106.86999999999999</v>
      </c>
      <c r="M46" s="2"/>
      <c r="N46" s="19">
        <f t="shared" si="1"/>
        <v>-0.77051189617880311</v>
      </c>
      <c r="O46" s="11"/>
      <c r="P46" s="2">
        <f>--276.44</f>
        <v>276.44</v>
      </c>
      <c r="Q46" s="2"/>
      <c r="R46" s="19"/>
      <c r="S46" s="2"/>
      <c r="T46" s="2">
        <f>--1237.64</f>
        <v>1237.6400000000001</v>
      </c>
      <c r="U46" s="2"/>
      <c r="V46" s="19"/>
      <c r="W46" s="2"/>
      <c r="X46" s="2">
        <f t="shared" si="2"/>
        <v>-961.2</v>
      </c>
      <c r="Y46" s="2"/>
      <c r="Z46" s="19">
        <f t="shared" si="3"/>
        <v>-0.77663941049093432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--458.89</f>
        <v>458.89</v>
      </c>
      <c r="E47" s="2"/>
      <c r="F47" s="19"/>
      <c r="G47" s="2"/>
      <c r="H47" s="2">
        <f>--429.98</f>
        <v>429.98</v>
      </c>
      <c r="I47" s="2"/>
      <c r="J47" s="19"/>
      <c r="K47" s="2"/>
      <c r="L47" s="2">
        <f t="shared" si="0"/>
        <v>28.909999999999968</v>
      </c>
      <c r="M47" s="2"/>
      <c r="N47" s="19">
        <f t="shared" si="1"/>
        <v>6.723568538071531E-2</v>
      </c>
      <c r="O47" s="11"/>
      <c r="P47" s="2">
        <f>--335840.56</f>
        <v>335840.56</v>
      </c>
      <c r="Q47" s="2"/>
      <c r="R47" s="19"/>
      <c r="S47" s="2"/>
      <c r="T47" s="2">
        <f>--390740.27</f>
        <v>390740.27</v>
      </c>
      <c r="U47" s="2"/>
      <c r="V47" s="19"/>
      <c r="W47" s="2"/>
      <c r="X47" s="2">
        <f t="shared" si="2"/>
        <v>-54899.710000000021</v>
      </c>
      <c r="Y47" s="2"/>
      <c r="Z47" s="19">
        <f t="shared" si="3"/>
        <v>-0.14050179675619309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--349.66</f>
        <v>349.66</v>
      </c>
      <c r="E48" s="2"/>
      <c r="F48" s="19"/>
      <c r="G48" s="2"/>
      <c r="H48" s="2">
        <f>--643.05</f>
        <v>643.04999999999995</v>
      </c>
      <c r="I48" s="2"/>
      <c r="J48" s="19"/>
      <c r="K48" s="2"/>
      <c r="L48" s="2">
        <f t="shared" si="0"/>
        <v>-293.38999999999993</v>
      </c>
      <c r="M48" s="2"/>
      <c r="N48" s="19">
        <f t="shared" si="1"/>
        <v>-0.45624757017339235</v>
      </c>
      <c r="O48" s="11"/>
      <c r="P48" s="2">
        <f>--92680.75</f>
        <v>92680.75</v>
      </c>
      <c r="Q48" s="2"/>
      <c r="R48" s="19"/>
      <c r="S48" s="2"/>
      <c r="T48" s="2">
        <f>--148652.33</f>
        <v>148652.32999999999</v>
      </c>
      <c r="U48" s="2"/>
      <c r="V48" s="19"/>
      <c r="W48" s="2"/>
      <c r="X48" s="2">
        <f t="shared" si="2"/>
        <v>-55971.579999999987</v>
      </c>
      <c r="Y48" s="2"/>
      <c r="Z48" s="19">
        <f t="shared" si="3"/>
        <v>-0.37652675878003389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--584.52</f>
        <v>584.52</v>
      </c>
      <c r="E49" s="2"/>
      <c r="F49" s="19"/>
      <c r="G49" s="2"/>
      <c r="H49" s="2">
        <f>--365.45</f>
        <v>365.45</v>
      </c>
      <c r="I49" s="2"/>
      <c r="J49" s="19"/>
      <c r="K49" s="2"/>
      <c r="L49" s="2">
        <f t="shared" si="0"/>
        <v>219.07</v>
      </c>
      <c r="M49" s="2"/>
      <c r="N49" s="19">
        <f t="shared" si="1"/>
        <v>0.59945272951156114</v>
      </c>
      <c r="O49" s="11"/>
      <c r="P49" s="2">
        <f>--37606.84</f>
        <v>37606.839999999997</v>
      </c>
      <c r="Q49" s="2"/>
      <c r="R49" s="19"/>
      <c r="S49" s="2"/>
      <c r="T49" s="2">
        <f>--50860.62</f>
        <v>50860.62</v>
      </c>
      <c r="U49" s="2"/>
      <c r="V49" s="19"/>
      <c r="W49" s="2"/>
      <c r="X49" s="2">
        <f t="shared" si="2"/>
        <v>-13253.780000000006</v>
      </c>
      <c r="Y49" s="2"/>
      <c r="Z49" s="19">
        <f t="shared" si="3"/>
        <v>-0.2605902169497738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--329.98</f>
        <v>329.98</v>
      </c>
      <c r="Q50" s="2"/>
      <c r="R50" s="19"/>
      <c r="S50" s="2"/>
      <c r="T50" s="2">
        <f>--509.85</f>
        <v>509.85</v>
      </c>
      <c r="U50" s="2"/>
      <c r="V50" s="19"/>
      <c r="W50" s="2"/>
      <c r="X50" s="2">
        <f t="shared" si="2"/>
        <v>-179.87</v>
      </c>
      <c r="Y50" s="2"/>
      <c r="Z50" s="19">
        <f t="shared" si="3"/>
        <v>-0.35279003628518191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--206.24</f>
        <v>206.24</v>
      </c>
      <c r="E51" s="2"/>
      <c r="F51" s="19"/>
      <c r="G51" s="2"/>
      <c r="H51" s="2">
        <f>--397.48</f>
        <v>397.48</v>
      </c>
      <c r="I51" s="2"/>
      <c r="J51" s="19"/>
      <c r="K51" s="2"/>
      <c r="L51" s="2">
        <f t="shared" si="0"/>
        <v>-191.24</v>
      </c>
      <c r="M51" s="2"/>
      <c r="N51" s="19">
        <f t="shared" si="1"/>
        <v>-0.48113112609439468</v>
      </c>
      <c r="O51" s="11"/>
      <c r="P51" s="2">
        <f>--320699.09</f>
        <v>320699.09000000003</v>
      </c>
      <c r="Q51" s="2"/>
      <c r="R51" s="19"/>
      <c r="S51" s="2"/>
      <c r="T51" s="2">
        <f>--337723.61</f>
        <v>337723.61</v>
      </c>
      <c r="U51" s="2"/>
      <c r="V51" s="19"/>
      <c r="W51" s="2"/>
      <c r="X51" s="2">
        <f t="shared" si="2"/>
        <v>-17024.51999999996</v>
      </c>
      <c r="Y51" s="2"/>
      <c r="Z51" s="19">
        <f t="shared" si="3"/>
        <v>-5.0409623419576624E-2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--492.72</f>
        <v>492.72</v>
      </c>
      <c r="E52" s="2"/>
      <c r="F52" s="19"/>
      <c r="G52" s="2"/>
      <c r="H52" s="2">
        <f>--204.07</f>
        <v>204.07</v>
      </c>
      <c r="I52" s="2"/>
      <c r="J52" s="19"/>
      <c r="K52" s="2"/>
      <c r="L52" s="2">
        <f t="shared" si="0"/>
        <v>288.65000000000003</v>
      </c>
      <c r="M52" s="2"/>
      <c r="N52" s="19">
        <f t="shared" si="1"/>
        <v>1.4144656245405991</v>
      </c>
      <c r="O52" s="11"/>
      <c r="P52" s="2">
        <f>--7592.19</f>
        <v>7592.19</v>
      </c>
      <c r="Q52" s="2"/>
      <c r="R52" s="19"/>
      <c r="S52" s="2"/>
      <c r="T52" s="2">
        <f>--9917.98</f>
        <v>9917.98</v>
      </c>
      <c r="U52" s="2"/>
      <c r="V52" s="19"/>
      <c r="W52" s="2"/>
      <c r="X52" s="2">
        <f t="shared" si="2"/>
        <v>-2325.79</v>
      </c>
      <c r="Y52" s="2"/>
      <c r="Z52" s="19">
        <f t="shared" si="3"/>
        <v>-0.23450238859122524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0</f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--1146.72</f>
        <v>1146.72</v>
      </c>
      <c r="Q53" s="2"/>
      <c r="R53" s="19"/>
      <c r="S53" s="2"/>
      <c r="T53" s="2">
        <f>--38.23</f>
        <v>38.229999999999997</v>
      </c>
      <c r="U53" s="2"/>
      <c r="V53" s="19"/>
      <c r="W53" s="2"/>
      <c r="X53" s="2">
        <f t="shared" si="2"/>
        <v>1108.49</v>
      </c>
      <c r="Y53" s="2"/>
      <c r="Z53" s="19">
        <f t="shared" si="3"/>
        <v>28.995291655767723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--14.04</f>
        <v>14.04</v>
      </c>
      <c r="E54" s="2"/>
      <c r="F54" s="19"/>
      <c r="G54" s="2"/>
      <c r="H54" s="2">
        <f>--10.34</f>
        <v>10.34</v>
      </c>
      <c r="I54" s="2"/>
      <c r="J54" s="19"/>
      <c r="K54" s="2"/>
      <c r="L54" s="2">
        <f t="shared" si="0"/>
        <v>3.6999999999999993</v>
      </c>
      <c r="M54" s="2"/>
      <c r="N54" s="19">
        <f t="shared" si="1"/>
        <v>0.35783365570599607</v>
      </c>
      <c r="O54" s="11"/>
      <c r="P54" s="2">
        <f>--34.96</f>
        <v>34.96</v>
      </c>
      <c r="Q54" s="2"/>
      <c r="R54" s="19"/>
      <c r="S54" s="2"/>
      <c r="T54" s="2">
        <f>--121.75</f>
        <v>121.75</v>
      </c>
      <c r="U54" s="2"/>
      <c r="V54" s="19"/>
      <c r="W54" s="2"/>
      <c r="X54" s="2">
        <f t="shared" si="2"/>
        <v>-86.789999999999992</v>
      </c>
      <c r="Y54" s="2"/>
      <c r="Z54" s="19">
        <f t="shared" si="3"/>
        <v>-0.7128542094455852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>0</f>
        <v>0</v>
      </c>
      <c r="E55" s="2"/>
      <c r="F55" s="19"/>
      <c r="G55" s="2"/>
      <c r="H55" s="2">
        <f>0</f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--124.18</f>
        <v>124.18</v>
      </c>
      <c r="Q55" s="2"/>
      <c r="R55" s="19"/>
      <c r="S55" s="2"/>
      <c r="T55" s="2">
        <f>--160.73</f>
        <v>160.72999999999999</v>
      </c>
      <c r="U55" s="2"/>
      <c r="V55" s="19"/>
      <c r="W55" s="2"/>
      <c r="X55" s="2">
        <f t="shared" si="2"/>
        <v>-36.549999999999983</v>
      </c>
      <c r="Y55" s="2"/>
      <c r="Z55" s="19">
        <f t="shared" si="3"/>
        <v>-0.22739998755677213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--11.85</f>
        <v>11.85</v>
      </c>
      <c r="E56" s="2"/>
      <c r="F56" s="19"/>
      <c r="G56" s="2"/>
      <c r="H56" s="2">
        <f>--20.81</f>
        <v>20.81</v>
      </c>
      <c r="I56" s="2"/>
      <c r="J56" s="19"/>
      <c r="K56" s="2"/>
      <c r="L56" s="2">
        <f t="shared" si="0"/>
        <v>-8.9599999999999991</v>
      </c>
      <c r="M56" s="2"/>
      <c r="N56" s="19">
        <f t="shared" si="1"/>
        <v>-0.43056222969726093</v>
      </c>
      <c r="O56" s="11"/>
      <c r="P56" s="2">
        <f>--1470.38</f>
        <v>1470.38</v>
      </c>
      <c r="Q56" s="2"/>
      <c r="R56" s="19"/>
      <c r="S56" s="2"/>
      <c r="T56" s="2">
        <f>--1812.69</f>
        <v>1812.69</v>
      </c>
      <c r="U56" s="2"/>
      <c r="V56" s="19"/>
      <c r="W56" s="2"/>
      <c r="X56" s="2">
        <f t="shared" si="2"/>
        <v>-342.30999999999995</v>
      </c>
      <c r="Y56" s="2"/>
      <c r="Z56" s="19">
        <f t="shared" si="3"/>
        <v>-0.18884089392008557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--6.28</f>
        <v>6.28</v>
      </c>
      <c r="E57" s="2"/>
      <c r="F57" s="19"/>
      <c r="G57" s="2"/>
      <c r="H57" s="2">
        <f>--2449.78</f>
        <v>2449.7800000000002</v>
      </c>
      <c r="I57" s="2"/>
      <c r="J57" s="19"/>
      <c r="K57" s="2"/>
      <c r="L57" s="2">
        <f t="shared" si="0"/>
        <v>-2443.5</v>
      </c>
      <c r="M57" s="2"/>
      <c r="N57" s="19">
        <f t="shared" si="1"/>
        <v>-0.99743650450244503</v>
      </c>
      <c r="O57" s="11"/>
      <c r="P57" s="2">
        <f>--2603.4</f>
        <v>2603.4</v>
      </c>
      <c r="Q57" s="2"/>
      <c r="R57" s="19"/>
      <c r="S57" s="2"/>
      <c r="T57" s="2">
        <f>--8725.3</f>
        <v>8725.2999999999993</v>
      </c>
      <c r="U57" s="2"/>
      <c r="V57" s="19"/>
      <c r="W57" s="2"/>
      <c r="X57" s="2">
        <f t="shared" si="2"/>
        <v>-6121.9</v>
      </c>
      <c r="Y57" s="2"/>
      <c r="Z57" s="19">
        <f t="shared" si="3"/>
        <v>-0.70162630511271817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0</f>
        <v>0</v>
      </c>
      <c r="E58" s="2"/>
      <c r="F58" s="19"/>
      <c r="G58" s="2"/>
      <c r="H58" s="2">
        <f>--1.49</f>
        <v>1.49</v>
      </c>
      <c r="I58" s="2"/>
      <c r="J58" s="19"/>
      <c r="K58" s="2"/>
      <c r="L58" s="2">
        <f t="shared" si="0"/>
        <v>-1.49</v>
      </c>
      <c r="M58" s="2"/>
      <c r="N58" s="19">
        <f t="shared" si="1"/>
        <v>-1</v>
      </c>
      <c r="O58" s="11"/>
      <c r="P58" s="2">
        <f>--348.72</f>
        <v>348.72</v>
      </c>
      <c r="Q58" s="2"/>
      <c r="R58" s="19"/>
      <c r="S58" s="2"/>
      <c r="T58" s="2">
        <f>--625.7</f>
        <v>625.70000000000005</v>
      </c>
      <c r="U58" s="2"/>
      <c r="V58" s="19"/>
      <c r="W58" s="2"/>
      <c r="X58" s="2">
        <f t="shared" si="2"/>
        <v>-276.98</v>
      </c>
      <c r="Y58" s="2"/>
      <c r="Z58" s="19">
        <f t="shared" si="3"/>
        <v>-0.44267220712801664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--8305.09</f>
        <v>8305.09</v>
      </c>
      <c r="E59" s="2"/>
      <c r="F59" s="19"/>
      <c r="G59" s="2"/>
      <c r="H59" s="2">
        <f>--6730.02</f>
        <v>6730.02</v>
      </c>
      <c r="I59" s="2"/>
      <c r="J59" s="19"/>
      <c r="K59" s="2"/>
      <c r="L59" s="2">
        <f t="shared" si="0"/>
        <v>1575.0699999999997</v>
      </c>
      <c r="M59" s="2"/>
      <c r="N59" s="19">
        <f t="shared" si="1"/>
        <v>0.23403645160044095</v>
      </c>
      <c r="O59" s="11"/>
      <c r="P59" s="2">
        <f>--35027.51</f>
        <v>35027.51</v>
      </c>
      <c r="Q59" s="2"/>
      <c r="R59" s="19"/>
      <c r="S59" s="2"/>
      <c r="T59" s="2">
        <f>--33524.19</f>
        <v>33524.19</v>
      </c>
      <c r="U59" s="2"/>
      <c r="V59" s="19"/>
      <c r="W59" s="2"/>
      <c r="X59" s="2">
        <f t="shared" si="2"/>
        <v>1503.3199999999997</v>
      </c>
      <c r="Y59" s="2"/>
      <c r="Z59" s="19">
        <f t="shared" si="3"/>
        <v>4.4842843331934334E-2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>--142472.34</f>
        <v>142472.34</v>
      </c>
      <c r="E60" s="2"/>
      <c r="F60" s="19"/>
      <c r="G60" s="2"/>
      <c r="H60" s="2">
        <f>--108554.48</f>
        <v>108554.48</v>
      </c>
      <c r="I60" s="2"/>
      <c r="J60" s="19"/>
      <c r="K60" s="2"/>
      <c r="L60" s="2">
        <f t="shared" si="0"/>
        <v>33917.86</v>
      </c>
      <c r="M60" s="2"/>
      <c r="N60" s="19">
        <f t="shared" si="1"/>
        <v>0.31245011721303445</v>
      </c>
      <c r="O60" s="11"/>
      <c r="P60" s="2">
        <f>--665344.79</f>
        <v>665344.79</v>
      </c>
      <c r="Q60" s="2"/>
      <c r="R60" s="19"/>
      <c r="S60" s="2"/>
      <c r="T60" s="2">
        <f>--594487.8</f>
        <v>594487.80000000005</v>
      </c>
      <c r="U60" s="2"/>
      <c r="V60" s="19"/>
      <c r="W60" s="2"/>
      <c r="X60" s="2">
        <f t="shared" si="2"/>
        <v>70856.989999999991</v>
      </c>
      <c r="Y60" s="2"/>
      <c r="Z60" s="19">
        <f t="shared" si="3"/>
        <v>0.1191899816951668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>--2349.7</f>
        <v>2349.6999999999998</v>
      </c>
      <c r="E61" s="2"/>
      <c r="F61" s="19"/>
      <c r="G61" s="2"/>
      <c r="H61" s="2">
        <f>--1690.3</f>
        <v>1690.3</v>
      </c>
      <c r="I61" s="2"/>
      <c r="J61" s="19"/>
      <c r="K61" s="2"/>
      <c r="L61" s="2">
        <f t="shared" si="0"/>
        <v>659.39999999999986</v>
      </c>
      <c r="M61" s="2"/>
      <c r="N61" s="19">
        <f t="shared" si="1"/>
        <v>0.39010826480506411</v>
      </c>
      <c r="O61" s="11"/>
      <c r="P61" s="2">
        <f>--10816.56</f>
        <v>10816.56</v>
      </c>
      <c r="Q61" s="2"/>
      <c r="R61" s="19"/>
      <c r="S61" s="2"/>
      <c r="T61" s="2">
        <f>--8906.29</f>
        <v>8906.2900000000009</v>
      </c>
      <c r="U61" s="2"/>
      <c r="V61" s="19"/>
      <c r="W61" s="2"/>
      <c r="X61" s="2">
        <f t="shared" si="2"/>
        <v>1910.2699999999986</v>
      </c>
      <c r="Y61" s="2"/>
      <c r="Z61" s="19">
        <f t="shared" si="3"/>
        <v>0.21448549283708462</v>
      </c>
    </row>
    <row r="62" spans="1:26" s="24" customFormat="1" hidden="1" outlineLevel="1" x14ac:dyDescent="0.25">
      <c r="A62" s="44"/>
      <c r="B62" s="11" t="str">
        <f>CONCATENATE("          ", "4134", " - ", "NON-TAXABLE SALES-SODA")</f>
        <v xml:space="preserve">          4134 - NON-TAXABLE SALES-SODA</v>
      </c>
      <c r="C62" s="11"/>
      <c r="D62" s="2">
        <f>0</f>
        <v>0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--0.39</f>
        <v>0.39</v>
      </c>
      <c r="Q62" s="2"/>
      <c r="R62" s="19"/>
      <c r="S62" s="2"/>
      <c r="T62" s="2">
        <f>--163.41</f>
        <v>163.41</v>
      </c>
      <c r="U62" s="2"/>
      <c r="V62" s="19"/>
      <c r="W62" s="2"/>
      <c r="X62" s="2">
        <f t="shared" si="2"/>
        <v>-163.02000000000001</v>
      </c>
      <c r="Y62" s="2"/>
      <c r="Z62" s="19">
        <f t="shared" si="3"/>
        <v>-0.99761336515513133</v>
      </c>
    </row>
    <row r="63" spans="1:26" s="24" customFormat="1" hidden="1" outlineLevel="1" x14ac:dyDescent="0.25">
      <c r="A63" s="44"/>
      <c r="B63" s="11" t="str">
        <f>CONCATENATE("          ", "4135", " - ", "NON-TAXABLE SALES")</f>
        <v xml:space="preserve">          4135 - NON-TAXABLE SALES</v>
      </c>
      <c r="C63" s="11"/>
      <c r="D63" s="2">
        <f>--10.77</f>
        <v>10.77</v>
      </c>
      <c r="E63" s="2"/>
      <c r="F63" s="19"/>
      <c r="G63" s="2"/>
      <c r="H63" s="2">
        <f>--14.36</f>
        <v>14.36</v>
      </c>
      <c r="I63" s="2"/>
      <c r="J63" s="19"/>
      <c r="K63" s="2"/>
      <c r="L63" s="2">
        <f t="shared" si="0"/>
        <v>-3.59</v>
      </c>
      <c r="M63" s="2"/>
      <c r="N63" s="19">
        <f t="shared" si="1"/>
        <v>-0.25</v>
      </c>
      <c r="O63" s="11"/>
      <c r="P63" s="2">
        <f>--114.73</f>
        <v>114.73</v>
      </c>
      <c r="Q63" s="2"/>
      <c r="R63" s="19"/>
      <c r="S63" s="2"/>
      <c r="T63" s="2">
        <f>--123.42</f>
        <v>123.42</v>
      </c>
      <c r="U63" s="2"/>
      <c r="V63" s="19"/>
      <c r="W63" s="2"/>
      <c r="X63" s="2">
        <f t="shared" si="2"/>
        <v>-8.6899999999999977</v>
      </c>
      <c r="Y63" s="2"/>
      <c r="Z63" s="19">
        <f t="shared" si="3"/>
        <v>-7.0409982174688038E-2</v>
      </c>
    </row>
    <row r="64" spans="1:26" s="24" customFormat="1" hidden="1" outlineLevel="1" x14ac:dyDescent="0.25">
      <c r="A64" s="44"/>
      <c r="B64" s="11" t="str">
        <f>CONCATENATE("          ", "4137", " - ", "NON-TAXABLE SALES-WATER")</f>
        <v xml:space="preserve">          4137 - NON-TAXABLE SALES-WATER</v>
      </c>
      <c r="C64" s="11"/>
      <c r="D64" s="2">
        <f>--1199.73</f>
        <v>1199.73</v>
      </c>
      <c r="E64" s="2"/>
      <c r="F64" s="19"/>
      <c r="G64" s="2"/>
      <c r="H64" s="2">
        <f>--1110.04</f>
        <v>1110.04</v>
      </c>
      <c r="I64" s="2"/>
      <c r="J64" s="19"/>
      <c r="K64" s="2"/>
      <c r="L64" s="2">
        <f t="shared" si="0"/>
        <v>89.690000000000055</v>
      </c>
      <c r="M64" s="2"/>
      <c r="N64" s="19">
        <f t="shared" si="1"/>
        <v>8.0798890130085455E-2</v>
      </c>
      <c r="O64" s="11"/>
      <c r="P64" s="2">
        <f>--6313.88</f>
        <v>6313.88</v>
      </c>
      <c r="Q64" s="2"/>
      <c r="R64" s="19"/>
      <c r="S64" s="2"/>
      <c r="T64" s="2">
        <f>--6045.67</f>
        <v>6045.67</v>
      </c>
      <c r="U64" s="2"/>
      <c r="V64" s="19"/>
      <c r="W64" s="2"/>
      <c r="X64" s="2">
        <f t="shared" si="2"/>
        <v>268.21000000000004</v>
      </c>
      <c r="Y64" s="2"/>
      <c r="Z64" s="19">
        <f t="shared" si="3"/>
        <v>4.4363982817454482E-2</v>
      </c>
    </row>
    <row r="65" spans="1:26" s="24" customFormat="1" hidden="1" outlineLevel="1" x14ac:dyDescent="0.25">
      <c r="A65" s="44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--7373.27</f>
        <v>7373.27</v>
      </c>
      <c r="E65" s="2"/>
      <c r="F65" s="19"/>
      <c r="G65" s="2"/>
      <c r="H65" s="2">
        <f>--3104.15</f>
        <v>3104.15</v>
      </c>
      <c r="I65" s="2"/>
      <c r="J65" s="19"/>
      <c r="K65" s="2"/>
      <c r="L65" s="2">
        <f t="shared" si="0"/>
        <v>4269.1200000000008</v>
      </c>
      <c r="M65" s="2"/>
      <c r="N65" s="19">
        <f t="shared" si="1"/>
        <v>1.3752943639965853</v>
      </c>
      <c r="O65" s="11"/>
      <c r="P65" s="2">
        <f>--20008.79</f>
        <v>20008.79</v>
      </c>
      <c r="Q65" s="2"/>
      <c r="R65" s="19"/>
      <c r="S65" s="2"/>
      <c r="T65" s="2">
        <f>--14661.16</f>
        <v>14661.16</v>
      </c>
      <c r="U65" s="2"/>
      <c r="V65" s="19"/>
      <c r="W65" s="2"/>
      <c r="X65" s="2">
        <f t="shared" si="2"/>
        <v>5347.630000000001</v>
      </c>
      <c r="Y65" s="2"/>
      <c r="Z65" s="19">
        <f t="shared" si="3"/>
        <v>0.36474808268922793</v>
      </c>
    </row>
    <row r="66" spans="1:26" s="24" customFormat="1" hidden="1" outlineLevel="1" x14ac:dyDescent="0.25">
      <c r="A66" s="44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--434.35</f>
        <v>434.35</v>
      </c>
      <c r="E66" s="2"/>
      <c r="F66" s="19"/>
      <c r="G66" s="2"/>
      <c r="H66" s="2">
        <f>--203.25</f>
        <v>203.25</v>
      </c>
      <c r="I66" s="2"/>
      <c r="J66" s="19"/>
      <c r="K66" s="2"/>
      <c r="L66" s="2">
        <f t="shared" si="0"/>
        <v>231.10000000000002</v>
      </c>
      <c r="M66" s="2"/>
      <c r="N66" s="19">
        <f t="shared" si="1"/>
        <v>1.1370233702337025</v>
      </c>
      <c r="O66" s="11"/>
      <c r="P66" s="2">
        <f>--1830.28</f>
        <v>1830.28</v>
      </c>
      <c r="Q66" s="2"/>
      <c r="R66" s="19"/>
      <c r="S66" s="2"/>
      <c r="T66" s="2">
        <f>--2672.78</f>
        <v>2672.78</v>
      </c>
      <c r="U66" s="2"/>
      <c r="V66" s="19"/>
      <c r="W66" s="2"/>
      <c r="X66" s="2">
        <f t="shared" si="2"/>
        <v>-842.50000000000023</v>
      </c>
      <c r="Y66" s="2"/>
      <c r="Z66" s="19">
        <f t="shared" si="3"/>
        <v>-0.31521486991072972</v>
      </c>
    </row>
    <row r="67" spans="1:26" s="24" customFormat="1" hidden="1" outlineLevel="1" x14ac:dyDescent="0.25">
      <c r="A67" s="44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--2013.22</f>
        <v>2013.22</v>
      </c>
      <c r="E67" s="2"/>
      <c r="F67" s="19"/>
      <c r="G67" s="2"/>
      <c r="H67" s="2">
        <f>--2443.1</f>
        <v>2443.1</v>
      </c>
      <c r="I67" s="2"/>
      <c r="J67" s="19"/>
      <c r="K67" s="2"/>
      <c r="L67" s="2">
        <f t="shared" si="0"/>
        <v>-429.87999999999988</v>
      </c>
      <c r="M67" s="2"/>
      <c r="N67" s="19">
        <f t="shared" si="1"/>
        <v>-0.17595677622692477</v>
      </c>
      <c r="O67" s="11"/>
      <c r="P67" s="2">
        <f>--7932.83</f>
        <v>7932.83</v>
      </c>
      <c r="Q67" s="2"/>
      <c r="R67" s="19"/>
      <c r="S67" s="2"/>
      <c r="T67" s="2">
        <f>--7561.2</f>
        <v>7561.2</v>
      </c>
      <c r="U67" s="2"/>
      <c r="V67" s="19"/>
      <c r="W67" s="2"/>
      <c r="X67" s="2">
        <f t="shared" si="2"/>
        <v>371.63000000000011</v>
      </c>
      <c r="Y67" s="2"/>
      <c r="Z67" s="19">
        <f t="shared" si="3"/>
        <v>4.9149605882664142E-2</v>
      </c>
    </row>
    <row r="68" spans="1:26" s="24" customFormat="1" hidden="1" outlineLevel="1" x14ac:dyDescent="0.25">
      <c r="A68" s="44"/>
      <c r="B68" s="11" t="str">
        <f>CONCATENATE("          ", "4144", " - ", "NON-TAXABLE SALES-ACCESSORIES")</f>
        <v xml:space="preserve">          4144 - NON-TAXABLE SALES-ACCESSORIES</v>
      </c>
      <c r="C68" s="11"/>
      <c r="D68" s="2">
        <f>--29.95</f>
        <v>29.95</v>
      </c>
      <c r="E68" s="2"/>
      <c r="F68" s="19"/>
      <c r="G68" s="2"/>
      <c r="H68" s="2">
        <f>0</f>
        <v>0</v>
      </c>
      <c r="I68" s="2"/>
      <c r="J68" s="19"/>
      <c r="K68" s="2"/>
      <c r="L68" s="2">
        <f t="shared" si="0"/>
        <v>29.95</v>
      </c>
      <c r="M68" s="2"/>
      <c r="N68" s="19">
        <f t="shared" si="1"/>
        <v>0</v>
      </c>
      <c r="O68" s="11"/>
      <c r="P68" s="2">
        <f>--241.56</f>
        <v>241.56</v>
      </c>
      <c r="Q68" s="2"/>
      <c r="R68" s="19"/>
      <c r="S68" s="2"/>
      <c r="T68" s="2">
        <f>--340.6</f>
        <v>340.6</v>
      </c>
      <c r="U68" s="2"/>
      <c r="V68" s="19"/>
      <c r="W68" s="2"/>
      <c r="X68" s="2">
        <f t="shared" si="2"/>
        <v>-99.04000000000002</v>
      </c>
      <c r="Y68" s="2"/>
      <c r="Z68" s="19">
        <f t="shared" si="3"/>
        <v>-0.29078097475044046</v>
      </c>
    </row>
    <row r="69" spans="1:26" s="24" customFormat="1" hidden="1" outlineLevel="1" x14ac:dyDescent="0.25">
      <c r="A69" s="44"/>
      <c r="B69" s="11" t="str">
        <f>CONCATENATE("          ", "4145", " - ", "NON-TAXABLE SALES-SPECIAL ORDE")</f>
        <v xml:space="preserve">          4145 - NON-TAXABLE SALES-SPECIAL ORDE</v>
      </c>
      <c r="C69" s="11"/>
      <c r="D69" s="2">
        <f>--50</f>
        <v>50</v>
      </c>
      <c r="E69" s="2"/>
      <c r="F69" s="19"/>
      <c r="G69" s="2"/>
      <c r="H69" s="2">
        <f>--1396</f>
        <v>1396</v>
      </c>
      <c r="I69" s="2"/>
      <c r="J69" s="19"/>
      <c r="K69" s="2"/>
      <c r="L69" s="2">
        <f t="shared" si="0"/>
        <v>-1346</v>
      </c>
      <c r="M69" s="2"/>
      <c r="N69" s="19">
        <f t="shared" si="1"/>
        <v>-0.96418338108882518</v>
      </c>
      <c r="O69" s="11"/>
      <c r="P69" s="2">
        <f>--140</f>
        <v>140</v>
      </c>
      <c r="Q69" s="2"/>
      <c r="R69" s="19"/>
      <c r="S69" s="2"/>
      <c r="T69" s="2">
        <f>--1657.6</f>
        <v>1657.6</v>
      </c>
      <c r="U69" s="2"/>
      <c r="V69" s="19"/>
      <c r="W69" s="2"/>
      <c r="X69" s="2">
        <f t="shared" si="2"/>
        <v>-1517.6</v>
      </c>
      <c r="Y69" s="2"/>
      <c r="Z69" s="19">
        <f t="shared" si="3"/>
        <v>-0.91554054054054057</v>
      </c>
    </row>
    <row r="70" spans="1:26" s="24" customFormat="1" hidden="1" outlineLevel="1" x14ac:dyDescent="0.25">
      <c r="A70" s="44"/>
      <c r="B70" s="11" t="str">
        <f>CONCATENATE("          ", "4146", " - ", "NON-TAXABLE SALES-COIN OP MACH")</f>
        <v xml:space="preserve">          4146 - NON-TAXABLE SALES-COIN OP MACH</v>
      </c>
      <c r="C70" s="11"/>
      <c r="D70" s="2">
        <f>--28930.75</f>
        <v>28930.75</v>
      </c>
      <c r="E70" s="2"/>
      <c r="F70" s="19"/>
      <c r="G70" s="2"/>
      <c r="H70" s="2">
        <f>--27810.05</f>
        <v>27810.05</v>
      </c>
      <c r="I70" s="2"/>
      <c r="J70" s="19"/>
      <c r="K70" s="2"/>
      <c r="L70" s="2">
        <f t="shared" si="0"/>
        <v>1120.7000000000007</v>
      </c>
      <c r="M70" s="2"/>
      <c r="N70" s="19">
        <f t="shared" si="1"/>
        <v>4.0298381340558569E-2</v>
      </c>
      <c r="O70" s="11"/>
      <c r="P70" s="2">
        <f>--119341.05</f>
        <v>119341.05</v>
      </c>
      <c r="Q70" s="2"/>
      <c r="R70" s="19"/>
      <c r="S70" s="2"/>
      <c r="T70" s="2">
        <f>--118051.15</f>
        <v>118051.15</v>
      </c>
      <c r="U70" s="2"/>
      <c r="V70" s="19"/>
      <c r="W70" s="2"/>
      <c r="X70" s="2">
        <f t="shared" si="2"/>
        <v>1289.9000000000087</v>
      </c>
      <c r="Y70" s="2"/>
      <c r="Z70" s="19">
        <f t="shared" si="3"/>
        <v>1.0926619520436767E-2</v>
      </c>
    </row>
    <row r="71" spans="1:26" s="24" customFormat="1" hidden="1" outlineLevel="1" x14ac:dyDescent="0.25">
      <c r="A71" s="44"/>
      <c r="B71" s="11" t="str">
        <f>CONCATENATE("          ", "4147", " - ", "NON-TAXABLE SALES-MISC")</f>
        <v xml:space="preserve">          4147 - NON-TAXABLE SALES-MISC</v>
      </c>
      <c r="C71" s="11"/>
      <c r="D71" s="2">
        <f>--75</f>
        <v>75</v>
      </c>
      <c r="E71" s="2"/>
      <c r="F71" s="19"/>
      <c r="G71" s="2"/>
      <c r="H71" s="2">
        <f>--84</f>
        <v>84</v>
      </c>
      <c r="I71" s="2"/>
      <c r="J71" s="19"/>
      <c r="K71" s="2"/>
      <c r="L71" s="2">
        <f t="shared" si="0"/>
        <v>-9</v>
      </c>
      <c r="M71" s="2"/>
      <c r="N71" s="19">
        <f t="shared" si="1"/>
        <v>-0.10714285714285714</v>
      </c>
      <c r="O71" s="11"/>
      <c r="P71" s="2">
        <f>--249.9</f>
        <v>249.9</v>
      </c>
      <c r="Q71" s="2"/>
      <c r="R71" s="19"/>
      <c r="S71" s="2"/>
      <c r="T71" s="2">
        <f>--370</f>
        <v>370</v>
      </c>
      <c r="U71" s="2"/>
      <c r="V71" s="19"/>
      <c r="W71" s="2"/>
      <c r="X71" s="2">
        <f t="shared" si="2"/>
        <v>-120.1</v>
      </c>
      <c r="Y71" s="2"/>
      <c r="Z71" s="19">
        <f t="shared" si="3"/>
        <v>-0.32459459459459455</v>
      </c>
    </row>
    <row r="72" spans="1:26" s="24" customFormat="1" hidden="1" outlineLevel="1" x14ac:dyDescent="0.25">
      <c r="A72" s="44"/>
      <c r="B72" s="11" t="str">
        <f>CONCATENATE("          ", "4151", " - ", "NON-TAXABLE SALES-FOOD")</f>
        <v xml:space="preserve">          4151 - NON-TAXABLE SALES-FOOD</v>
      </c>
      <c r="C72" s="11"/>
      <c r="D72" s="2">
        <f>--111550.27</f>
        <v>111550.27</v>
      </c>
      <c r="E72" s="2"/>
      <c r="F72" s="19"/>
      <c r="G72" s="2"/>
      <c r="H72" s="2">
        <f>--94189.95</f>
        <v>94189.95</v>
      </c>
      <c r="I72" s="2"/>
      <c r="J72" s="19"/>
      <c r="K72" s="2"/>
      <c r="L72" s="2">
        <f t="shared" si="0"/>
        <v>17360.320000000007</v>
      </c>
      <c r="M72" s="2"/>
      <c r="N72" s="19">
        <f t="shared" si="1"/>
        <v>0.18431180821308438</v>
      </c>
      <c r="O72" s="11"/>
      <c r="P72" s="2">
        <f>--500473.1</f>
        <v>500473.1</v>
      </c>
      <c r="Q72" s="2"/>
      <c r="R72" s="19"/>
      <c r="S72" s="2"/>
      <c r="T72" s="2">
        <f>--458046.56</f>
        <v>458046.56</v>
      </c>
      <c r="U72" s="2"/>
      <c r="V72" s="19"/>
      <c r="W72" s="2"/>
      <c r="X72" s="2">
        <f t="shared" si="2"/>
        <v>42426.539999999979</v>
      </c>
      <c r="Y72" s="2"/>
      <c r="Z72" s="19">
        <f t="shared" si="3"/>
        <v>9.2624950616373977E-2</v>
      </c>
    </row>
    <row r="73" spans="1:26" s="24" customFormat="1" hidden="1" outlineLevel="1" x14ac:dyDescent="0.25">
      <c r="A73" s="44"/>
      <c r="B73" s="11" t="str">
        <f>CONCATENATE("          ", "4153", " - ", "NON-TAXABLE SALES-FOOD")</f>
        <v xml:space="preserve">          4153 - NON-TAXABLE SALES-FOOD</v>
      </c>
      <c r="C73" s="11"/>
      <c r="D73" s="2">
        <f>--1546.5</f>
        <v>1546.5</v>
      </c>
      <c r="E73" s="2"/>
      <c r="F73" s="19"/>
      <c r="G73" s="2"/>
      <c r="H73" s="2">
        <f>--957.75</f>
        <v>957.75</v>
      </c>
      <c r="I73" s="2"/>
      <c r="J73" s="19"/>
      <c r="K73" s="2"/>
      <c r="L73" s="2">
        <f t="shared" si="0"/>
        <v>588.75</v>
      </c>
      <c r="M73" s="2"/>
      <c r="N73" s="19">
        <f t="shared" si="1"/>
        <v>0.61472200469851213</v>
      </c>
      <c r="O73" s="11"/>
      <c r="P73" s="2">
        <f>--6827</f>
        <v>6827</v>
      </c>
      <c r="Q73" s="2"/>
      <c r="R73" s="19"/>
      <c r="S73" s="2"/>
      <c r="T73" s="2">
        <f>--5443</f>
        <v>5443</v>
      </c>
      <c r="U73" s="2"/>
      <c r="V73" s="19"/>
      <c r="W73" s="2"/>
      <c r="X73" s="2">
        <f t="shared" si="2"/>
        <v>1384</v>
      </c>
      <c r="Y73" s="2"/>
      <c r="Z73" s="19">
        <f t="shared" si="3"/>
        <v>0.25427154142935882</v>
      </c>
    </row>
    <row r="74" spans="1:26" s="24" customFormat="1" hidden="1" outlineLevel="1" x14ac:dyDescent="0.25">
      <c r="A74" s="44"/>
      <c r="B74" s="11" t="str">
        <f>CONCATENATE("          ", "4186", " - ", "NON-TAXABLE SALES-COMPUTER SUP")</f>
        <v xml:space="preserve">          4186 - NON-TAXABLE SALES-COMPUTER SUP</v>
      </c>
      <c r="C74" s="11"/>
      <c r="D74" s="2">
        <f>0</f>
        <v>0</v>
      </c>
      <c r="E74" s="2"/>
      <c r="F74" s="19"/>
      <c r="G74" s="2"/>
      <c r="H74" s="2">
        <f>-14.99</f>
        <v>-14.99</v>
      </c>
      <c r="I74" s="2"/>
      <c r="J74" s="19"/>
      <c r="K74" s="2"/>
      <c r="L74" s="2">
        <f t="shared" si="0"/>
        <v>14.99</v>
      </c>
      <c r="M74" s="2"/>
      <c r="N74" s="19">
        <f t="shared" si="1"/>
        <v>-1</v>
      </c>
      <c r="O74" s="11"/>
      <c r="P74" s="2">
        <f>-30.97</f>
        <v>-30.97</v>
      </c>
      <c r="Q74" s="2"/>
      <c r="R74" s="19"/>
      <c r="S74" s="2"/>
      <c r="T74" s="2">
        <f>-82.97</f>
        <v>-82.97</v>
      </c>
      <c r="U74" s="2"/>
      <c r="V74" s="19"/>
      <c r="W74" s="2"/>
      <c r="X74" s="2">
        <f t="shared" si="2"/>
        <v>52</v>
      </c>
      <c r="Y74" s="2"/>
      <c r="Z74" s="19">
        <f t="shared" si="3"/>
        <v>-0.62673255393515725</v>
      </c>
    </row>
    <row r="75" spans="1:26" s="24" customFormat="1" hidden="1" outlineLevel="1" x14ac:dyDescent="0.25">
      <c r="A75" s="44"/>
      <c r="B75" s="11" t="str">
        <f>CONCATENATE("          ", "4201", " - ", "SALES RETURN TAXABLE-NEW TEXT")</f>
        <v xml:space="preserve">          4201 - SALES RETURN TAXABLE-NEW TEXT</v>
      </c>
      <c r="C75" s="11"/>
      <c r="D75" s="2">
        <f>-314.9</f>
        <v>-314.89999999999998</v>
      </c>
      <c r="E75" s="2"/>
      <c r="F75" s="19"/>
      <c r="G75" s="2"/>
      <c r="H75" s="2">
        <f>-829.9</f>
        <v>-829.9</v>
      </c>
      <c r="I75" s="2"/>
      <c r="J75" s="19"/>
      <c r="K75" s="2"/>
      <c r="L75" s="2">
        <f t="shared" si="0"/>
        <v>515</v>
      </c>
      <c r="M75" s="2"/>
      <c r="N75" s="19">
        <f t="shared" si="1"/>
        <v>-0.62055669357753951</v>
      </c>
      <c r="O75" s="11"/>
      <c r="P75" s="2">
        <f>-78098.57</f>
        <v>-78098.570000000007</v>
      </c>
      <c r="Q75" s="2"/>
      <c r="R75" s="19"/>
      <c r="S75" s="2"/>
      <c r="T75" s="2">
        <f>-112562.57</f>
        <v>-112562.57</v>
      </c>
      <c r="U75" s="2"/>
      <c r="V75" s="19"/>
      <c r="W75" s="2"/>
      <c r="X75" s="2">
        <f t="shared" si="2"/>
        <v>34464</v>
      </c>
      <c r="Y75" s="2"/>
      <c r="Z75" s="19">
        <f t="shared" si="3"/>
        <v>-0.30617637816904852</v>
      </c>
    </row>
    <row r="76" spans="1:26" s="24" customFormat="1" hidden="1" outlineLevel="1" x14ac:dyDescent="0.25">
      <c r="A76" s="44"/>
      <c r="B76" s="11" t="str">
        <f>CONCATENATE("          ", "4202", " - ", "SALES RETURN TAXABLE-USED TEXT")</f>
        <v xml:space="preserve">          4202 - SALES RETURN TAXABLE-USED TEXT</v>
      </c>
      <c r="C76" s="11"/>
      <c r="D76" s="2">
        <f>-113.2</f>
        <v>-113.2</v>
      </c>
      <c r="E76" s="2"/>
      <c r="F76" s="19"/>
      <c r="G76" s="2"/>
      <c r="H76" s="2">
        <f>-368.75</f>
        <v>-368.75</v>
      </c>
      <c r="I76" s="2"/>
      <c r="J76" s="19"/>
      <c r="K76" s="2"/>
      <c r="L76" s="2">
        <f t="shared" si="0"/>
        <v>255.55</v>
      </c>
      <c r="M76" s="2"/>
      <c r="N76" s="19">
        <f t="shared" si="1"/>
        <v>-0.69301694915254242</v>
      </c>
      <c r="O76" s="11"/>
      <c r="P76" s="2">
        <f>-27042.2</f>
        <v>-27042.2</v>
      </c>
      <c r="Q76" s="2"/>
      <c r="R76" s="19"/>
      <c r="S76" s="2"/>
      <c r="T76" s="2">
        <f>-29468.4</f>
        <v>-29468.400000000001</v>
      </c>
      <c r="U76" s="2"/>
      <c r="V76" s="19"/>
      <c r="W76" s="2"/>
      <c r="X76" s="2">
        <f t="shared" si="2"/>
        <v>2426.2000000000007</v>
      </c>
      <c r="Y76" s="2"/>
      <c r="Z76" s="19">
        <f t="shared" si="3"/>
        <v>-8.2332260998221843E-2</v>
      </c>
    </row>
    <row r="77" spans="1:26" s="24" customFormat="1" hidden="1" outlineLevel="1" x14ac:dyDescent="0.25">
      <c r="A77" s="44"/>
      <c r="B77" s="11" t="str">
        <f>CONCATENATE("          ", "4203", " - ", "SALES RETURN TAXABLE-RENTAL TE")</f>
        <v xml:space="preserve">          4203 - SALES RETURN TAXABLE-RENTAL TE</v>
      </c>
      <c r="C77" s="11"/>
      <c r="D77" s="2">
        <f>0</f>
        <v>0</v>
      </c>
      <c r="E77" s="2"/>
      <c r="F77" s="19"/>
      <c r="G77" s="2"/>
      <c r="H77" s="2">
        <f>-169.95</f>
        <v>-169.95</v>
      </c>
      <c r="I77" s="2"/>
      <c r="J77" s="19"/>
      <c r="K77" s="2"/>
      <c r="L77" s="2">
        <f t="shared" si="0"/>
        <v>169.95</v>
      </c>
      <c r="M77" s="2"/>
      <c r="N77" s="19">
        <f t="shared" si="1"/>
        <v>-1</v>
      </c>
      <c r="O77" s="11"/>
      <c r="P77" s="2">
        <f>-144.99</f>
        <v>-144.99</v>
      </c>
      <c r="Q77" s="2"/>
      <c r="R77" s="19"/>
      <c r="S77" s="2"/>
      <c r="T77" s="2">
        <f>-1699.5</f>
        <v>-1699.5</v>
      </c>
      <c r="U77" s="2"/>
      <c r="V77" s="19"/>
      <c r="W77" s="2"/>
      <c r="X77" s="2">
        <f t="shared" si="2"/>
        <v>1554.51</v>
      </c>
      <c r="Y77" s="2"/>
      <c r="Z77" s="19">
        <f t="shared" si="3"/>
        <v>-0.9146866725507502</v>
      </c>
    </row>
    <row r="78" spans="1:26" s="24" customFormat="1" hidden="1" outlineLevel="1" x14ac:dyDescent="0.25">
      <c r="A78" s="44"/>
      <c r="B78" s="11" t="str">
        <f>CONCATENATE("          ", "4204", " - ", "SALES RETURN TAXABLE-DIGITAL T")</f>
        <v xml:space="preserve">          4204 - SALES RETURN TAXABLE-DIGITAL T</v>
      </c>
      <c r="C78" s="11"/>
      <c r="D78" s="2">
        <f>-119.4</f>
        <v>-119.4</v>
      </c>
      <c r="E78" s="2"/>
      <c r="F78" s="19"/>
      <c r="G78" s="2"/>
      <c r="H78" s="2">
        <f>-487.29</f>
        <v>-487.29</v>
      </c>
      <c r="I78" s="2"/>
      <c r="J78" s="19"/>
      <c r="K78" s="2"/>
      <c r="L78" s="2">
        <f t="shared" si="0"/>
        <v>367.89</v>
      </c>
      <c r="M78" s="2"/>
      <c r="N78" s="19">
        <f t="shared" si="1"/>
        <v>-0.75497137228344513</v>
      </c>
      <c r="O78" s="11"/>
      <c r="P78" s="2">
        <f>-11369.46</f>
        <v>-11369.46</v>
      </c>
      <c r="Q78" s="2"/>
      <c r="R78" s="19"/>
      <c r="S78" s="2"/>
      <c r="T78" s="2">
        <f>-15987.07</f>
        <v>-15987.07</v>
      </c>
      <c r="U78" s="2"/>
      <c r="V78" s="19"/>
      <c r="W78" s="2"/>
      <c r="X78" s="2">
        <f t="shared" si="2"/>
        <v>4617.6100000000006</v>
      </c>
      <c r="Y78" s="2"/>
      <c r="Z78" s="19">
        <f t="shared" si="3"/>
        <v>-0.28883403900777321</v>
      </c>
    </row>
    <row r="79" spans="1:26" s="24" customFormat="1" hidden="1" outlineLevel="1" x14ac:dyDescent="0.25">
      <c r="A79" s="44"/>
      <c r="B79" s="11" t="str">
        <f>CONCATENATE("          ", "4213", " - ", "NON-TAXABLE SALES-TRADE BOOKS")</f>
        <v xml:space="preserve">          4213 - NON-TAXABLE SALES-TRADE BOOKS</v>
      </c>
      <c r="C79" s="11"/>
      <c r="D79" s="2">
        <f>-67.34</f>
        <v>-67.34</v>
      </c>
      <c r="E79" s="2"/>
      <c r="F79" s="19"/>
      <c r="G79" s="2"/>
      <c r="H79" s="2">
        <f>-81.96</f>
        <v>-81.96</v>
      </c>
      <c r="I79" s="2"/>
      <c r="J79" s="19"/>
      <c r="K79" s="2"/>
      <c r="L79" s="2">
        <f t="shared" si="0"/>
        <v>14.61999999999999</v>
      </c>
      <c r="M79" s="2"/>
      <c r="N79" s="19">
        <f t="shared" si="1"/>
        <v>-0.17837969741337228</v>
      </c>
      <c r="O79" s="11"/>
      <c r="P79" s="2">
        <f>-102.71</f>
        <v>-102.71</v>
      </c>
      <c r="Q79" s="2"/>
      <c r="R79" s="19"/>
      <c r="S79" s="2"/>
      <c r="T79" s="2">
        <f>-96.96</f>
        <v>-96.96</v>
      </c>
      <c r="U79" s="2"/>
      <c r="V79" s="19"/>
      <c r="W79" s="2"/>
      <c r="X79" s="2">
        <f t="shared" si="2"/>
        <v>-5.75</v>
      </c>
      <c r="Y79" s="2"/>
      <c r="Z79" s="19">
        <f t="shared" si="3"/>
        <v>5.9302805280528059E-2</v>
      </c>
    </row>
    <row r="80" spans="1:26" s="24" customFormat="1" hidden="1" outlineLevel="1" x14ac:dyDescent="0.25">
      <c r="A80" s="44"/>
      <c r="B80" s="11" t="str">
        <f>CONCATENATE("          ", "4214", " - ", "SALES RETURN TAXABLE-REMAINDER")</f>
        <v xml:space="preserve">          4214 - SALES RETURN TAXABLE-REMAINDER</v>
      </c>
      <c r="C80" s="11"/>
      <c r="D80" s="2">
        <f t="shared" ref="D80:D82" si="4">0</f>
        <v>0</v>
      </c>
      <c r="E80" s="2"/>
      <c r="F80" s="19"/>
      <c r="G80" s="2"/>
      <c r="H80" s="2">
        <f>-3.95</f>
        <v>-3.95</v>
      </c>
      <c r="I80" s="2"/>
      <c r="J80" s="19"/>
      <c r="K80" s="2"/>
      <c r="L80" s="2">
        <f t="shared" si="0"/>
        <v>3.95</v>
      </c>
      <c r="M80" s="2"/>
      <c r="N80" s="19">
        <f t="shared" si="1"/>
        <v>-1</v>
      </c>
      <c r="O80" s="11"/>
      <c r="P80" s="2">
        <f>0</f>
        <v>0</v>
      </c>
      <c r="Q80" s="2"/>
      <c r="R80" s="19"/>
      <c r="S80" s="2"/>
      <c r="T80" s="2">
        <f>-3.95</f>
        <v>-3.95</v>
      </c>
      <c r="U80" s="2"/>
      <c r="V80" s="19"/>
      <c r="W80" s="2"/>
      <c r="X80" s="2">
        <f t="shared" si="2"/>
        <v>3.95</v>
      </c>
      <c r="Y80" s="2"/>
      <c r="Z80" s="19">
        <f t="shared" si="3"/>
        <v>-1</v>
      </c>
    </row>
    <row r="81" spans="1:26" s="24" customFormat="1" hidden="1" outlineLevel="1" x14ac:dyDescent="0.25">
      <c r="A81" s="44"/>
      <c r="B81" s="11" t="str">
        <f>CONCATENATE("          ", "4217", " - ", "NON-TAXABLE SALES-DORM/HOUSEWA")</f>
        <v xml:space="preserve">          4217 - NON-TAXABLE SALES-DORM/HOUSEWA</v>
      </c>
      <c r="C81" s="11"/>
      <c r="D81" s="2">
        <f t="shared" si="4"/>
        <v>0</v>
      </c>
      <c r="E81" s="2"/>
      <c r="F81" s="19"/>
      <c r="G81" s="2"/>
      <c r="H81" s="2">
        <f t="shared" ref="H81:H82" si="5">0</f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-2.98</f>
        <v>-2.98</v>
      </c>
      <c r="Q81" s="2"/>
      <c r="R81" s="19"/>
      <c r="S81" s="2"/>
      <c r="T81" s="2">
        <f>-1.5</f>
        <v>-1.5</v>
      </c>
      <c r="U81" s="2"/>
      <c r="V81" s="19"/>
      <c r="W81" s="2"/>
      <c r="X81" s="2">
        <f t="shared" si="2"/>
        <v>-1.48</v>
      </c>
      <c r="Y81" s="2"/>
      <c r="Z81" s="19">
        <f t="shared" si="3"/>
        <v>0.98666666666666669</v>
      </c>
    </row>
    <row r="82" spans="1:26" s="24" customFormat="1" hidden="1" outlineLevel="1" x14ac:dyDescent="0.25">
      <c r="A82" s="44"/>
      <c r="B82" s="11" t="str">
        <f>CONCATENATE("          ", "4218", " - ", "SALES RETURN TAXABLE-STUDY GUI")</f>
        <v xml:space="preserve">          4218 - SALES RETURN TAXABLE-STUDY GUI</v>
      </c>
      <c r="C82" s="11"/>
      <c r="D82" s="2">
        <f t="shared" si="4"/>
        <v>0</v>
      </c>
      <c r="E82" s="2"/>
      <c r="F82" s="19"/>
      <c r="G82" s="2"/>
      <c r="H82" s="2">
        <f t="shared" si="5"/>
        <v>0</v>
      </c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-32.75</f>
        <v>-32.75</v>
      </c>
      <c r="Q82" s="2"/>
      <c r="R82" s="19"/>
      <c r="S82" s="2"/>
      <c r="T82" s="2">
        <f>-22.9</f>
        <v>-22.9</v>
      </c>
      <c r="U82" s="2"/>
      <c r="V82" s="19"/>
      <c r="W82" s="2"/>
      <c r="X82" s="2">
        <f t="shared" si="2"/>
        <v>-9.8500000000000014</v>
      </c>
      <c r="Y82" s="2"/>
      <c r="Z82" s="19">
        <f t="shared" si="3"/>
        <v>0.43013100436681234</v>
      </c>
    </row>
    <row r="83" spans="1:26" s="24" customFormat="1" hidden="1" outlineLevel="1" x14ac:dyDescent="0.25">
      <c r="A83" s="44"/>
      <c r="B83" s="11" t="str">
        <f>CONCATENATE("          ", "4225", " - ", "SALES RETURN TAXABLE-TEST FORM")</f>
        <v xml:space="preserve">          4225 - SALES RETURN TAXABLE-TEST FORM</v>
      </c>
      <c r="C83" s="11"/>
      <c r="D83" s="2">
        <f>-23.91</f>
        <v>-23.91</v>
      </c>
      <c r="E83" s="2"/>
      <c r="F83" s="19"/>
      <c r="G83" s="2"/>
      <c r="H83" s="2">
        <f>-1.13</f>
        <v>-1.1299999999999999</v>
      </c>
      <c r="I83" s="2"/>
      <c r="J83" s="19"/>
      <c r="K83" s="2"/>
      <c r="L83" s="2">
        <f t="shared" si="0"/>
        <v>-22.78</v>
      </c>
      <c r="M83" s="2"/>
      <c r="N83" s="19">
        <f t="shared" si="1"/>
        <v>20.159292035398234</v>
      </c>
      <c r="O83" s="11"/>
      <c r="P83" s="2">
        <f>-65.46</f>
        <v>-65.459999999999994</v>
      </c>
      <c r="Q83" s="2"/>
      <c r="R83" s="19"/>
      <c r="S83" s="2"/>
      <c r="T83" s="2">
        <f>-62.42</f>
        <v>-62.42</v>
      </c>
      <c r="U83" s="2"/>
      <c r="V83" s="19"/>
      <c r="W83" s="2"/>
      <c r="X83" s="2">
        <f t="shared" si="2"/>
        <v>-3.039999999999992</v>
      </c>
      <c r="Y83" s="2"/>
      <c r="Z83" s="19">
        <f t="shared" si="3"/>
        <v>4.8702338993912075E-2</v>
      </c>
    </row>
    <row r="84" spans="1:26" s="24" customFormat="1" hidden="1" outlineLevel="1" x14ac:dyDescent="0.25">
      <c r="A84" s="44"/>
      <c r="B84" s="11" t="str">
        <f>CONCATENATE("          ", "4226", " - ", "SALES RETURN TAXABLE-WRITING I")</f>
        <v xml:space="preserve">          4226 - SALES RETURN TAXABLE-WRITING I</v>
      </c>
      <c r="C84" s="11"/>
      <c r="D84" s="2">
        <f>-13.74</f>
        <v>-13.74</v>
      </c>
      <c r="E84" s="2"/>
      <c r="F84" s="19"/>
      <c r="G84" s="2"/>
      <c r="H84" s="2">
        <f>-20.28</f>
        <v>-20.28</v>
      </c>
      <c r="I84" s="2"/>
      <c r="J84" s="19"/>
      <c r="K84" s="2"/>
      <c r="L84" s="2">
        <f t="shared" si="0"/>
        <v>6.5400000000000009</v>
      </c>
      <c r="M84" s="2"/>
      <c r="N84" s="19">
        <f t="shared" si="1"/>
        <v>-0.32248520710059175</v>
      </c>
      <c r="O84" s="11"/>
      <c r="P84" s="2">
        <f>-489.71</f>
        <v>-489.71</v>
      </c>
      <c r="Q84" s="2"/>
      <c r="R84" s="19"/>
      <c r="S84" s="2"/>
      <c r="T84" s="2">
        <f>-261.43</f>
        <v>-261.43</v>
      </c>
      <c r="U84" s="2"/>
      <c r="V84" s="19"/>
      <c r="W84" s="2"/>
      <c r="X84" s="2">
        <f t="shared" si="2"/>
        <v>-228.27999999999997</v>
      </c>
      <c r="Y84" s="2"/>
      <c r="Z84" s="19">
        <f t="shared" si="3"/>
        <v>0.8731974142217801</v>
      </c>
    </row>
    <row r="85" spans="1:26" s="24" customFormat="1" hidden="1" outlineLevel="1" x14ac:dyDescent="0.25">
      <c r="A85" s="44"/>
      <c r="B85" s="11" t="str">
        <f>CONCATENATE("          ", "4227", " - ", "SALES RETURN TAXABLE-SCHOOL SU")</f>
        <v xml:space="preserve">          4227 - SALES RETURN TAXABLE-SCHOOL SU</v>
      </c>
      <c r="C85" s="11"/>
      <c r="D85" s="2">
        <f>-917.34</f>
        <v>-917.34</v>
      </c>
      <c r="E85" s="2"/>
      <c r="F85" s="19"/>
      <c r="G85" s="2"/>
      <c r="H85" s="2">
        <f>-398.16</f>
        <v>-398.16</v>
      </c>
      <c r="I85" s="2"/>
      <c r="J85" s="19"/>
      <c r="K85" s="2"/>
      <c r="L85" s="2">
        <f t="shared" si="0"/>
        <v>-519.18000000000006</v>
      </c>
      <c r="M85" s="2"/>
      <c r="N85" s="19">
        <f t="shared" si="1"/>
        <v>1.3039481615430983</v>
      </c>
      <c r="O85" s="11"/>
      <c r="P85" s="2">
        <f>-5743.82</f>
        <v>-5743.82</v>
      </c>
      <c r="Q85" s="2"/>
      <c r="R85" s="19"/>
      <c r="S85" s="2"/>
      <c r="T85" s="2">
        <f>-2499</f>
        <v>-2499</v>
      </c>
      <c r="U85" s="2"/>
      <c r="V85" s="19"/>
      <c r="W85" s="2"/>
      <c r="X85" s="2">
        <f t="shared" si="2"/>
        <v>-3244.8199999999997</v>
      </c>
      <c r="Y85" s="2"/>
      <c r="Z85" s="19">
        <f t="shared" si="3"/>
        <v>1.2984473789515805</v>
      </c>
    </row>
    <row r="86" spans="1:26" s="24" customFormat="1" hidden="1" outlineLevel="1" x14ac:dyDescent="0.25">
      <c r="A86" s="44"/>
      <c r="B86" s="11" t="str">
        <f>CONCATENATE("          ", "4228", " - ", "SALES RETURN TAXABLE-ART/TECH")</f>
        <v xml:space="preserve">          4228 - SALES RETURN TAXABLE-ART/TECH</v>
      </c>
      <c r="C86" s="11"/>
      <c r="D86" s="2">
        <f>-441.03</f>
        <v>-441.03</v>
      </c>
      <c r="E86" s="2"/>
      <c r="F86" s="19"/>
      <c r="G86" s="2"/>
      <c r="H86" s="2">
        <f>-371.18</f>
        <v>-371.18</v>
      </c>
      <c r="I86" s="2"/>
      <c r="J86" s="19"/>
      <c r="K86" s="2"/>
      <c r="L86" s="2">
        <f t="shared" si="0"/>
        <v>-69.849999999999966</v>
      </c>
      <c r="M86" s="2"/>
      <c r="N86" s="19">
        <f t="shared" si="1"/>
        <v>0.18818363058354429</v>
      </c>
      <c r="O86" s="11"/>
      <c r="P86" s="2">
        <f>-2871.29</f>
        <v>-2871.29</v>
      </c>
      <c r="Q86" s="2"/>
      <c r="R86" s="19"/>
      <c r="S86" s="2"/>
      <c r="T86" s="2">
        <f>-4147.97</f>
        <v>-4147.97</v>
      </c>
      <c r="U86" s="2"/>
      <c r="V86" s="19"/>
      <c r="W86" s="2"/>
      <c r="X86" s="2">
        <f t="shared" si="2"/>
        <v>1276.6800000000003</v>
      </c>
      <c r="Y86" s="2"/>
      <c r="Z86" s="19">
        <f t="shared" si="3"/>
        <v>-0.30778428966458299</v>
      </c>
    </row>
    <row r="87" spans="1:26" s="24" customFormat="1" hidden="1" outlineLevel="1" x14ac:dyDescent="0.25">
      <c r="A87" s="44"/>
      <c r="B87" s="11" t="str">
        <f>CONCATENATE("          ", "4233", " - ", "SALES RETURN TAXABLE-CANDY")</f>
        <v xml:space="preserve">          4233 - SALES RETURN TAXABLE-CANDY</v>
      </c>
      <c r="C87" s="11"/>
      <c r="D87" s="2">
        <f>-1.29</f>
        <v>-1.29</v>
      </c>
      <c r="E87" s="2"/>
      <c r="F87" s="19"/>
      <c r="G87" s="2"/>
      <c r="H87" s="2">
        <f>0</f>
        <v>0</v>
      </c>
      <c r="I87" s="2"/>
      <c r="J87" s="19"/>
      <c r="K87" s="2"/>
      <c r="L87" s="2">
        <f t="shared" si="0"/>
        <v>-1.29</v>
      </c>
      <c r="M87" s="2"/>
      <c r="N87" s="19">
        <f t="shared" si="1"/>
        <v>0</v>
      </c>
      <c r="O87" s="11"/>
      <c r="P87" s="2">
        <f>-1.29</f>
        <v>-1.29</v>
      </c>
      <c r="Q87" s="2"/>
      <c r="R87" s="19"/>
      <c r="S87" s="2"/>
      <c r="T87" s="2">
        <f>-3.58</f>
        <v>-3.58</v>
      </c>
      <c r="U87" s="2"/>
      <c r="V87" s="19"/>
      <c r="W87" s="2"/>
      <c r="X87" s="2">
        <f t="shared" si="2"/>
        <v>2.29</v>
      </c>
      <c r="Y87" s="2"/>
      <c r="Z87" s="19">
        <f t="shared" si="3"/>
        <v>-0.63966480446927376</v>
      </c>
    </row>
    <row r="88" spans="1:26" s="24" customFormat="1" hidden="1" outlineLevel="1" x14ac:dyDescent="0.25">
      <c r="A88" s="44"/>
      <c r="B88" s="11" t="str">
        <f>CONCATENATE("          ", "4240", " - ", "SALES RETURN TAXABLE-LOGO CLOT")</f>
        <v xml:space="preserve">          4240 - SALES RETURN TAXABLE-LOGO CLOT</v>
      </c>
      <c r="C88" s="11"/>
      <c r="D88" s="2">
        <f>-10814.23</f>
        <v>-10814.23</v>
      </c>
      <c r="E88" s="2"/>
      <c r="F88" s="19"/>
      <c r="G88" s="2"/>
      <c r="H88" s="2">
        <f>-7975.12</f>
        <v>-7975.12</v>
      </c>
      <c r="I88" s="2"/>
      <c r="J88" s="19"/>
      <c r="K88" s="2"/>
      <c r="L88" s="2">
        <f t="shared" si="0"/>
        <v>-2839.1099999999997</v>
      </c>
      <c r="M88" s="2"/>
      <c r="N88" s="19">
        <f t="shared" si="1"/>
        <v>0.35599589724041764</v>
      </c>
      <c r="O88" s="11"/>
      <c r="P88" s="2">
        <f>-41109.03</f>
        <v>-41109.03</v>
      </c>
      <c r="Q88" s="2"/>
      <c r="R88" s="19"/>
      <c r="S88" s="2"/>
      <c r="T88" s="2">
        <f>-36596.53</f>
        <v>-36596.53</v>
      </c>
      <c r="U88" s="2"/>
      <c r="V88" s="19"/>
      <c r="W88" s="2"/>
      <c r="X88" s="2">
        <f t="shared" si="2"/>
        <v>-4512.5</v>
      </c>
      <c r="Y88" s="2"/>
      <c r="Z88" s="19">
        <f t="shared" si="3"/>
        <v>0.12330404002783871</v>
      </c>
    </row>
    <row r="89" spans="1:26" s="24" customFormat="1" hidden="1" outlineLevel="1" x14ac:dyDescent="0.25">
      <c r="A89" s="44"/>
      <c r="B89" s="11" t="str">
        <f>CONCATENATE("          ", "4241", " - ", "SALES RETURN TAXABLE-LOGO GIFT")</f>
        <v xml:space="preserve">          4241 - SALES RETURN TAXABLE-LOGO GIFT</v>
      </c>
      <c r="C89" s="11"/>
      <c r="D89" s="2">
        <f>-491.64</f>
        <v>-491.64</v>
      </c>
      <c r="E89" s="2"/>
      <c r="F89" s="19"/>
      <c r="G89" s="2"/>
      <c r="H89" s="2">
        <f>-373.89</f>
        <v>-373.89</v>
      </c>
      <c r="I89" s="2"/>
      <c r="J89" s="19"/>
      <c r="K89" s="2"/>
      <c r="L89" s="2">
        <f t="shared" si="0"/>
        <v>-117.75</v>
      </c>
      <c r="M89" s="2"/>
      <c r="N89" s="19">
        <f t="shared" si="1"/>
        <v>0.31493219930995747</v>
      </c>
      <c r="O89" s="11"/>
      <c r="P89" s="2">
        <f>-3209.59</f>
        <v>-3209.59</v>
      </c>
      <c r="Q89" s="2"/>
      <c r="R89" s="19"/>
      <c r="S89" s="2"/>
      <c r="T89" s="2">
        <f>-3791.56</f>
        <v>-3791.56</v>
      </c>
      <c r="U89" s="2"/>
      <c r="V89" s="19"/>
      <c r="W89" s="2"/>
      <c r="X89" s="2">
        <f t="shared" si="2"/>
        <v>581.9699999999998</v>
      </c>
      <c r="Y89" s="2"/>
      <c r="Z89" s="19">
        <f t="shared" si="3"/>
        <v>-0.1534909113926721</v>
      </c>
    </row>
    <row r="90" spans="1:26" s="24" customFormat="1" hidden="1" outlineLevel="1" x14ac:dyDescent="0.25">
      <c r="A90" s="44"/>
      <c r="B90" s="11" t="str">
        <f>CONCATENATE("          ", "4242", " - ", "SALES RETURN TAXABLE-EVERYDAY")</f>
        <v xml:space="preserve">          4242 - SALES RETURN TAXABLE-EVERYDAY</v>
      </c>
      <c r="C90" s="11"/>
      <c r="D90" s="2">
        <f>-532.3</f>
        <v>-532.29999999999995</v>
      </c>
      <c r="E90" s="2"/>
      <c r="F90" s="19"/>
      <c r="G90" s="2"/>
      <c r="H90" s="2">
        <f>-243.08</f>
        <v>-243.08</v>
      </c>
      <c r="I90" s="2"/>
      <c r="J90" s="19"/>
      <c r="K90" s="2"/>
      <c r="L90" s="2">
        <f t="shared" si="0"/>
        <v>-289.21999999999991</v>
      </c>
      <c r="M90" s="2"/>
      <c r="N90" s="19">
        <f t="shared" si="1"/>
        <v>1.1898140529866705</v>
      </c>
      <c r="O90" s="11"/>
      <c r="P90" s="2">
        <f>-1691.87</f>
        <v>-1691.87</v>
      </c>
      <c r="Q90" s="2"/>
      <c r="R90" s="19"/>
      <c r="S90" s="2"/>
      <c r="T90" s="2">
        <f>-1309.3</f>
        <v>-1309.3</v>
      </c>
      <c r="U90" s="2"/>
      <c r="V90" s="19"/>
      <c r="W90" s="2"/>
      <c r="X90" s="2">
        <f t="shared" si="2"/>
        <v>-382.56999999999994</v>
      </c>
      <c r="Y90" s="2"/>
      <c r="Z90" s="19">
        <f t="shared" si="3"/>
        <v>0.29219430229893834</v>
      </c>
    </row>
    <row r="91" spans="1:26" s="24" customFormat="1" hidden="1" outlineLevel="1" x14ac:dyDescent="0.25">
      <c r="A91" s="44"/>
      <c r="B91" s="11" t="str">
        <f>CONCATENATE("          ", "4243", " - ", "SALES RETURN TAXABLE-CARDS")</f>
        <v xml:space="preserve">          4243 - SALES RETURN TAXABLE-CARDS</v>
      </c>
      <c r="C91" s="11"/>
      <c r="D91" s="2">
        <f>-316.34</f>
        <v>-316.33999999999997</v>
      </c>
      <c r="E91" s="2"/>
      <c r="F91" s="19"/>
      <c r="G91" s="2"/>
      <c r="H91" s="2">
        <f>-7</f>
        <v>-7</v>
      </c>
      <c r="I91" s="2"/>
      <c r="J91" s="19"/>
      <c r="K91" s="2"/>
      <c r="L91" s="2">
        <f t="shared" si="0"/>
        <v>-309.33999999999997</v>
      </c>
      <c r="M91" s="2"/>
      <c r="N91" s="19">
        <f t="shared" si="1"/>
        <v>44.191428571428567</v>
      </c>
      <c r="O91" s="11"/>
      <c r="P91" s="2">
        <f>-320.84</f>
        <v>-320.83999999999997</v>
      </c>
      <c r="Q91" s="2"/>
      <c r="R91" s="19"/>
      <c r="S91" s="2"/>
      <c r="T91" s="2">
        <f>-19.95</f>
        <v>-19.95</v>
      </c>
      <c r="U91" s="2"/>
      <c r="V91" s="19"/>
      <c r="W91" s="2"/>
      <c r="X91" s="2">
        <f t="shared" si="2"/>
        <v>-300.89</v>
      </c>
      <c r="Y91" s="2"/>
      <c r="Z91" s="19">
        <f t="shared" si="3"/>
        <v>15.08220551378446</v>
      </c>
    </row>
    <row r="92" spans="1:26" s="24" customFormat="1" hidden="1" outlineLevel="1" x14ac:dyDescent="0.25">
      <c r="A92" s="44"/>
      <c r="B92" s="11" t="str">
        <f>CONCATENATE("          ", "4244", " - ", "SALES RETURN TAXABLE-ACCESSORI")</f>
        <v xml:space="preserve">          4244 - SALES RETURN TAXABLE-ACCESSORI</v>
      </c>
      <c r="C92" s="11"/>
      <c r="D92" s="2">
        <f>-96.7</f>
        <v>-96.7</v>
      </c>
      <c r="E92" s="2"/>
      <c r="F92" s="19"/>
      <c r="G92" s="2"/>
      <c r="H92" s="2">
        <f>-141.81</f>
        <v>-141.81</v>
      </c>
      <c r="I92" s="2"/>
      <c r="J92" s="19"/>
      <c r="K92" s="2"/>
      <c r="L92" s="2">
        <f t="shared" si="0"/>
        <v>45.11</v>
      </c>
      <c r="M92" s="2"/>
      <c r="N92" s="19">
        <f t="shared" si="1"/>
        <v>-0.31810168535364219</v>
      </c>
      <c r="O92" s="11"/>
      <c r="P92" s="2">
        <f>-1529.06</f>
        <v>-1529.06</v>
      </c>
      <c r="Q92" s="2"/>
      <c r="R92" s="19"/>
      <c r="S92" s="2"/>
      <c r="T92" s="2">
        <f>-2589.87</f>
        <v>-2589.87</v>
      </c>
      <c r="U92" s="2"/>
      <c r="V92" s="19"/>
      <c r="W92" s="2"/>
      <c r="X92" s="2">
        <f t="shared" si="2"/>
        <v>1060.81</v>
      </c>
      <c r="Y92" s="2"/>
      <c r="Z92" s="19">
        <f t="shared" si="3"/>
        <v>-0.40959970963793552</v>
      </c>
    </row>
    <row r="93" spans="1:26" s="24" customFormat="1" hidden="1" outlineLevel="1" x14ac:dyDescent="0.25">
      <c r="A93" s="44"/>
      <c r="B93" s="11" t="str">
        <f>CONCATENATE("          ", "4245", " - ", "SALES RETURN TAXABLE-SPECIAL O")</f>
        <v xml:space="preserve">          4245 - SALES RETURN TAXABLE-SPECIAL O</v>
      </c>
      <c r="C93" s="11"/>
      <c r="D93" s="2">
        <f t="shared" ref="D93:D94" si="6">0</f>
        <v>0</v>
      </c>
      <c r="E93" s="2"/>
      <c r="F93" s="19"/>
      <c r="G93" s="2"/>
      <c r="H93" s="2">
        <f>-44.94</f>
        <v>-44.94</v>
      </c>
      <c r="I93" s="2"/>
      <c r="J93" s="19"/>
      <c r="K93" s="2"/>
      <c r="L93" s="2">
        <f t="shared" si="0"/>
        <v>44.94</v>
      </c>
      <c r="M93" s="2"/>
      <c r="N93" s="19">
        <f t="shared" si="1"/>
        <v>-1</v>
      </c>
      <c r="O93" s="11"/>
      <c r="P93" s="2">
        <f>-91.96</f>
        <v>-91.96</v>
      </c>
      <c r="Q93" s="2"/>
      <c r="R93" s="19"/>
      <c r="S93" s="2"/>
      <c r="T93" s="2">
        <f>-219.79</f>
        <v>-219.79</v>
      </c>
      <c r="U93" s="2"/>
      <c r="V93" s="19"/>
      <c r="W93" s="2"/>
      <c r="X93" s="2">
        <f t="shared" si="2"/>
        <v>127.83</v>
      </c>
      <c r="Y93" s="2"/>
      <c r="Z93" s="19">
        <f t="shared" si="3"/>
        <v>-0.58160061877246461</v>
      </c>
    </row>
    <row r="94" spans="1:26" s="24" customFormat="1" hidden="1" outlineLevel="1" x14ac:dyDescent="0.25">
      <c r="A94" s="44"/>
      <c r="B94" s="11" t="str">
        <f>CONCATENATE("          ", "4281", " - ", "SALES RETURN TAXABLE-ELECTRONI")</f>
        <v xml:space="preserve">          4281 - SALES RETURN TAXABLE-ELECTRONI</v>
      </c>
      <c r="C94" s="11"/>
      <c r="D94" s="2">
        <f t="shared" si="6"/>
        <v>0</v>
      </c>
      <c r="E94" s="2"/>
      <c r="F94" s="19"/>
      <c r="G94" s="2"/>
      <c r="H94" s="2">
        <f>-24.99</f>
        <v>-24.99</v>
      </c>
      <c r="I94" s="2"/>
      <c r="J94" s="19"/>
      <c r="K94" s="2"/>
      <c r="L94" s="2">
        <f t="shared" si="0"/>
        <v>24.99</v>
      </c>
      <c r="M94" s="2"/>
      <c r="N94" s="19">
        <f t="shared" si="1"/>
        <v>-1</v>
      </c>
      <c r="O94" s="11"/>
      <c r="P94" s="2">
        <f>-44.98</f>
        <v>-44.98</v>
      </c>
      <c r="Q94" s="2"/>
      <c r="R94" s="19"/>
      <c r="S94" s="2"/>
      <c r="T94" s="2">
        <f>-24.99</f>
        <v>-24.99</v>
      </c>
      <c r="U94" s="2"/>
      <c r="V94" s="19"/>
      <c r="W94" s="2"/>
      <c r="X94" s="2">
        <f t="shared" si="2"/>
        <v>-19.989999999999998</v>
      </c>
      <c r="Y94" s="2"/>
      <c r="Z94" s="19">
        <f t="shared" si="3"/>
        <v>0.79991996798719489</v>
      </c>
    </row>
    <row r="95" spans="1:26" s="24" customFormat="1" hidden="1" outlineLevel="1" x14ac:dyDescent="0.25">
      <c r="A95" s="44"/>
      <c r="B95" s="11" t="str">
        <f>CONCATENATE("          ", "4292", " - ", "SALES RETURN TAXABLE-GRAD MERC")</f>
        <v xml:space="preserve">          4292 - SALES RETURN TAXABLE-GRAD MERC</v>
      </c>
      <c r="C95" s="11"/>
      <c r="D95" s="2">
        <f>-9.95</f>
        <v>-9.9499999999999993</v>
      </c>
      <c r="E95" s="2"/>
      <c r="F95" s="19"/>
      <c r="G95" s="2"/>
      <c r="H95" s="2">
        <f>-9.99</f>
        <v>-9.99</v>
      </c>
      <c r="I95" s="2"/>
      <c r="J95" s="19"/>
      <c r="K95" s="2"/>
      <c r="L95" s="2">
        <f t="shared" si="0"/>
        <v>4.0000000000000924E-2</v>
      </c>
      <c r="M95" s="2"/>
      <c r="N95" s="19">
        <f t="shared" si="1"/>
        <v>-4.0040040040040968E-3</v>
      </c>
      <c r="O95" s="11"/>
      <c r="P95" s="2">
        <f>-419.05</f>
        <v>-419.05</v>
      </c>
      <c r="Q95" s="2"/>
      <c r="R95" s="19"/>
      <c r="S95" s="2"/>
      <c r="T95" s="2">
        <f>-488.24</f>
        <v>-488.24</v>
      </c>
      <c r="U95" s="2"/>
      <c r="V95" s="19"/>
      <c r="W95" s="2"/>
      <c r="X95" s="2">
        <f t="shared" si="2"/>
        <v>69.19</v>
      </c>
      <c r="Y95" s="2"/>
      <c r="Z95" s="19">
        <f t="shared" si="3"/>
        <v>-0.14171309192200557</v>
      </c>
    </row>
    <row r="96" spans="1:26" s="24" customFormat="1" hidden="1" outlineLevel="1" x14ac:dyDescent="0.25">
      <c r="A96" s="44"/>
      <c r="B96" s="11" t="str">
        <f>CONCATENATE("          ", "4295", " - ", "SALES RETURN TAXABLE-CUSTOMER")</f>
        <v xml:space="preserve">          4295 - SALES RETURN TAXABLE-CUSTOMER</v>
      </c>
      <c r="C96" s="11"/>
      <c r="D96" s="2">
        <f t="shared" ref="D96:D99" si="7">0</f>
        <v>0</v>
      </c>
      <c r="E96" s="2"/>
      <c r="F96" s="19"/>
      <c r="G96" s="2"/>
      <c r="H96" s="2">
        <f>-27.72</f>
        <v>-27.72</v>
      </c>
      <c r="I96" s="2"/>
      <c r="J96" s="19"/>
      <c r="K96" s="2"/>
      <c r="L96" s="2">
        <f t="shared" si="0"/>
        <v>27.72</v>
      </c>
      <c r="M96" s="2"/>
      <c r="N96" s="19">
        <f t="shared" si="1"/>
        <v>-1</v>
      </c>
      <c r="O96" s="11"/>
      <c r="P96" s="2">
        <f>--0.99</f>
        <v>0.99</v>
      </c>
      <c r="Q96" s="2"/>
      <c r="R96" s="19"/>
      <c r="S96" s="2"/>
      <c r="T96" s="2">
        <f>-126.72</f>
        <v>-126.72</v>
      </c>
      <c r="U96" s="2"/>
      <c r="V96" s="19"/>
      <c r="W96" s="2"/>
      <c r="X96" s="2">
        <f t="shared" si="2"/>
        <v>127.71</v>
      </c>
      <c r="Y96" s="2"/>
      <c r="Z96" s="19">
        <f t="shared" si="3"/>
        <v>-1.0078125</v>
      </c>
    </row>
    <row r="97" spans="1:26" s="24" customFormat="1" hidden="1" outlineLevel="1" x14ac:dyDescent="0.25">
      <c r="A97" s="44"/>
      <c r="B97" s="11" t="str">
        <f>CONCATENATE("          ", "4301", " - ", "SALES RETURN NON TAXABLE-NEW T")</f>
        <v xml:space="preserve">          4301 - SALES RETURN NON TAXABLE-NEW T</v>
      </c>
      <c r="C97" s="11"/>
      <c r="D97" s="2">
        <f t="shared" si="7"/>
        <v>0</v>
      </c>
      <c r="E97" s="2"/>
      <c r="F97" s="19"/>
      <c r="G97" s="2"/>
      <c r="H97" s="2">
        <f>-111.62</f>
        <v>-111.62</v>
      </c>
      <c r="I97" s="2"/>
      <c r="J97" s="19"/>
      <c r="K97" s="2"/>
      <c r="L97" s="2">
        <f t="shared" si="0"/>
        <v>111.62</v>
      </c>
      <c r="M97" s="2"/>
      <c r="N97" s="19">
        <f t="shared" si="1"/>
        <v>-1</v>
      </c>
      <c r="O97" s="11"/>
      <c r="P97" s="2">
        <f>-12310.98</f>
        <v>-12310.98</v>
      </c>
      <c r="Q97" s="2"/>
      <c r="R97" s="19"/>
      <c r="S97" s="2"/>
      <c r="T97" s="2">
        <f>-25032.99</f>
        <v>-25032.99</v>
      </c>
      <c r="U97" s="2"/>
      <c r="V97" s="19"/>
      <c r="W97" s="2"/>
      <c r="X97" s="2">
        <f t="shared" si="2"/>
        <v>12722.010000000002</v>
      </c>
      <c r="Y97" s="2"/>
      <c r="Z97" s="19">
        <f t="shared" si="3"/>
        <v>-0.50820976639226878</v>
      </c>
    </row>
    <row r="98" spans="1:26" s="24" customFormat="1" hidden="1" outlineLevel="1" x14ac:dyDescent="0.25">
      <c r="A98" s="44"/>
      <c r="B98" s="11" t="str">
        <f>CONCATENATE("          ", "4302", " - ", "SALES RETURN NON TAXABLE-TEXT")</f>
        <v xml:space="preserve">          4302 - SALES RETURN NON TAXABLE-TEXT</v>
      </c>
      <c r="C98" s="11"/>
      <c r="D98" s="2">
        <f t="shared" si="7"/>
        <v>0</v>
      </c>
      <c r="E98" s="2"/>
      <c r="F98" s="19"/>
      <c r="G98" s="2"/>
      <c r="H98" s="2">
        <f>-54</f>
        <v>-54</v>
      </c>
      <c r="I98" s="2"/>
      <c r="J98" s="19"/>
      <c r="K98" s="2"/>
      <c r="L98" s="2">
        <f t="shared" si="0"/>
        <v>54</v>
      </c>
      <c r="M98" s="2"/>
      <c r="N98" s="19">
        <f t="shared" si="1"/>
        <v>-1</v>
      </c>
      <c r="O98" s="11"/>
      <c r="P98" s="2">
        <f>-683.8</f>
        <v>-683.8</v>
      </c>
      <c r="Q98" s="2"/>
      <c r="R98" s="19"/>
      <c r="S98" s="2"/>
      <c r="T98" s="2">
        <f>-2206.04</f>
        <v>-2206.04</v>
      </c>
      <c r="U98" s="2"/>
      <c r="V98" s="19"/>
      <c r="W98" s="2"/>
      <c r="X98" s="2">
        <f t="shared" si="2"/>
        <v>1522.24</v>
      </c>
      <c r="Y98" s="2"/>
      <c r="Z98" s="19">
        <f t="shared" si="3"/>
        <v>-0.69003281898786972</v>
      </c>
    </row>
    <row r="99" spans="1:26" s="24" customFormat="1" hidden="1" outlineLevel="1" x14ac:dyDescent="0.25">
      <c r="A99" s="44"/>
      <c r="B99" s="11" t="str">
        <f>CONCATENATE("          ", "4303", " - ", "SALES RETURN NON-TAXABLE-RENTA")</f>
        <v xml:space="preserve">          4303 - SALES RETURN NON-TAXABLE-RENTA</v>
      </c>
      <c r="C99" s="11"/>
      <c r="D99" s="2">
        <f t="shared" si="7"/>
        <v>0</v>
      </c>
      <c r="E99" s="2"/>
      <c r="F99" s="19"/>
      <c r="G99" s="2"/>
      <c r="H99" s="2">
        <f t="shared" ref="H99:H103" si="8">0</f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-184.99</f>
        <v>-184.99</v>
      </c>
      <c r="Q99" s="2"/>
      <c r="R99" s="19"/>
      <c r="S99" s="2"/>
      <c r="T99" s="2">
        <f>-509.85</f>
        <v>-509.85</v>
      </c>
      <c r="U99" s="2"/>
      <c r="V99" s="19"/>
      <c r="W99" s="2"/>
      <c r="X99" s="2">
        <f t="shared" si="2"/>
        <v>324.86</v>
      </c>
      <c r="Y99" s="2"/>
      <c r="Z99" s="19">
        <f t="shared" si="3"/>
        <v>-0.63716779444934779</v>
      </c>
    </row>
    <row r="100" spans="1:26" s="24" customFormat="1" hidden="1" outlineLevel="1" x14ac:dyDescent="0.25">
      <c r="A100" s="44"/>
      <c r="B100" s="11" t="str">
        <f>CONCATENATE("          ", "4304", " - ", "SALES RETURN NON TAXABLE-DIGIT")</f>
        <v xml:space="preserve">          4304 - SALES RETURN NON TAXABLE-DIGIT</v>
      </c>
      <c r="C100" s="11"/>
      <c r="D100" s="2">
        <f>-70.58</f>
        <v>-70.58</v>
      </c>
      <c r="E100" s="2"/>
      <c r="F100" s="19"/>
      <c r="G100" s="2"/>
      <c r="H100" s="2">
        <f t="shared" si="8"/>
        <v>0</v>
      </c>
      <c r="I100" s="2"/>
      <c r="J100" s="19"/>
      <c r="K100" s="2"/>
      <c r="L100" s="2">
        <f t="shared" si="0"/>
        <v>-70.58</v>
      </c>
      <c r="M100" s="2"/>
      <c r="N100" s="19">
        <f t="shared" si="1"/>
        <v>0</v>
      </c>
      <c r="O100" s="11"/>
      <c r="P100" s="2">
        <f>-13203.87</f>
        <v>-13203.87</v>
      </c>
      <c r="Q100" s="2"/>
      <c r="R100" s="19"/>
      <c r="S100" s="2"/>
      <c r="T100" s="2">
        <f>-3743.75</f>
        <v>-3743.75</v>
      </c>
      <c r="U100" s="2"/>
      <c r="V100" s="19"/>
      <c r="W100" s="2"/>
      <c r="X100" s="2">
        <f t="shared" si="2"/>
        <v>-9460.1200000000008</v>
      </c>
      <c r="Y100" s="2"/>
      <c r="Z100" s="19">
        <f t="shared" si="3"/>
        <v>2.5269101836393992</v>
      </c>
    </row>
    <row r="101" spans="1:26" s="24" customFormat="1" hidden="1" outlineLevel="1" x14ac:dyDescent="0.25">
      <c r="A101" s="44"/>
      <c r="B101" s="11" t="str">
        <f>CONCATENATE("          ", "4311", " - ", "SALES RETURN NON TAXABLE-NO VA")</f>
        <v xml:space="preserve">          4311 - SALES RETURN NON TAXABLE-NO VA</v>
      </c>
      <c r="C101" s="11"/>
      <c r="D101" s="2">
        <f t="shared" ref="D101:D103" si="9">0</f>
        <v>0</v>
      </c>
      <c r="E101" s="2"/>
      <c r="F101" s="19"/>
      <c r="G101" s="2"/>
      <c r="H101" s="2">
        <f t="shared" si="8"/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-387.96</f>
        <v>-387.96</v>
      </c>
      <c r="Q101" s="2"/>
      <c r="R101" s="19"/>
      <c r="S101" s="2"/>
      <c r="T101" s="2">
        <f>-586.28</f>
        <v>-586.28</v>
      </c>
      <c r="U101" s="2"/>
      <c r="V101" s="19"/>
      <c r="W101" s="2"/>
      <c r="X101" s="2">
        <f t="shared" si="2"/>
        <v>198.32</v>
      </c>
      <c r="Y101" s="2"/>
      <c r="Z101" s="19">
        <f t="shared" si="3"/>
        <v>-0.33826840417547932</v>
      </c>
    </row>
    <row r="102" spans="1:26" s="24" customFormat="1" hidden="1" outlineLevel="1" x14ac:dyDescent="0.25">
      <c r="A102" s="44"/>
      <c r="B102" s="11" t="str">
        <f>CONCATENATE("          ", "4326", " - ", "SALES RETURN NON TAXABLE-WRITI")</f>
        <v xml:space="preserve">          4326 - SALES RETURN NON TAXABLE-WRITI</v>
      </c>
      <c r="C102" s="11"/>
      <c r="D102" s="2">
        <f t="shared" si="9"/>
        <v>0</v>
      </c>
      <c r="E102" s="2"/>
      <c r="F102" s="19"/>
      <c r="G102" s="2"/>
      <c r="H102" s="2">
        <f t="shared" si="8"/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0</f>
        <v>0</v>
      </c>
      <c r="Q102" s="2"/>
      <c r="R102" s="19"/>
      <c r="S102" s="2"/>
      <c r="T102" s="2">
        <f>-8.08</f>
        <v>-8.08</v>
      </c>
      <c r="U102" s="2"/>
      <c r="V102" s="19"/>
      <c r="W102" s="2"/>
      <c r="X102" s="2">
        <f t="shared" si="2"/>
        <v>8.08</v>
      </c>
      <c r="Y102" s="2"/>
      <c r="Z102" s="19">
        <f t="shared" si="3"/>
        <v>-1</v>
      </c>
    </row>
    <row r="103" spans="1:26" s="24" customFormat="1" hidden="1" outlineLevel="1" x14ac:dyDescent="0.25">
      <c r="A103" s="44"/>
      <c r="B103" s="11" t="str">
        <f>CONCATENATE("          ", "4327", " - ", "SALES RETURN NON TAXABLE-SCHOO")</f>
        <v xml:space="preserve">          4327 - SALES RETURN NON TAXABLE-SCHOO</v>
      </c>
      <c r="C103" s="11"/>
      <c r="D103" s="2">
        <f t="shared" si="9"/>
        <v>0</v>
      </c>
      <c r="E103" s="2"/>
      <c r="F103" s="19"/>
      <c r="G103" s="2"/>
      <c r="H103" s="2">
        <f t="shared" si="8"/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-21.87</f>
        <v>-21.87</v>
      </c>
      <c r="Q103" s="2"/>
      <c r="R103" s="19"/>
      <c r="S103" s="2"/>
      <c r="T103" s="2">
        <f>0</f>
        <v>0</v>
      </c>
      <c r="U103" s="2"/>
      <c r="V103" s="19"/>
      <c r="W103" s="2"/>
      <c r="X103" s="2">
        <f t="shared" si="2"/>
        <v>-21.87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"4340", " - ", "SALES RETURN NON TAXABLE-LOGO")</f>
        <v xml:space="preserve">          4340 - SALES RETURN NON TAXABLE-LOGO</v>
      </c>
      <c r="C104" s="11"/>
      <c r="D104" s="2">
        <f>-29.95</f>
        <v>-29.95</v>
      </c>
      <c r="E104" s="2"/>
      <c r="F104" s="19"/>
      <c r="G104" s="2"/>
      <c r="H104" s="2">
        <f>-34.95</f>
        <v>-34.950000000000003</v>
      </c>
      <c r="I104" s="2"/>
      <c r="J104" s="19"/>
      <c r="K104" s="2"/>
      <c r="L104" s="2">
        <f t="shared" si="0"/>
        <v>5.0000000000000036</v>
      </c>
      <c r="M104" s="2"/>
      <c r="N104" s="19">
        <f t="shared" si="1"/>
        <v>-0.14306151645207449</v>
      </c>
      <c r="O104" s="11"/>
      <c r="P104" s="2">
        <f>-323.4</f>
        <v>-323.39999999999998</v>
      </c>
      <c r="Q104" s="2"/>
      <c r="R104" s="19"/>
      <c r="S104" s="2"/>
      <c r="T104" s="2">
        <f>-301.59</f>
        <v>-301.58999999999997</v>
      </c>
      <c r="U104" s="2"/>
      <c r="V104" s="19"/>
      <c r="W104" s="2"/>
      <c r="X104" s="2">
        <f t="shared" si="2"/>
        <v>-21.810000000000002</v>
      </c>
      <c r="Y104" s="2"/>
      <c r="Z104" s="19">
        <f t="shared" si="3"/>
        <v>7.2316721376703488E-2</v>
      </c>
    </row>
    <row r="105" spans="1:26" s="24" customFormat="1" hidden="1" outlineLevel="1" x14ac:dyDescent="0.25">
      <c r="A105" s="44"/>
      <c r="B105" s="11" t="str">
        <f>CONCATENATE("          ", "4341", " - ", "SALES RETURN NON TAXABLE-LOGO")</f>
        <v xml:space="preserve">          4341 - SALES RETURN NON TAXABLE-LOGO</v>
      </c>
      <c r="C105" s="11"/>
      <c r="D105" s="2">
        <f>0</f>
        <v>0</v>
      </c>
      <c r="E105" s="2"/>
      <c r="F105" s="19"/>
      <c r="G105" s="2"/>
      <c r="H105" s="2">
        <f t="shared" ref="H105:H107" si="10">0</f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-10.9</f>
        <v>-10.9</v>
      </c>
      <c r="Q105" s="2"/>
      <c r="R105" s="19"/>
      <c r="S105" s="2"/>
      <c r="T105" s="2">
        <f>-60</f>
        <v>-60</v>
      </c>
      <c r="U105" s="2"/>
      <c r="V105" s="19"/>
      <c r="W105" s="2"/>
      <c r="X105" s="2">
        <f t="shared" si="2"/>
        <v>49.1</v>
      </c>
      <c r="Y105" s="2"/>
      <c r="Z105" s="19">
        <f t="shared" si="3"/>
        <v>-0.81833333333333336</v>
      </c>
    </row>
    <row r="106" spans="1:26" s="24" customFormat="1" hidden="1" outlineLevel="1" x14ac:dyDescent="0.25">
      <c r="A106" s="44"/>
      <c r="B106" s="11" t="str">
        <f>CONCATENATE("          ", "4342", " - ", "SALES RETURN NON TAXABLE-EVERY")</f>
        <v xml:space="preserve">          4342 - SALES RETURN NON TAXABLE-EVERY</v>
      </c>
      <c r="C106" s="11"/>
      <c r="D106" s="2">
        <f>-6.95</f>
        <v>-6.95</v>
      </c>
      <c r="E106" s="2"/>
      <c r="F106" s="19"/>
      <c r="G106" s="2"/>
      <c r="H106" s="2">
        <f t="shared" si="10"/>
        <v>0</v>
      </c>
      <c r="I106" s="2"/>
      <c r="J106" s="19"/>
      <c r="K106" s="2"/>
      <c r="L106" s="2">
        <f t="shared" si="0"/>
        <v>-6.95</v>
      </c>
      <c r="M106" s="2"/>
      <c r="N106" s="19">
        <f t="shared" si="1"/>
        <v>0</v>
      </c>
      <c r="O106" s="11"/>
      <c r="P106" s="2">
        <f>-109.8</f>
        <v>-109.8</v>
      </c>
      <c r="Q106" s="2"/>
      <c r="R106" s="19"/>
      <c r="S106" s="2"/>
      <c r="T106" s="2">
        <f t="shared" ref="T106:T107" si="11">0</f>
        <v>0</v>
      </c>
      <c r="U106" s="2"/>
      <c r="V106" s="19"/>
      <c r="W106" s="2"/>
      <c r="X106" s="2">
        <f t="shared" si="2"/>
        <v>-109.8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"4346", " - ", "SALES RETURN NON TAXABLE-COIN-")</f>
        <v xml:space="preserve">          4346 - SALES RETURN NON TAXABLE-COIN-</v>
      </c>
      <c r="C107" s="11"/>
      <c r="D107" s="2">
        <f>0</f>
        <v>0</v>
      </c>
      <c r="E107" s="2"/>
      <c r="F107" s="19"/>
      <c r="G107" s="2"/>
      <c r="H107" s="2">
        <f t="shared" si="10"/>
        <v>0</v>
      </c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-8.15</f>
        <v>-8.15</v>
      </c>
      <c r="Q107" s="2"/>
      <c r="R107" s="19"/>
      <c r="S107" s="2"/>
      <c r="T107" s="2">
        <f t="shared" si="11"/>
        <v>0</v>
      </c>
      <c r="U107" s="2"/>
      <c r="V107" s="19"/>
      <c r="W107" s="2"/>
      <c r="X107" s="2">
        <f t="shared" si="2"/>
        <v>-8.15</v>
      </c>
      <c r="Y107" s="2"/>
      <c r="Z107" s="19">
        <f t="shared" si="3"/>
        <v>0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collapsed="1" x14ac:dyDescent="0.25">
      <c r="A109" s="10"/>
      <c r="B109" s="28" t="s">
        <v>8</v>
      </c>
      <c r="C109" s="10"/>
      <c r="D109" s="4">
        <f>SUM(OSRRefD16x_0)</f>
        <v>356386.66000000021</v>
      </c>
      <c r="E109" s="4"/>
      <c r="F109" s="12">
        <f t="shared" ref="F109:F161" si="12">IF(D$12=0,0,D109/D$12)</f>
        <v>0.47447623066020961</v>
      </c>
      <c r="G109" s="4"/>
      <c r="H109" s="4">
        <f>SUM(OSRRefH16x_0)</f>
        <v>279677.67</v>
      </c>
      <c r="I109" s="4"/>
      <c r="J109" s="12">
        <f t="shared" ref="J109:J161" si="13">IF(H$12=0,0,H109/H$12)</f>
        <v>0.46474528363025447</v>
      </c>
      <c r="K109" s="4"/>
      <c r="L109" s="4">
        <f t="shared" ref="L109:L161" si="14">+D109-H109</f>
        <v>76708.990000000224</v>
      </c>
      <c r="M109" s="4"/>
      <c r="N109" s="12">
        <f t="shared" ref="N109:N161" si="15">IF(H109=0,0,L109/H109)</f>
        <v>0.27427641970844591</v>
      </c>
      <c r="O109" s="10"/>
      <c r="P109" s="4">
        <f>SUM(OSRRefP16x_0)</f>
        <v>3705118.4800000009</v>
      </c>
      <c r="Q109" s="4"/>
      <c r="R109" s="12">
        <f t="shared" ref="R109:R161" si="16">IF(P$12=0,0,P109/P$12)</f>
        <v>0.57089613859972044</v>
      </c>
      <c r="S109" s="4"/>
      <c r="T109" s="4">
        <f>SUM(OSRRefT16x_0)</f>
        <v>3943393.5099999988</v>
      </c>
      <c r="U109" s="4"/>
      <c r="V109" s="12">
        <f t="shared" ref="V109:V161" si="17">IF(T$12=0,0,T109/T$12)</f>
        <v>0.58928530653866917</v>
      </c>
      <c r="W109" s="4"/>
      <c r="X109" s="4">
        <f t="shared" ref="X109:X161" si="18">+P109-T109</f>
        <v>-238275.02999999793</v>
      </c>
      <c r="Y109" s="4"/>
      <c r="Z109" s="12">
        <f t="shared" ref="Z109:Z161" si="19">IF(T109=0,0,X109/T109)</f>
        <v>-6.0423853058478562E-2</v>
      </c>
    </row>
    <row r="110" spans="1:26" s="24" customFormat="1" hidden="1" outlineLevel="1" x14ac:dyDescent="0.25">
      <c r="A110" s="44"/>
      <c r="B110" s="11" t="str">
        <f>CONCATENATE("          ", "5001", " - ", "PURCHASES @ COST-NEW TEXT")</f>
        <v xml:space="preserve">          5001 - PURCHASES @ COST-NEW TEXT</v>
      </c>
      <c r="C110" s="11"/>
      <c r="D110" s="2">
        <v>-175297.72999999998</v>
      </c>
      <c r="E110" s="2"/>
      <c r="F110" s="19">
        <f t="shared" si="12"/>
        <v>-0.23338305135689166</v>
      </c>
      <c r="G110" s="2"/>
      <c r="H110" s="2">
        <v>-3892.46</v>
      </c>
      <c r="I110" s="2"/>
      <c r="J110" s="19">
        <f t="shared" si="13"/>
        <v>-6.468168970084098E-3</v>
      </c>
      <c r="K110" s="2"/>
      <c r="L110" s="2">
        <f t="shared" si="14"/>
        <v>-171405.27</v>
      </c>
      <c r="M110" s="2"/>
      <c r="N110" s="19">
        <f t="shared" si="15"/>
        <v>44.03520395842218</v>
      </c>
      <c r="O110" s="11"/>
      <c r="P110" s="2">
        <v>1581850.69</v>
      </c>
      <c r="Q110" s="2"/>
      <c r="R110" s="19">
        <f t="shared" si="16"/>
        <v>0.24373645691413981</v>
      </c>
      <c r="S110" s="2"/>
      <c r="T110" s="2">
        <v>1720657.5599999998</v>
      </c>
      <c r="U110" s="2"/>
      <c r="V110" s="19">
        <f t="shared" si="17"/>
        <v>0.25712833759080733</v>
      </c>
      <c r="W110" s="2"/>
      <c r="X110" s="2">
        <f t="shared" si="18"/>
        <v>-138806.86999999988</v>
      </c>
      <c r="Y110" s="2"/>
      <c r="Z110" s="19">
        <f t="shared" si="19"/>
        <v>-8.0670827959515606E-2</v>
      </c>
    </row>
    <row r="111" spans="1:26" s="24" customFormat="1" hidden="1" outlineLevel="1" x14ac:dyDescent="0.25">
      <c r="A111" s="44"/>
      <c r="B111" s="11" t="str">
        <f>CONCATENATE("          ", "5002", " - ", "PURCHASES @ COST-USED TEXT")</f>
        <v xml:space="preserve">          5002 - PURCHASES @ COST-USED TEXT</v>
      </c>
      <c r="C111" s="11"/>
      <c r="D111" s="2">
        <v>-155785.26999999999</v>
      </c>
      <c r="E111" s="2"/>
      <c r="F111" s="19">
        <f t="shared" si="12"/>
        <v>-0.20740509115010924</v>
      </c>
      <c r="G111" s="2"/>
      <c r="H111" s="2">
        <v>-8649.41</v>
      </c>
      <c r="I111" s="2"/>
      <c r="J111" s="19">
        <f t="shared" si="13"/>
        <v>-1.4372876117297314E-2</v>
      </c>
      <c r="K111" s="2"/>
      <c r="L111" s="2">
        <f t="shared" si="14"/>
        <v>-147135.85999999999</v>
      </c>
      <c r="M111" s="2"/>
      <c r="N111" s="19">
        <f t="shared" si="15"/>
        <v>17.011086305308684</v>
      </c>
      <c r="O111" s="11"/>
      <c r="P111" s="2">
        <v>212247.9</v>
      </c>
      <c r="Q111" s="2"/>
      <c r="R111" s="19">
        <f t="shared" si="16"/>
        <v>3.2703814247769906E-2</v>
      </c>
      <c r="S111" s="2"/>
      <c r="T111" s="2">
        <v>308318.01</v>
      </c>
      <c r="U111" s="2"/>
      <c r="V111" s="19">
        <f t="shared" si="17"/>
        <v>4.6073837818494189E-2</v>
      </c>
      <c r="W111" s="2"/>
      <c r="X111" s="2">
        <f t="shared" si="18"/>
        <v>-96070.110000000015</v>
      </c>
      <c r="Y111" s="2"/>
      <c r="Z111" s="19">
        <f t="shared" si="19"/>
        <v>-0.31159422052574876</v>
      </c>
    </row>
    <row r="112" spans="1:26" s="24" customFormat="1" hidden="1" outlineLevel="1" x14ac:dyDescent="0.25">
      <c r="A112" s="44"/>
      <c r="B112" s="11" t="str">
        <f>CONCATENATE("          ", "5003", " - ", "PURCHASES @ COST-RENTAL TEXT")</f>
        <v xml:space="preserve">          5003 - PURCHASES @ COST-RENTAL TEXT</v>
      </c>
      <c r="C112" s="11"/>
      <c r="D112" s="2"/>
      <c r="E112" s="2"/>
      <c r="F112" s="19">
        <f t="shared" si="12"/>
        <v>0</v>
      </c>
      <c r="G112" s="2"/>
      <c r="H112" s="2">
        <v>-1948.8</v>
      </c>
      <c r="I112" s="2"/>
      <c r="J112" s="19">
        <f t="shared" si="13"/>
        <v>-3.2383550990632893E-3</v>
      </c>
      <c r="K112" s="2"/>
      <c r="L112" s="2">
        <f t="shared" si="14"/>
        <v>1948.8</v>
      </c>
      <c r="M112" s="2"/>
      <c r="N112" s="19">
        <f t="shared" si="15"/>
        <v>-1</v>
      </c>
      <c r="O112" s="11"/>
      <c r="P112" s="2">
        <v>-78.400000000000006</v>
      </c>
      <c r="Q112" s="2"/>
      <c r="R112" s="19">
        <f t="shared" si="16"/>
        <v>-1.2080114983588344E-5</v>
      </c>
      <c r="S112" s="2"/>
      <c r="T112" s="2">
        <v>-1763.7</v>
      </c>
      <c r="U112" s="2"/>
      <c r="V112" s="19">
        <f t="shared" si="17"/>
        <v>-2.6356043151834756E-4</v>
      </c>
      <c r="W112" s="2"/>
      <c r="X112" s="2">
        <f t="shared" si="18"/>
        <v>1685.3</v>
      </c>
      <c r="Y112" s="2"/>
      <c r="Z112" s="19">
        <f t="shared" si="19"/>
        <v>-0.95554799569087712</v>
      </c>
    </row>
    <row r="113" spans="1:26" s="24" customFormat="1" hidden="1" outlineLevel="1" x14ac:dyDescent="0.25">
      <c r="A113" s="44"/>
      <c r="B113" s="11" t="str">
        <f>CONCATENATE("          ", "5004", " - ", "PURCHASES @ COST-DIGITAL TEXT")</f>
        <v xml:space="preserve">          5004 - PURCHASES @ COST-DIGITAL TEXT</v>
      </c>
      <c r="C113" s="11"/>
      <c r="D113" s="2">
        <v>0.94</v>
      </c>
      <c r="E113" s="2"/>
      <c r="F113" s="19">
        <f t="shared" si="12"/>
        <v>1.2514712442396041E-6</v>
      </c>
      <c r="G113" s="2"/>
      <c r="H113" s="2">
        <v>15359.04</v>
      </c>
      <c r="I113" s="2"/>
      <c r="J113" s="19">
        <f t="shared" si="13"/>
        <v>2.5522385827543629E-2</v>
      </c>
      <c r="K113" s="2"/>
      <c r="L113" s="2">
        <f t="shared" si="14"/>
        <v>-15358.1</v>
      </c>
      <c r="M113" s="2"/>
      <c r="N113" s="19">
        <f t="shared" si="15"/>
        <v>-0.9999387982582244</v>
      </c>
      <c r="O113" s="11"/>
      <c r="P113" s="2">
        <v>322779.97000000003</v>
      </c>
      <c r="Q113" s="2"/>
      <c r="R113" s="19">
        <f t="shared" si="16"/>
        <v>4.9734938163255062E-2</v>
      </c>
      <c r="S113" s="2"/>
      <c r="T113" s="2">
        <v>306955.37</v>
      </c>
      <c r="U113" s="2"/>
      <c r="V113" s="19">
        <f t="shared" si="17"/>
        <v>4.5870210225136945E-2</v>
      </c>
      <c r="W113" s="2"/>
      <c r="X113" s="2">
        <f t="shared" si="18"/>
        <v>15824.600000000035</v>
      </c>
      <c r="Y113" s="2"/>
      <c r="Z113" s="19">
        <f t="shared" si="19"/>
        <v>5.1553422896625116E-2</v>
      </c>
    </row>
    <row r="114" spans="1:26" s="24" customFormat="1" hidden="1" outlineLevel="1" x14ac:dyDescent="0.25">
      <c r="A114" s="44"/>
      <c r="B114" s="11" t="str">
        <f>CONCATENATE("          ", "5011", " - ", "PURCHASES @ COST-NO VALUE TEXT")</f>
        <v xml:space="preserve">          5011 - PURCHASES @ COST-NO VALUE TEXT</v>
      </c>
      <c r="C114" s="11"/>
      <c r="D114" s="2">
        <v>66</v>
      </c>
      <c r="E114" s="2"/>
      <c r="F114" s="19">
        <f t="shared" si="12"/>
        <v>8.7869257574270081E-5</v>
      </c>
      <c r="G114" s="2"/>
      <c r="H114" s="2">
        <v>63</v>
      </c>
      <c r="I114" s="2"/>
      <c r="J114" s="19">
        <f t="shared" si="13"/>
        <v>1.046882036335115E-4</v>
      </c>
      <c r="K114" s="2"/>
      <c r="L114" s="2">
        <f t="shared" si="14"/>
        <v>3</v>
      </c>
      <c r="M114" s="2"/>
      <c r="N114" s="19">
        <f t="shared" si="15"/>
        <v>4.7619047619047616E-2</v>
      </c>
      <c r="O114" s="11"/>
      <c r="P114" s="2">
        <v>3741</v>
      </c>
      <c r="Q114" s="2"/>
      <c r="R114" s="19">
        <f t="shared" si="16"/>
        <v>5.7642487440821421E-4</v>
      </c>
      <c r="S114" s="2"/>
      <c r="T114" s="2">
        <v>2838</v>
      </c>
      <c r="U114" s="2"/>
      <c r="V114" s="19">
        <f t="shared" si="17"/>
        <v>4.2409962275277561E-4</v>
      </c>
      <c r="W114" s="2"/>
      <c r="X114" s="2">
        <f t="shared" si="18"/>
        <v>903</v>
      </c>
      <c r="Y114" s="2"/>
      <c r="Z114" s="19">
        <f t="shared" si="19"/>
        <v>0.31818181818181818</v>
      </c>
    </row>
    <row r="115" spans="1:26" s="24" customFormat="1" hidden="1" outlineLevel="1" x14ac:dyDescent="0.25">
      <c r="A115" s="44"/>
      <c r="B115" s="11" t="str">
        <f>CONCATENATE("          ", "5013", " - ", "PURCHASES @ COST-TRADE BOOKS")</f>
        <v xml:space="preserve">          5013 - PURCHASES @ COST-TRADE BOOKS</v>
      </c>
      <c r="C115" s="11"/>
      <c r="D115" s="2">
        <v>10.79</v>
      </c>
      <c r="E115" s="2"/>
      <c r="F115" s="19">
        <f t="shared" si="12"/>
        <v>1.4365292261005668E-5</v>
      </c>
      <c r="G115" s="2"/>
      <c r="H115" s="2">
        <v>270</v>
      </c>
      <c r="I115" s="2"/>
      <c r="J115" s="19">
        <f t="shared" si="13"/>
        <v>4.4866372985790645E-4</v>
      </c>
      <c r="K115" s="2"/>
      <c r="L115" s="2">
        <f t="shared" si="14"/>
        <v>-259.20999999999998</v>
      </c>
      <c r="M115" s="2"/>
      <c r="N115" s="19">
        <f t="shared" si="15"/>
        <v>-0.96003703703703691</v>
      </c>
      <c r="O115" s="11"/>
      <c r="P115" s="2">
        <v>698.14</v>
      </c>
      <c r="Q115" s="2"/>
      <c r="R115" s="19">
        <f t="shared" si="16"/>
        <v>1.0757157493166284E-4</v>
      </c>
      <c r="S115" s="2"/>
      <c r="T115" s="2">
        <v>1406.94</v>
      </c>
      <c r="U115" s="2"/>
      <c r="V115" s="19">
        <f t="shared" si="17"/>
        <v>2.1024761213382317E-4</v>
      </c>
      <c r="W115" s="2"/>
      <c r="X115" s="2">
        <f t="shared" si="18"/>
        <v>-708.80000000000007</v>
      </c>
      <c r="Y115" s="2"/>
      <c r="Z115" s="19">
        <f t="shared" si="19"/>
        <v>-0.50378836339858135</v>
      </c>
    </row>
    <row r="116" spans="1:26" s="24" customFormat="1" hidden="1" outlineLevel="1" x14ac:dyDescent="0.25">
      <c r="A116" s="44"/>
      <c r="B116" s="11" t="str">
        <f>CONCATENATE("          ", "5014", " - ", "PURCHASES @ COST-REMAINDERS")</f>
        <v xml:space="preserve">          5014 - PURCHASES @ COST-REMAINDERS</v>
      </c>
      <c r="C116" s="11"/>
      <c r="D116" s="2">
        <v>114.84</v>
      </c>
      <c r="E116" s="2"/>
      <c r="F116" s="19">
        <f t="shared" si="12"/>
        <v>1.5289250817922996E-4</v>
      </c>
      <c r="G116" s="2"/>
      <c r="H116" s="2">
        <v>246.34</v>
      </c>
      <c r="I116" s="2"/>
      <c r="J116" s="19">
        <f t="shared" si="13"/>
        <v>4.0934749338220993E-4</v>
      </c>
      <c r="K116" s="2"/>
      <c r="L116" s="2">
        <f t="shared" si="14"/>
        <v>-131.5</v>
      </c>
      <c r="M116" s="2"/>
      <c r="N116" s="19">
        <f t="shared" si="15"/>
        <v>-0.53381505236664772</v>
      </c>
      <c r="O116" s="11"/>
      <c r="P116" s="2">
        <v>456.81</v>
      </c>
      <c r="Q116" s="2"/>
      <c r="R116" s="19">
        <f t="shared" si="16"/>
        <v>7.0386700582308569E-5</v>
      </c>
      <c r="S116" s="2"/>
      <c r="T116" s="2">
        <v>735.2</v>
      </c>
      <c r="U116" s="2"/>
      <c r="V116" s="19">
        <f t="shared" si="17"/>
        <v>1.0986541319515174E-4</v>
      </c>
      <c r="W116" s="2"/>
      <c r="X116" s="2">
        <f t="shared" si="18"/>
        <v>-278.39000000000004</v>
      </c>
      <c r="Y116" s="2"/>
      <c r="Z116" s="19">
        <f t="shared" si="19"/>
        <v>-0.37865886833514695</v>
      </c>
    </row>
    <row r="117" spans="1:26" s="24" customFormat="1" hidden="1" outlineLevel="1" x14ac:dyDescent="0.25">
      <c r="A117" s="44"/>
      <c r="B117" s="11" t="str">
        <f>CONCATENATE("          ", "5017", " - ", "PURCHASES @ COST-DORM/HOUSEWAR")</f>
        <v xml:space="preserve">          5017 - PURCHASES @ COST-DORM/HOUSEWAR</v>
      </c>
      <c r="C117" s="11"/>
      <c r="D117" s="2"/>
      <c r="E117" s="2"/>
      <c r="F117" s="19">
        <f t="shared" si="12"/>
        <v>0</v>
      </c>
      <c r="G117" s="2"/>
      <c r="H117" s="2"/>
      <c r="I117" s="2"/>
      <c r="J117" s="19">
        <f t="shared" si="13"/>
        <v>0</v>
      </c>
      <c r="K117" s="2"/>
      <c r="L117" s="2">
        <f t="shared" si="14"/>
        <v>0</v>
      </c>
      <c r="M117" s="2"/>
      <c r="N117" s="19">
        <f t="shared" si="15"/>
        <v>0</v>
      </c>
      <c r="O117" s="11"/>
      <c r="P117" s="2">
        <v>0</v>
      </c>
      <c r="Q117" s="2"/>
      <c r="R117" s="19">
        <f t="shared" si="16"/>
        <v>0</v>
      </c>
      <c r="S117" s="2"/>
      <c r="T117" s="2">
        <v>239.9</v>
      </c>
      <c r="U117" s="2"/>
      <c r="V117" s="19">
        <f t="shared" si="17"/>
        <v>3.5849717934598613E-5</v>
      </c>
      <c r="W117" s="2"/>
      <c r="X117" s="2">
        <f t="shared" si="18"/>
        <v>-239.9</v>
      </c>
      <c r="Y117" s="2"/>
      <c r="Z117" s="19">
        <f t="shared" si="19"/>
        <v>-1</v>
      </c>
    </row>
    <row r="118" spans="1:26" s="24" customFormat="1" hidden="1" outlineLevel="1" x14ac:dyDescent="0.25">
      <c r="A118" s="44"/>
      <c r="B118" s="11" t="str">
        <f>CONCATENATE("          ", "5018", " - ", "PURCHASES @ COST-STUDY GUIDES")</f>
        <v xml:space="preserve">          5018 - PURCHASES @ COST-STUDY GUIDES</v>
      </c>
      <c r="C118" s="11"/>
      <c r="D118" s="2"/>
      <c r="E118" s="2"/>
      <c r="F118" s="19">
        <f t="shared" si="12"/>
        <v>0</v>
      </c>
      <c r="G118" s="2"/>
      <c r="H118" s="2"/>
      <c r="I118" s="2"/>
      <c r="J118" s="19">
        <f t="shared" si="13"/>
        <v>0</v>
      </c>
      <c r="K118" s="2"/>
      <c r="L118" s="2">
        <f t="shared" si="14"/>
        <v>0</v>
      </c>
      <c r="M118" s="2"/>
      <c r="N118" s="19">
        <f t="shared" si="15"/>
        <v>0</v>
      </c>
      <c r="O118" s="11"/>
      <c r="P118" s="2">
        <v>802.09</v>
      </c>
      <c r="Q118" s="2"/>
      <c r="R118" s="19">
        <f t="shared" si="16"/>
        <v>1.2358851310186703E-4</v>
      </c>
      <c r="S118" s="2"/>
      <c r="T118" s="2">
        <v>1034.55</v>
      </c>
      <c r="U118" s="2"/>
      <c r="V118" s="19">
        <f t="shared" si="17"/>
        <v>1.5459910666627342E-4</v>
      </c>
      <c r="W118" s="2"/>
      <c r="X118" s="2">
        <f t="shared" si="18"/>
        <v>-232.45999999999992</v>
      </c>
      <c r="Y118" s="2"/>
      <c r="Z118" s="19">
        <f t="shared" si="19"/>
        <v>-0.22469672804601029</v>
      </c>
    </row>
    <row r="119" spans="1:26" s="24" customFormat="1" hidden="1" outlineLevel="1" x14ac:dyDescent="0.25">
      <c r="A119" s="44"/>
      <c r="B119" s="11" t="str">
        <f>CONCATENATE("          ", "5025", " - ", "PURCHASES @ COST-TEST FORMS")</f>
        <v xml:space="preserve">          5025 - PURCHASES @ COST-TEST FORMS</v>
      </c>
      <c r="C119" s="11"/>
      <c r="D119" s="2">
        <v>18846</v>
      </c>
      <c r="E119" s="2"/>
      <c r="F119" s="19">
        <f t="shared" si="12"/>
        <v>2.5090667094616576E-2</v>
      </c>
      <c r="G119" s="2"/>
      <c r="H119" s="2">
        <v>1000</v>
      </c>
      <c r="I119" s="2"/>
      <c r="J119" s="19">
        <f t="shared" si="13"/>
        <v>1.6617175179922462E-3</v>
      </c>
      <c r="K119" s="2"/>
      <c r="L119" s="2">
        <f t="shared" si="14"/>
        <v>17846</v>
      </c>
      <c r="M119" s="2"/>
      <c r="N119" s="19">
        <f t="shared" si="15"/>
        <v>17.846</v>
      </c>
      <c r="O119" s="11"/>
      <c r="P119" s="2">
        <v>22098.390000000003</v>
      </c>
      <c r="Q119" s="2"/>
      <c r="R119" s="19">
        <f t="shared" si="16"/>
        <v>3.4049884203084038E-3</v>
      </c>
      <c r="S119" s="2"/>
      <c r="T119" s="2">
        <v>2050</v>
      </c>
      <c r="U119" s="2"/>
      <c r="V119" s="19">
        <f t="shared" si="17"/>
        <v>3.0634398401803735E-4</v>
      </c>
      <c r="W119" s="2"/>
      <c r="X119" s="2">
        <f t="shared" si="18"/>
        <v>20048.390000000003</v>
      </c>
      <c r="Y119" s="2"/>
      <c r="Z119" s="19">
        <f t="shared" si="19"/>
        <v>9.7797024390243923</v>
      </c>
    </row>
    <row r="120" spans="1:26" s="24" customFormat="1" hidden="1" outlineLevel="1" x14ac:dyDescent="0.25">
      <c r="A120" s="44"/>
      <c r="B120" s="11" t="str">
        <f>CONCATENATE("          ", "5026", " - ", "PURCHASES @ COST-WRITING INSTR")</f>
        <v xml:space="preserve">          5026 - PURCHASES @ COST-WRITING INSTR</v>
      </c>
      <c r="C120" s="11"/>
      <c r="D120" s="2">
        <v>4633</v>
      </c>
      <c r="E120" s="2"/>
      <c r="F120" s="19">
        <f t="shared" si="12"/>
        <v>6.1681556112362619E-3</v>
      </c>
      <c r="G120" s="2"/>
      <c r="H120" s="2">
        <v>784.13</v>
      </c>
      <c r="I120" s="2"/>
      <c r="J120" s="19">
        <f t="shared" si="13"/>
        <v>1.3030025573832599E-3</v>
      </c>
      <c r="K120" s="2"/>
      <c r="L120" s="2">
        <f t="shared" si="14"/>
        <v>3848.87</v>
      </c>
      <c r="M120" s="2"/>
      <c r="N120" s="19">
        <f t="shared" si="15"/>
        <v>4.9084590565339932</v>
      </c>
      <c r="O120" s="11"/>
      <c r="P120" s="2">
        <v>29950.57</v>
      </c>
      <c r="Q120" s="2"/>
      <c r="R120" s="19">
        <f t="shared" si="16"/>
        <v>4.614876650816474E-3</v>
      </c>
      <c r="S120" s="2"/>
      <c r="T120" s="2">
        <v>28009.06</v>
      </c>
      <c r="U120" s="2"/>
      <c r="V120" s="19">
        <f t="shared" si="17"/>
        <v>4.1855644043903659E-3</v>
      </c>
      <c r="W120" s="2"/>
      <c r="X120" s="2">
        <f t="shared" si="18"/>
        <v>1941.5099999999984</v>
      </c>
      <c r="Y120" s="2"/>
      <c r="Z120" s="19">
        <f t="shared" si="19"/>
        <v>6.9317213787253071E-2</v>
      </c>
    </row>
    <row r="121" spans="1:26" s="24" customFormat="1" hidden="1" outlineLevel="1" x14ac:dyDescent="0.25">
      <c r="A121" s="44"/>
      <c r="B121" s="11" t="str">
        <f>CONCATENATE("          ", "5027", " - ", "PURCHASES @ COST-SCHOOL SUPPLI")</f>
        <v xml:space="preserve">          5027 - PURCHASES @ COST-SCHOOL SUPPLI</v>
      </c>
      <c r="C121" s="11"/>
      <c r="D121" s="2">
        <v>3483.98</v>
      </c>
      <c r="E121" s="2"/>
      <c r="F121" s="19">
        <f t="shared" si="12"/>
        <v>4.6384050909637192E-3</v>
      </c>
      <c r="G121" s="2"/>
      <c r="H121" s="2">
        <v>7654.23</v>
      </c>
      <c r="I121" s="2"/>
      <c r="J121" s="19">
        <f t="shared" si="13"/>
        <v>1.271916807774179E-2</v>
      </c>
      <c r="K121" s="2"/>
      <c r="L121" s="2">
        <f t="shared" si="14"/>
        <v>-4170.25</v>
      </c>
      <c r="M121" s="2"/>
      <c r="N121" s="19">
        <f t="shared" si="15"/>
        <v>-0.54482946031148793</v>
      </c>
      <c r="O121" s="11"/>
      <c r="P121" s="2">
        <v>75506.36</v>
      </c>
      <c r="Q121" s="2"/>
      <c r="R121" s="19">
        <f t="shared" si="16"/>
        <v>1.1634253964186424E-2</v>
      </c>
      <c r="S121" s="2"/>
      <c r="T121" s="2">
        <v>82233.260000000009</v>
      </c>
      <c r="U121" s="2"/>
      <c r="V121" s="19">
        <f t="shared" si="17"/>
        <v>1.2288616823020055E-2</v>
      </c>
      <c r="W121" s="2"/>
      <c r="X121" s="2">
        <f t="shared" si="18"/>
        <v>-6726.9000000000087</v>
      </c>
      <c r="Y121" s="2"/>
      <c r="Z121" s="19">
        <f t="shared" si="19"/>
        <v>-8.1802667193298775E-2</v>
      </c>
    </row>
    <row r="122" spans="1:26" s="24" customFormat="1" hidden="1" outlineLevel="1" x14ac:dyDescent="0.25">
      <c r="A122" s="44"/>
      <c r="B122" s="11" t="str">
        <f>CONCATENATE("          ", "5028", " - ", "PURCHASES @ COST-ART/TECH")</f>
        <v xml:space="preserve">          5028 - PURCHASES @ COST-ART/TECH</v>
      </c>
      <c r="C122" s="11"/>
      <c r="D122" s="2">
        <v>4931.4399999999996</v>
      </c>
      <c r="E122" s="2"/>
      <c r="F122" s="19">
        <f t="shared" si="12"/>
        <v>6.5654844177584614E-3</v>
      </c>
      <c r="G122" s="2"/>
      <c r="H122" s="2">
        <v>2870.17</v>
      </c>
      <c r="I122" s="2"/>
      <c r="J122" s="19">
        <f t="shared" si="13"/>
        <v>4.769411768615805E-3</v>
      </c>
      <c r="K122" s="2"/>
      <c r="L122" s="2">
        <f t="shared" si="14"/>
        <v>2061.2699999999995</v>
      </c>
      <c r="M122" s="2"/>
      <c r="N122" s="19">
        <f t="shared" si="15"/>
        <v>0.71817000386736651</v>
      </c>
      <c r="O122" s="11"/>
      <c r="P122" s="2">
        <v>95270.51</v>
      </c>
      <c r="Q122" s="2"/>
      <c r="R122" s="19">
        <f t="shared" si="16"/>
        <v>1.4679575450830398E-2</v>
      </c>
      <c r="S122" s="2"/>
      <c r="T122" s="2">
        <v>85665.68</v>
      </c>
      <c r="U122" s="2"/>
      <c r="V122" s="19">
        <f t="shared" si="17"/>
        <v>1.2801544246250877E-2</v>
      </c>
      <c r="W122" s="2"/>
      <c r="X122" s="2">
        <f t="shared" si="18"/>
        <v>9604.8300000000017</v>
      </c>
      <c r="Y122" s="2"/>
      <c r="Z122" s="19">
        <f t="shared" si="19"/>
        <v>0.11211992947467414</v>
      </c>
    </row>
    <row r="123" spans="1:26" s="24" customFormat="1" hidden="1" outlineLevel="1" x14ac:dyDescent="0.25">
      <c r="A123" s="44"/>
      <c r="B123" s="11" t="str">
        <f>CONCATENATE("          ", "5031", " - ", "PURCHASES @ COST-FOOD")</f>
        <v xml:space="preserve">          5031 - PURCHASES @ COST-FOOD</v>
      </c>
      <c r="C123" s="11"/>
      <c r="D123" s="2">
        <v>4825.3999999999996</v>
      </c>
      <c r="E123" s="2"/>
      <c r="F123" s="19">
        <f t="shared" si="12"/>
        <v>6.4243078105891338E-3</v>
      </c>
      <c r="G123" s="2"/>
      <c r="H123" s="2">
        <v>4001.16</v>
      </c>
      <c r="I123" s="2"/>
      <c r="J123" s="19">
        <f t="shared" si="13"/>
        <v>6.6487976642898555E-3</v>
      </c>
      <c r="K123" s="2"/>
      <c r="L123" s="2">
        <f t="shared" si="14"/>
        <v>824.23999999999978</v>
      </c>
      <c r="M123" s="2"/>
      <c r="N123" s="19">
        <f t="shared" si="15"/>
        <v>0.20600025992462181</v>
      </c>
      <c r="O123" s="11"/>
      <c r="P123" s="2">
        <v>20814.489999999998</v>
      </c>
      <c r="Q123" s="2"/>
      <c r="R123" s="19">
        <f t="shared" si="16"/>
        <v>3.2071611291422161E-3</v>
      </c>
      <c r="S123" s="2"/>
      <c r="T123" s="2">
        <v>17422.769999999997</v>
      </c>
      <c r="U123" s="2"/>
      <c r="V123" s="19">
        <f t="shared" si="17"/>
        <v>2.6035906216731412E-3</v>
      </c>
      <c r="W123" s="2"/>
      <c r="X123" s="2">
        <f t="shared" si="18"/>
        <v>3391.7200000000012</v>
      </c>
      <c r="Y123" s="2"/>
      <c r="Z123" s="19">
        <f t="shared" si="19"/>
        <v>0.19467168538642257</v>
      </c>
    </row>
    <row r="124" spans="1:26" s="24" customFormat="1" hidden="1" outlineLevel="1" x14ac:dyDescent="0.25">
      <c r="A124" s="44"/>
      <c r="B124" s="11" t="str">
        <f>CONCATENATE("          ", "5032", " - ", "PURCHASES @ COST-JUICE")</f>
        <v xml:space="preserve">          5032 - PURCHASES @ COST-JUICE</v>
      </c>
      <c r="C124" s="11"/>
      <c r="D124" s="2">
        <v>1278.21</v>
      </c>
      <c r="E124" s="2"/>
      <c r="F124" s="19">
        <f t="shared" si="12"/>
        <v>1.701747935212239E-3</v>
      </c>
      <c r="G124" s="2"/>
      <c r="H124" s="2">
        <v>842.58</v>
      </c>
      <c r="I124" s="2"/>
      <c r="J124" s="19">
        <f t="shared" si="13"/>
        <v>1.4001299463099067E-3</v>
      </c>
      <c r="K124" s="2"/>
      <c r="L124" s="2">
        <f t="shared" si="14"/>
        <v>435.63</v>
      </c>
      <c r="M124" s="2"/>
      <c r="N124" s="19">
        <f t="shared" si="15"/>
        <v>0.51701915545111443</v>
      </c>
      <c r="O124" s="11"/>
      <c r="P124" s="2">
        <v>4662.49</v>
      </c>
      <c r="Q124" s="2"/>
      <c r="R124" s="19">
        <f t="shared" si="16"/>
        <v>7.1841090956416861E-4</v>
      </c>
      <c r="S124" s="2"/>
      <c r="T124" s="2">
        <v>4678.3500000000004</v>
      </c>
      <c r="U124" s="2"/>
      <c r="V124" s="19">
        <f t="shared" si="17"/>
        <v>6.991143305516025E-4</v>
      </c>
      <c r="W124" s="2"/>
      <c r="X124" s="2">
        <f t="shared" si="18"/>
        <v>-15.860000000000582</v>
      </c>
      <c r="Y124" s="2"/>
      <c r="Z124" s="19">
        <f t="shared" si="19"/>
        <v>-3.3900841108511722E-3</v>
      </c>
    </row>
    <row r="125" spans="1:26" s="24" customFormat="1" hidden="1" outlineLevel="1" x14ac:dyDescent="0.25">
      <c r="A125" s="44"/>
      <c r="B125" s="11" t="str">
        <f>CONCATENATE("          ", "5033", " - ", "PURCHASES @ COST-CANDY")</f>
        <v xml:space="preserve">          5033 - PURCHASES @ COST-CANDY</v>
      </c>
      <c r="C125" s="11"/>
      <c r="D125" s="2">
        <v>1482.54</v>
      </c>
      <c r="E125" s="2"/>
      <c r="F125" s="19">
        <f t="shared" si="12"/>
        <v>1.9737831685478543E-3</v>
      </c>
      <c r="G125" s="2"/>
      <c r="H125" s="2">
        <v>871.44</v>
      </c>
      <c r="I125" s="2"/>
      <c r="J125" s="19">
        <f t="shared" si="13"/>
        <v>1.4480871138791631E-3</v>
      </c>
      <c r="K125" s="2"/>
      <c r="L125" s="2">
        <f t="shared" si="14"/>
        <v>611.09999999999991</v>
      </c>
      <c r="M125" s="2"/>
      <c r="N125" s="19">
        <f t="shared" si="15"/>
        <v>0.70125309832002192</v>
      </c>
      <c r="O125" s="11"/>
      <c r="P125" s="2">
        <v>5937.74</v>
      </c>
      <c r="Q125" s="2"/>
      <c r="R125" s="19">
        <f t="shared" si="16"/>
        <v>9.1490538192157979E-4</v>
      </c>
      <c r="S125" s="2"/>
      <c r="T125" s="2">
        <v>4438.3599999999997</v>
      </c>
      <c r="U125" s="2"/>
      <c r="V125" s="19">
        <f t="shared" si="17"/>
        <v>6.6325116336892495E-4</v>
      </c>
      <c r="W125" s="2"/>
      <c r="X125" s="2">
        <f t="shared" si="18"/>
        <v>1499.38</v>
      </c>
      <c r="Y125" s="2"/>
      <c r="Z125" s="19">
        <f t="shared" si="19"/>
        <v>0.33782297965915342</v>
      </c>
    </row>
    <row r="126" spans="1:26" s="24" customFormat="1" hidden="1" outlineLevel="1" x14ac:dyDescent="0.25">
      <c r="A126" s="44"/>
      <c r="B126" s="11" t="str">
        <f>CONCATENATE("          ", "5034", " - ", "PURCHASES @ COST-SODA")</f>
        <v xml:space="preserve">          5034 - PURCHASES @ COST-SODA</v>
      </c>
      <c r="C126" s="11"/>
      <c r="D126" s="2">
        <v>587.38</v>
      </c>
      <c r="E126" s="2"/>
      <c r="F126" s="19">
        <f t="shared" si="12"/>
        <v>7.8200976536325396E-4</v>
      </c>
      <c r="G126" s="2"/>
      <c r="H126" s="2">
        <v>402.87</v>
      </c>
      <c r="I126" s="2"/>
      <c r="J126" s="19">
        <f t="shared" si="13"/>
        <v>6.6945613647353616E-4</v>
      </c>
      <c r="K126" s="2"/>
      <c r="L126" s="2">
        <f t="shared" si="14"/>
        <v>184.51</v>
      </c>
      <c r="M126" s="2"/>
      <c r="N126" s="19">
        <f t="shared" si="15"/>
        <v>0.45798892943133018</v>
      </c>
      <c r="O126" s="11"/>
      <c r="P126" s="2">
        <v>2081.92</v>
      </c>
      <c r="Q126" s="2"/>
      <c r="R126" s="19">
        <f t="shared" si="16"/>
        <v>3.2078868605398274E-4</v>
      </c>
      <c r="S126" s="2"/>
      <c r="T126" s="2">
        <v>1660.62</v>
      </c>
      <c r="U126" s="2"/>
      <c r="V126" s="19">
        <f t="shared" si="17"/>
        <v>2.4815655938538201E-4</v>
      </c>
      <c r="W126" s="2"/>
      <c r="X126" s="2">
        <f t="shared" si="18"/>
        <v>421.30000000000018</v>
      </c>
      <c r="Y126" s="2"/>
      <c r="Z126" s="19">
        <f t="shared" si="19"/>
        <v>0.25370042514241681</v>
      </c>
    </row>
    <row r="127" spans="1:26" s="24" customFormat="1" hidden="1" outlineLevel="1" x14ac:dyDescent="0.25">
      <c r="A127" s="44"/>
      <c r="B127" s="11" t="str">
        <f>CONCATENATE("          ", "5035", " - ", "PURCHASES @ COST-HEALTH &amp; BEAU")</f>
        <v xml:space="preserve">          5035 - PURCHASES @ COST-HEALTH &amp; BEAU</v>
      </c>
      <c r="C127" s="11"/>
      <c r="D127" s="2">
        <v>222.52</v>
      </c>
      <c r="E127" s="2"/>
      <c r="F127" s="19">
        <f t="shared" si="12"/>
        <v>2.962525332640391E-4</v>
      </c>
      <c r="G127" s="2"/>
      <c r="H127" s="2">
        <v>88.54</v>
      </c>
      <c r="I127" s="2"/>
      <c r="J127" s="19">
        <f t="shared" si="13"/>
        <v>1.4712846904303348E-4</v>
      </c>
      <c r="K127" s="2"/>
      <c r="L127" s="2">
        <f t="shared" si="14"/>
        <v>133.98000000000002</v>
      </c>
      <c r="M127" s="2"/>
      <c r="N127" s="19">
        <f t="shared" si="15"/>
        <v>1.5132143663880733</v>
      </c>
      <c r="O127" s="11"/>
      <c r="P127" s="2">
        <v>801.21</v>
      </c>
      <c r="Q127" s="2"/>
      <c r="R127" s="19">
        <f t="shared" si="16"/>
        <v>1.2345291997450022E-4</v>
      </c>
      <c r="S127" s="2"/>
      <c r="T127" s="2">
        <v>557.87</v>
      </c>
      <c r="U127" s="2"/>
      <c r="V127" s="19">
        <f t="shared" si="17"/>
        <v>8.3365911397142677E-5</v>
      </c>
      <c r="W127" s="2"/>
      <c r="X127" s="2">
        <f t="shared" si="18"/>
        <v>243.34000000000003</v>
      </c>
      <c r="Y127" s="2"/>
      <c r="Z127" s="19">
        <f t="shared" si="19"/>
        <v>0.43619481241149377</v>
      </c>
    </row>
    <row r="128" spans="1:26" s="24" customFormat="1" hidden="1" outlineLevel="1" x14ac:dyDescent="0.25">
      <c r="A128" s="44"/>
      <c r="B128" s="11" t="str">
        <f>CONCATENATE("          ", "5037", " - ", "PURCHASES @ COST-WATER")</f>
        <v xml:space="preserve">          5037 - PURCHASES @ COST-WATER</v>
      </c>
      <c r="C128" s="11"/>
      <c r="D128" s="2">
        <v>667.52</v>
      </c>
      <c r="E128" s="2"/>
      <c r="F128" s="19">
        <f t="shared" si="12"/>
        <v>8.8870434569661763E-4</v>
      </c>
      <c r="G128" s="2"/>
      <c r="H128" s="2">
        <v>805.53</v>
      </c>
      <c r="I128" s="2"/>
      <c r="J128" s="19">
        <f t="shared" si="13"/>
        <v>1.338563312268294E-3</v>
      </c>
      <c r="K128" s="2"/>
      <c r="L128" s="2">
        <f t="shared" si="14"/>
        <v>-138.01</v>
      </c>
      <c r="M128" s="2"/>
      <c r="N128" s="19">
        <f t="shared" si="15"/>
        <v>-0.17132819385994313</v>
      </c>
      <c r="O128" s="11"/>
      <c r="P128" s="2">
        <v>3523.37</v>
      </c>
      <c r="Q128" s="2"/>
      <c r="R128" s="19">
        <f t="shared" si="16"/>
        <v>5.4289176951180691E-4</v>
      </c>
      <c r="S128" s="2"/>
      <c r="T128" s="2">
        <v>3471.61</v>
      </c>
      <c r="U128" s="2"/>
      <c r="V128" s="19">
        <f t="shared" si="17"/>
        <v>5.1878382358871154E-4</v>
      </c>
      <c r="W128" s="2"/>
      <c r="X128" s="2">
        <f t="shared" si="18"/>
        <v>51.759999999999764</v>
      </c>
      <c r="Y128" s="2"/>
      <c r="Z128" s="19">
        <f t="shared" si="19"/>
        <v>1.4909508844599411E-2</v>
      </c>
    </row>
    <row r="129" spans="1:26" s="24" customFormat="1" hidden="1" outlineLevel="1" x14ac:dyDescent="0.25">
      <c r="A129" s="44"/>
      <c r="B129" s="11" t="str">
        <f>CONCATENATE("          ", "5040", " - ", "PURCHASES @ COST-LOGO CLOTHING")</f>
        <v xml:space="preserve">          5040 - PURCHASES @ COST-LOGO CLOTHING</v>
      </c>
      <c r="C129" s="11"/>
      <c r="D129" s="2">
        <v>105691.4</v>
      </c>
      <c r="E129" s="2"/>
      <c r="F129" s="19">
        <f t="shared" si="12"/>
        <v>0.14071249772704861</v>
      </c>
      <c r="G129" s="2"/>
      <c r="H129" s="2">
        <v>105025.65000000001</v>
      </c>
      <c r="I129" s="2"/>
      <c r="J129" s="19">
        <f t="shared" si="13"/>
        <v>0.17452296244352236</v>
      </c>
      <c r="K129" s="2"/>
      <c r="L129" s="2">
        <f t="shared" si="14"/>
        <v>665.74999999998545</v>
      </c>
      <c r="M129" s="2"/>
      <c r="N129" s="19">
        <f t="shared" si="15"/>
        <v>6.3389276809996927E-3</v>
      </c>
      <c r="O129" s="11"/>
      <c r="P129" s="2">
        <v>618292.30999999994</v>
      </c>
      <c r="Q129" s="2"/>
      <c r="R129" s="19">
        <f t="shared" si="16"/>
        <v>9.5268395386077148E-2</v>
      </c>
      <c r="S129" s="2"/>
      <c r="T129" s="2">
        <v>548235.94000000006</v>
      </c>
      <c r="U129" s="2"/>
      <c r="V129" s="19">
        <f t="shared" si="17"/>
        <v>8.1926235142182294E-2</v>
      </c>
      <c r="W129" s="2"/>
      <c r="X129" s="2">
        <f t="shared" si="18"/>
        <v>70056.369999999879</v>
      </c>
      <c r="Y129" s="2"/>
      <c r="Z129" s="19">
        <f t="shared" si="19"/>
        <v>0.1277850737038507</v>
      </c>
    </row>
    <row r="130" spans="1:26" s="24" customFormat="1" hidden="1" outlineLevel="1" x14ac:dyDescent="0.25">
      <c r="A130" s="44"/>
      <c r="B130" s="11" t="str">
        <f>CONCATENATE("          ", "5041", " - ", "PURCHASES @ COST-LOGO GIFTS")</f>
        <v xml:space="preserve">          5041 - PURCHASES @ COST-LOGO GIFTS</v>
      </c>
      <c r="C130" s="11"/>
      <c r="D130" s="2">
        <v>18340.09</v>
      </c>
      <c r="E130" s="2"/>
      <c r="F130" s="19">
        <f t="shared" si="12"/>
        <v>2.4417122608262048E-2</v>
      </c>
      <c r="G130" s="2"/>
      <c r="H130" s="2">
        <v>13418.66</v>
      </c>
      <c r="I130" s="2"/>
      <c r="J130" s="19">
        <f t="shared" si="13"/>
        <v>2.2298022389981832E-2</v>
      </c>
      <c r="K130" s="2"/>
      <c r="L130" s="2">
        <f t="shared" si="14"/>
        <v>4921.43</v>
      </c>
      <c r="M130" s="2"/>
      <c r="N130" s="19">
        <f t="shared" si="15"/>
        <v>0.36676016830294533</v>
      </c>
      <c r="O130" s="11"/>
      <c r="P130" s="2">
        <v>88796.55</v>
      </c>
      <c r="Q130" s="2"/>
      <c r="R130" s="19">
        <f t="shared" si="16"/>
        <v>1.3682047629412648E-2</v>
      </c>
      <c r="S130" s="2"/>
      <c r="T130" s="2">
        <v>96519.51</v>
      </c>
      <c r="U130" s="2"/>
      <c r="V130" s="19">
        <f t="shared" si="17"/>
        <v>1.4423498160423803E-2</v>
      </c>
      <c r="W130" s="2"/>
      <c r="X130" s="2">
        <f t="shared" si="18"/>
        <v>-7722.9599999999919</v>
      </c>
      <c r="Y130" s="2"/>
      <c r="Z130" s="19">
        <f t="shared" si="19"/>
        <v>-8.0014496551008105E-2</v>
      </c>
    </row>
    <row r="131" spans="1:26" s="24" customFormat="1" hidden="1" outlineLevel="1" x14ac:dyDescent="0.25">
      <c r="A131" s="44"/>
      <c r="B131" s="11" t="str">
        <f>CONCATENATE("          ", "5042", " - ", "PURCHASES @ COST-EVERYDAY GIFT")</f>
        <v xml:space="preserve">          5042 - PURCHASES @ COST-EVERYDAY GIFT</v>
      </c>
      <c r="C131" s="11"/>
      <c r="D131" s="2">
        <v>31316.85</v>
      </c>
      <c r="E131" s="2"/>
      <c r="F131" s="19">
        <f t="shared" si="12"/>
        <v>4.1693763016133027E-2</v>
      </c>
      <c r="G131" s="2"/>
      <c r="H131" s="2">
        <v>14055.43</v>
      </c>
      <c r="I131" s="2"/>
      <c r="J131" s="19">
        <f t="shared" si="13"/>
        <v>2.3356154253913755E-2</v>
      </c>
      <c r="K131" s="2"/>
      <c r="L131" s="2">
        <f t="shared" si="14"/>
        <v>17261.419999999998</v>
      </c>
      <c r="M131" s="2"/>
      <c r="N131" s="19">
        <f t="shared" si="15"/>
        <v>1.2280961877366967</v>
      </c>
      <c r="O131" s="11"/>
      <c r="P131" s="2">
        <v>80565.319999999992</v>
      </c>
      <c r="Q131" s="2"/>
      <c r="R131" s="19">
        <f t="shared" si="16"/>
        <v>1.2413754200122317E-2</v>
      </c>
      <c r="S131" s="2"/>
      <c r="T131" s="2">
        <v>74390.78</v>
      </c>
      <c r="U131" s="2"/>
      <c r="V131" s="19">
        <f t="shared" si="17"/>
        <v>1.111666727776065E-2</v>
      </c>
      <c r="W131" s="2"/>
      <c r="X131" s="2">
        <f t="shared" si="18"/>
        <v>6174.5399999999936</v>
      </c>
      <c r="Y131" s="2"/>
      <c r="Z131" s="19">
        <f t="shared" si="19"/>
        <v>8.3001414960294728E-2</v>
      </c>
    </row>
    <row r="132" spans="1:26" s="24" customFormat="1" hidden="1" outlineLevel="1" x14ac:dyDescent="0.25">
      <c r="A132" s="44"/>
      <c r="B132" s="11" t="str">
        <f>CONCATENATE("          ", "5043", " - ", "PURCHASES @ COST-CARDS")</f>
        <v xml:space="preserve">          5043 - PURCHASES @ COST-CARDS</v>
      </c>
      <c r="C132" s="11"/>
      <c r="D132" s="2">
        <v>2188.66</v>
      </c>
      <c r="E132" s="2"/>
      <c r="F132" s="19">
        <f t="shared" si="12"/>
        <v>2.9138777164015449E-3</v>
      </c>
      <c r="G132" s="2"/>
      <c r="H132" s="2">
        <v>455.53</v>
      </c>
      <c r="I132" s="2"/>
      <c r="J132" s="19">
        <f t="shared" si="13"/>
        <v>7.5696218097100784E-4</v>
      </c>
      <c r="K132" s="2"/>
      <c r="L132" s="2">
        <f t="shared" si="14"/>
        <v>1733.1299999999999</v>
      </c>
      <c r="M132" s="2"/>
      <c r="N132" s="19">
        <f t="shared" si="15"/>
        <v>3.804645138629728</v>
      </c>
      <c r="O132" s="11"/>
      <c r="P132" s="2">
        <v>3528.74</v>
      </c>
      <c r="Q132" s="2"/>
      <c r="R132" s="19">
        <f t="shared" si="16"/>
        <v>5.4371919575494298E-4</v>
      </c>
      <c r="S132" s="2"/>
      <c r="T132" s="2">
        <v>2263.87</v>
      </c>
      <c r="U132" s="2"/>
      <c r="V132" s="19">
        <f t="shared" si="17"/>
        <v>3.3830388053605572E-4</v>
      </c>
      <c r="W132" s="2"/>
      <c r="X132" s="2">
        <f t="shared" si="18"/>
        <v>1264.8699999999999</v>
      </c>
      <c r="Y132" s="2"/>
      <c r="Z132" s="19">
        <f t="shared" si="19"/>
        <v>0.55872024453700964</v>
      </c>
    </row>
    <row r="133" spans="1:26" s="24" customFormat="1" hidden="1" outlineLevel="1" x14ac:dyDescent="0.25">
      <c r="A133" s="44"/>
      <c r="B133" s="11" t="str">
        <f>CONCATENATE("          ", "5044", " - ", "PURCHASES @ COST-ACCESSORIES")</f>
        <v xml:space="preserve">          5044 - PURCHASES @ COST-ACCESSORIES</v>
      </c>
      <c r="C133" s="11"/>
      <c r="D133" s="2">
        <v>-6895.55</v>
      </c>
      <c r="E133" s="2"/>
      <c r="F133" s="19">
        <f t="shared" si="12"/>
        <v>-9.1804069555493657E-3</v>
      </c>
      <c r="G133" s="2"/>
      <c r="H133" s="2">
        <v>1191.96</v>
      </c>
      <c r="I133" s="2"/>
      <c r="J133" s="19">
        <f t="shared" si="13"/>
        <v>1.9807008127460377E-3</v>
      </c>
      <c r="K133" s="2"/>
      <c r="L133" s="2">
        <f t="shared" si="14"/>
        <v>-8087.51</v>
      </c>
      <c r="M133" s="2"/>
      <c r="N133" s="19">
        <f t="shared" si="15"/>
        <v>-6.7850515117956975</v>
      </c>
      <c r="O133" s="11"/>
      <c r="P133" s="2">
        <v>17255.580000000002</v>
      </c>
      <c r="Q133" s="2"/>
      <c r="R133" s="19">
        <f t="shared" si="16"/>
        <v>2.6587932462819818E-3</v>
      </c>
      <c r="S133" s="2"/>
      <c r="T133" s="2">
        <v>20139.030000000002</v>
      </c>
      <c r="U133" s="2"/>
      <c r="V133" s="19">
        <f t="shared" si="17"/>
        <v>3.0094978948579394E-3</v>
      </c>
      <c r="W133" s="2"/>
      <c r="X133" s="2">
        <f t="shared" si="18"/>
        <v>-2883.4500000000007</v>
      </c>
      <c r="Y133" s="2"/>
      <c r="Z133" s="19">
        <f t="shared" si="19"/>
        <v>-0.14317720366869707</v>
      </c>
    </row>
    <row r="134" spans="1:26" s="24" customFormat="1" hidden="1" outlineLevel="1" x14ac:dyDescent="0.25">
      <c r="A134" s="44"/>
      <c r="B134" s="11" t="str">
        <f>CONCATENATE("          ", "5045", " - ", "PURCHASES @ COST-SPECIAL ORDER")</f>
        <v xml:space="preserve">          5045 - PURCHASES @ COST-SPECIAL ORDER</v>
      </c>
      <c r="C134" s="11"/>
      <c r="D134" s="2">
        <v>14163.29</v>
      </c>
      <c r="E134" s="2"/>
      <c r="F134" s="19">
        <f t="shared" si="12"/>
        <v>1.885632995619824E-2</v>
      </c>
      <c r="G134" s="2"/>
      <c r="H134" s="2">
        <v>7341.66</v>
      </c>
      <c r="I134" s="2"/>
      <c r="J134" s="19">
        <f t="shared" si="13"/>
        <v>1.2199765033142953E-2</v>
      </c>
      <c r="K134" s="2"/>
      <c r="L134" s="2">
        <f t="shared" si="14"/>
        <v>6821.630000000001</v>
      </c>
      <c r="M134" s="2"/>
      <c r="N134" s="19">
        <f t="shared" si="15"/>
        <v>0.92916724555482022</v>
      </c>
      <c r="O134" s="11"/>
      <c r="P134" s="2">
        <v>42226.49</v>
      </c>
      <c r="Q134" s="2"/>
      <c r="R134" s="19">
        <f t="shared" si="16"/>
        <v>6.5063884509355017E-3</v>
      </c>
      <c r="S134" s="2"/>
      <c r="T134" s="2">
        <v>49312.08</v>
      </c>
      <c r="U134" s="2"/>
      <c r="V134" s="19">
        <f t="shared" si="17"/>
        <v>7.369004413373746E-3</v>
      </c>
      <c r="W134" s="2"/>
      <c r="X134" s="2">
        <f t="shared" si="18"/>
        <v>-7085.5900000000038</v>
      </c>
      <c r="Y134" s="2"/>
      <c r="Z134" s="19">
        <f t="shared" si="19"/>
        <v>-0.14368872698129959</v>
      </c>
    </row>
    <row r="135" spans="1:26" s="24" customFormat="1" hidden="1" outlineLevel="1" x14ac:dyDescent="0.25">
      <c r="A135" s="44"/>
      <c r="B135" s="11" t="str">
        <f>CONCATENATE("          ", "5053", " - ", "PURCHASES @ COST-FOOD")</f>
        <v xml:space="preserve">          5053 - PURCHASES @ COST-FOOD</v>
      </c>
      <c r="C135" s="11"/>
      <c r="D135" s="2">
        <v>135831.22</v>
      </c>
      <c r="E135" s="2"/>
      <c r="F135" s="19">
        <f t="shared" si="12"/>
        <v>0.18083921904253555</v>
      </c>
      <c r="G135" s="2"/>
      <c r="H135" s="2">
        <v>104495.31</v>
      </c>
      <c r="I135" s="2"/>
      <c r="J135" s="19">
        <f t="shared" si="13"/>
        <v>0.17364168717503034</v>
      </c>
      <c r="K135" s="2"/>
      <c r="L135" s="2">
        <f t="shared" si="14"/>
        <v>31335.910000000003</v>
      </c>
      <c r="M135" s="2"/>
      <c r="N135" s="19">
        <f t="shared" si="15"/>
        <v>0.29987862613164173</v>
      </c>
      <c r="O135" s="11"/>
      <c r="P135" s="2">
        <v>713015.79</v>
      </c>
      <c r="Q135" s="2"/>
      <c r="R135" s="19">
        <f t="shared" si="16"/>
        <v>0.10986368275910817</v>
      </c>
      <c r="S135" s="2"/>
      <c r="T135" s="2">
        <v>636217.96</v>
      </c>
      <c r="U135" s="2"/>
      <c r="V135" s="19">
        <f t="shared" si="17"/>
        <v>9.5073924180599179E-2</v>
      </c>
      <c r="W135" s="2"/>
      <c r="X135" s="2">
        <f t="shared" si="18"/>
        <v>76797.830000000075</v>
      </c>
      <c r="Y135" s="2"/>
      <c r="Z135" s="19">
        <f t="shared" si="19"/>
        <v>0.12070993720453928</v>
      </c>
    </row>
    <row r="136" spans="1:26" s="24" customFormat="1" hidden="1" outlineLevel="1" x14ac:dyDescent="0.25">
      <c r="A136" s="44"/>
      <c r="B136" s="11" t="str">
        <f>CONCATENATE("          ", "5059", " - ", "PURCHASES @ COST-FOOD")</f>
        <v xml:space="preserve">          5059 - PURCHASES @ COST-FOOD</v>
      </c>
      <c r="C136" s="11"/>
      <c r="D136" s="2">
        <v>9484.76</v>
      </c>
      <c r="E136" s="2"/>
      <c r="F136" s="19">
        <f t="shared" si="12"/>
        <v>1.2627557870759606E-2</v>
      </c>
      <c r="G136" s="2"/>
      <c r="H136" s="2">
        <v>19337.96</v>
      </c>
      <c r="I136" s="2"/>
      <c r="J136" s="19">
        <f t="shared" si="13"/>
        <v>3.2134226894233335E-2</v>
      </c>
      <c r="K136" s="2"/>
      <c r="L136" s="2">
        <f t="shared" si="14"/>
        <v>-9853.1999999999989</v>
      </c>
      <c r="M136" s="2"/>
      <c r="N136" s="19">
        <f t="shared" si="15"/>
        <v>-0.50952634093772042</v>
      </c>
      <c r="O136" s="11"/>
      <c r="P136" s="2">
        <v>-34161.21</v>
      </c>
      <c r="Q136" s="2"/>
      <c r="R136" s="19">
        <f t="shared" si="16"/>
        <v>-5.263665111970765E-3</v>
      </c>
      <c r="S136" s="2"/>
      <c r="T136" s="2">
        <v>-10875.78</v>
      </c>
      <c r="U136" s="2"/>
      <c r="V136" s="19">
        <f t="shared" si="17"/>
        <v>-1.6252340363432636E-3</v>
      </c>
      <c r="W136" s="2"/>
      <c r="X136" s="2">
        <f t="shared" si="18"/>
        <v>-23285.43</v>
      </c>
      <c r="Y136" s="2"/>
      <c r="Z136" s="19">
        <f t="shared" si="19"/>
        <v>2.1410354015987818</v>
      </c>
    </row>
    <row r="137" spans="1:26" s="24" customFormat="1" hidden="1" outlineLevel="1" x14ac:dyDescent="0.25">
      <c r="A137" s="44"/>
      <c r="B137" s="11" t="str">
        <f>CONCATENATE("          ", "5081", " - ", "PURCHASES @ COST-ELECTRONICS")</f>
        <v xml:space="preserve">          5081 - PURCHASES @ COST-ELECTRONICS</v>
      </c>
      <c r="C137" s="11"/>
      <c r="D137" s="2">
        <v>281.74</v>
      </c>
      <c r="E137" s="2"/>
      <c r="F137" s="19">
        <f t="shared" si="12"/>
        <v>3.7509522165113417E-4</v>
      </c>
      <c r="G137" s="2"/>
      <c r="H137" s="2">
        <v>315.07</v>
      </c>
      <c r="I137" s="2"/>
      <c r="J137" s="19">
        <f t="shared" si="13"/>
        <v>5.23557338393817E-4</v>
      </c>
      <c r="K137" s="2"/>
      <c r="L137" s="2">
        <f t="shared" si="14"/>
        <v>-33.329999999999984</v>
      </c>
      <c r="M137" s="2"/>
      <c r="N137" s="19">
        <f t="shared" si="15"/>
        <v>-0.10578601580601131</v>
      </c>
      <c r="O137" s="11"/>
      <c r="P137" s="2">
        <v>1244.81</v>
      </c>
      <c r="Q137" s="2"/>
      <c r="R137" s="19">
        <f t="shared" si="16"/>
        <v>1.9180418281531387E-4</v>
      </c>
      <c r="S137" s="2"/>
      <c r="T137" s="2">
        <v>1844.8</v>
      </c>
      <c r="U137" s="2"/>
      <c r="V137" s="19">
        <f t="shared" si="17"/>
        <v>2.7567969839828064E-4</v>
      </c>
      <c r="W137" s="2"/>
      <c r="X137" s="2">
        <f t="shared" si="18"/>
        <v>-599.99</v>
      </c>
      <c r="Y137" s="2"/>
      <c r="Z137" s="19">
        <f t="shared" si="19"/>
        <v>-0.32523308759757158</v>
      </c>
    </row>
    <row r="138" spans="1:26" s="24" customFormat="1" hidden="1" outlineLevel="1" x14ac:dyDescent="0.25">
      <c r="A138" s="44"/>
      <c r="B138" s="11" t="str">
        <f>CONCATENATE("          ", "5082", " - ", "PURCHASES @ COST-COMPUTER HARD")</f>
        <v xml:space="preserve">          5082 - PURCHASES @ COST-COMPUTER HARD</v>
      </c>
      <c r="C138" s="11"/>
      <c r="D138" s="2">
        <v>95</v>
      </c>
      <c r="E138" s="2"/>
      <c r="F138" s="19">
        <f t="shared" si="12"/>
        <v>1.2647847681144936E-4</v>
      </c>
      <c r="G138" s="2"/>
      <c r="H138" s="2">
        <v>29</v>
      </c>
      <c r="I138" s="2"/>
      <c r="J138" s="19">
        <f t="shared" si="13"/>
        <v>4.8189808021775136E-5</v>
      </c>
      <c r="K138" s="2"/>
      <c r="L138" s="2">
        <f t="shared" si="14"/>
        <v>66</v>
      </c>
      <c r="M138" s="2"/>
      <c r="N138" s="19">
        <f t="shared" si="15"/>
        <v>2.2758620689655173</v>
      </c>
      <c r="O138" s="11"/>
      <c r="P138" s="2">
        <v>244.6</v>
      </c>
      <c r="Q138" s="2"/>
      <c r="R138" s="19">
        <f t="shared" si="16"/>
        <v>3.7688726084001391E-5</v>
      </c>
      <c r="S138" s="2"/>
      <c r="T138" s="2">
        <v>500</v>
      </c>
      <c r="U138" s="2"/>
      <c r="V138" s="19">
        <f t="shared" si="17"/>
        <v>7.4718044882448139E-5</v>
      </c>
      <c r="W138" s="2"/>
      <c r="X138" s="2">
        <f t="shared" si="18"/>
        <v>-255.4</v>
      </c>
      <c r="Y138" s="2"/>
      <c r="Z138" s="19">
        <f t="shared" si="19"/>
        <v>-0.51080000000000003</v>
      </c>
    </row>
    <row r="139" spans="1:26" s="24" customFormat="1" hidden="1" outlineLevel="1" x14ac:dyDescent="0.25">
      <c r="A139" s="44"/>
      <c r="B139" s="11" t="str">
        <f>CONCATENATE("          ", "5083", " - ", "PURCHASES @ COST-COMPUTER EQUI")</f>
        <v xml:space="preserve">          5083 - PURCHASES @ COST-COMPUTER EQUI</v>
      </c>
      <c r="C139" s="11"/>
      <c r="D139" s="2"/>
      <c r="E139" s="2"/>
      <c r="F139" s="19">
        <f t="shared" si="12"/>
        <v>0</v>
      </c>
      <c r="G139" s="2"/>
      <c r="H139" s="2">
        <v>146.77000000000001</v>
      </c>
      <c r="I139" s="2"/>
      <c r="J139" s="19">
        <f t="shared" si="13"/>
        <v>2.4389028011572198E-4</v>
      </c>
      <c r="K139" s="2"/>
      <c r="L139" s="2">
        <f t="shared" si="14"/>
        <v>-146.77000000000001</v>
      </c>
      <c r="M139" s="2"/>
      <c r="N139" s="19">
        <f t="shared" si="15"/>
        <v>-1</v>
      </c>
      <c r="O139" s="11"/>
      <c r="P139" s="2">
        <v>232.15</v>
      </c>
      <c r="Q139" s="2"/>
      <c r="R139" s="19">
        <f t="shared" si="16"/>
        <v>3.5770391497959619E-5</v>
      </c>
      <c r="S139" s="2"/>
      <c r="T139" s="2">
        <v>438.69</v>
      </c>
      <c r="U139" s="2"/>
      <c r="V139" s="19">
        <f t="shared" si="17"/>
        <v>6.5556118218962337E-5</v>
      </c>
      <c r="W139" s="2"/>
      <c r="X139" s="2">
        <f t="shared" si="18"/>
        <v>-206.54</v>
      </c>
      <c r="Y139" s="2"/>
      <c r="Z139" s="19">
        <f t="shared" si="19"/>
        <v>-0.47081082313250816</v>
      </c>
    </row>
    <row r="140" spans="1:26" s="24" customFormat="1" hidden="1" outlineLevel="1" x14ac:dyDescent="0.25">
      <c r="A140" s="44"/>
      <c r="B140" s="11" t="str">
        <f>CONCATENATE("          ", "5086", " - ", "PURCHASES @ COST-COMPUTER SUPP")</f>
        <v xml:space="preserve">          5086 - PURCHASES @ COST-COMPUTER SUPP</v>
      </c>
      <c r="C140" s="11"/>
      <c r="D140" s="2">
        <v>87</v>
      </c>
      <c r="E140" s="2"/>
      <c r="F140" s="19">
        <f t="shared" si="12"/>
        <v>1.1582765771153783E-4</v>
      </c>
      <c r="G140" s="2"/>
      <c r="H140" s="2">
        <v>31.23</v>
      </c>
      <c r="I140" s="2"/>
      <c r="J140" s="19">
        <f t="shared" si="13"/>
        <v>5.1895438086897844E-5</v>
      </c>
      <c r="K140" s="2"/>
      <c r="L140" s="2">
        <f t="shared" si="14"/>
        <v>55.769999999999996</v>
      </c>
      <c r="M140" s="2"/>
      <c r="N140" s="19">
        <f t="shared" si="15"/>
        <v>1.7857829010566761</v>
      </c>
      <c r="O140" s="11"/>
      <c r="P140" s="2">
        <v>228</v>
      </c>
      <c r="Q140" s="2"/>
      <c r="R140" s="19">
        <f t="shared" si="16"/>
        <v>3.5130946635945695E-5</v>
      </c>
      <c r="S140" s="2"/>
      <c r="T140" s="2">
        <v>488.76</v>
      </c>
      <c r="U140" s="2"/>
      <c r="V140" s="19">
        <f t="shared" si="17"/>
        <v>7.3038383233490692E-5</v>
      </c>
      <c r="W140" s="2"/>
      <c r="X140" s="2">
        <f t="shared" si="18"/>
        <v>-260.76</v>
      </c>
      <c r="Y140" s="2"/>
      <c r="Z140" s="19">
        <f t="shared" si="19"/>
        <v>-0.53351338080039279</v>
      </c>
    </row>
    <row r="141" spans="1:26" s="24" customFormat="1" hidden="1" outlineLevel="1" x14ac:dyDescent="0.25">
      <c r="A141" s="44"/>
      <c r="B141" s="11" t="str">
        <f>CONCATENATE("          ", "5092", " - ", "PURCHASES @ COST-GRAD MERCH")</f>
        <v xml:space="preserve">          5092 - PURCHASES @ COST-GRAD MERCH</v>
      </c>
      <c r="C141" s="11"/>
      <c r="D141" s="2">
        <v>628</v>
      </c>
      <c r="E141" s="2"/>
      <c r="F141" s="19">
        <f t="shared" si="12"/>
        <v>8.3608929934305472E-4</v>
      </c>
      <c r="G141" s="2"/>
      <c r="H141" s="2"/>
      <c r="I141" s="2"/>
      <c r="J141" s="19">
        <f t="shared" si="13"/>
        <v>0</v>
      </c>
      <c r="K141" s="2"/>
      <c r="L141" s="2">
        <f t="shared" si="14"/>
        <v>628</v>
      </c>
      <c r="M141" s="2"/>
      <c r="N141" s="19">
        <f t="shared" si="15"/>
        <v>0</v>
      </c>
      <c r="O141" s="11"/>
      <c r="P141" s="2">
        <v>1924.14</v>
      </c>
      <c r="Q141" s="2"/>
      <c r="R141" s="19">
        <f t="shared" si="16"/>
        <v>2.964774546495112E-4</v>
      </c>
      <c r="S141" s="2"/>
      <c r="T141" s="2">
        <v>-2698.04</v>
      </c>
      <c r="U141" s="2"/>
      <c r="V141" s="19">
        <f t="shared" si="17"/>
        <v>-4.0318454762928074E-4</v>
      </c>
      <c r="W141" s="2"/>
      <c r="X141" s="2">
        <f t="shared" si="18"/>
        <v>4622.18</v>
      </c>
      <c r="Y141" s="2"/>
      <c r="Z141" s="19">
        <f t="shared" si="19"/>
        <v>-1.7131621473365852</v>
      </c>
    </row>
    <row r="142" spans="1:26" s="24" customFormat="1" hidden="1" outlineLevel="1" x14ac:dyDescent="0.25">
      <c r="A142" s="44"/>
      <c r="B142" s="11" t="str">
        <f>CONCATENATE("          ", "5095", " - ", "PURCHASES @ COST-CUSTOMER SERV")</f>
        <v xml:space="preserve">          5095 - PURCHASES @ COST-CUSTOMER SERV</v>
      </c>
      <c r="C142" s="11"/>
      <c r="D142" s="2"/>
      <c r="E142" s="2"/>
      <c r="F142" s="19">
        <f t="shared" si="12"/>
        <v>0</v>
      </c>
      <c r="G142" s="2"/>
      <c r="H142" s="2"/>
      <c r="I142" s="2"/>
      <c r="J142" s="19">
        <f t="shared" si="13"/>
        <v>0</v>
      </c>
      <c r="K142" s="2"/>
      <c r="L142" s="2">
        <f t="shared" si="14"/>
        <v>0</v>
      </c>
      <c r="M142" s="2"/>
      <c r="N142" s="19">
        <f t="shared" si="15"/>
        <v>0</v>
      </c>
      <c r="O142" s="11"/>
      <c r="P142" s="2">
        <v>0</v>
      </c>
      <c r="Q142" s="2"/>
      <c r="R142" s="19">
        <f t="shared" si="16"/>
        <v>0</v>
      </c>
      <c r="S142" s="2"/>
      <c r="T142" s="2">
        <v>0</v>
      </c>
      <c r="U142" s="2"/>
      <c r="V142" s="19">
        <f t="shared" si="17"/>
        <v>0</v>
      </c>
      <c r="W142" s="2"/>
      <c r="X142" s="2">
        <f t="shared" si="18"/>
        <v>0</v>
      </c>
      <c r="Y142" s="2"/>
      <c r="Z142" s="19">
        <f t="shared" si="19"/>
        <v>0</v>
      </c>
    </row>
    <row r="143" spans="1:26" s="24" customFormat="1" hidden="1" outlineLevel="1" x14ac:dyDescent="0.25">
      <c r="A143" s="44"/>
      <c r="B143" s="11" t="str">
        <f>CONCATENATE("          ", "5200", " - ", "PURCHASES OFFSET")</f>
        <v xml:space="preserve">          5200 - PURCHASES OFFSET</v>
      </c>
      <c r="C143" s="11"/>
      <c r="D143" s="2">
        <v>114626</v>
      </c>
      <c r="E143" s="2"/>
      <c r="F143" s="19">
        <f t="shared" si="12"/>
        <v>0.15260759876830732</v>
      </c>
      <c r="G143" s="2"/>
      <c r="H143" s="2">
        <v>-171776</v>
      </c>
      <c r="I143" s="2"/>
      <c r="J143" s="19">
        <f t="shared" si="13"/>
        <v>-0.28544318837063609</v>
      </c>
      <c r="K143" s="2"/>
      <c r="L143" s="2">
        <f t="shared" si="14"/>
        <v>286402</v>
      </c>
      <c r="M143" s="2"/>
      <c r="N143" s="19">
        <f t="shared" si="15"/>
        <v>-1.6672992734724292</v>
      </c>
      <c r="O143" s="11"/>
      <c r="P143" s="2">
        <v>-2624146</v>
      </c>
      <c r="Q143" s="2"/>
      <c r="R143" s="19">
        <f t="shared" si="16"/>
        <v>-0.40433654864443136</v>
      </c>
      <c r="S143" s="2"/>
      <c r="T143" s="2">
        <v>-2635847</v>
      </c>
      <c r="U143" s="2"/>
      <c r="V143" s="19">
        <f t="shared" si="17"/>
        <v>-0.39389066889853253</v>
      </c>
      <c r="W143" s="2"/>
      <c r="X143" s="2">
        <f t="shared" si="18"/>
        <v>11701</v>
      </c>
      <c r="Y143" s="2"/>
      <c r="Z143" s="19">
        <f t="shared" si="19"/>
        <v>-4.4391802710855369E-3</v>
      </c>
    </row>
    <row r="144" spans="1:26" s="24" customFormat="1" hidden="1" outlineLevel="1" x14ac:dyDescent="0.25">
      <c r="A144" s="44"/>
      <c r="B144" s="11" t="str">
        <f>CONCATENATE("          ", "5300", " - ", "COG$ OFFSET")</f>
        <v xml:space="preserve">          5300 - COG$ OFFSET</v>
      </c>
      <c r="C144" s="11"/>
      <c r="D144" s="2">
        <v>210505</v>
      </c>
      <c r="E144" s="2"/>
      <c r="F144" s="19">
        <f t="shared" si="12"/>
        <v>0.28025633432835945</v>
      </c>
      <c r="G144" s="2"/>
      <c r="H144" s="2">
        <v>157616</v>
      </c>
      <c r="I144" s="2"/>
      <c r="J144" s="19">
        <f t="shared" si="13"/>
        <v>0.26191326831586587</v>
      </c>
      <c r="K144" s="2"/>
      <c r="L144" s="2">
        <f t="shared" si="14"/>
        <v>52889</v>
      </c>
      <c r="M144" s="2"/>
      <c r="N144" s="19">
        <f t="shared" si="15"/>
        <v>0.33555603492031266</v>
      </c>
      <c r="O144" s="11"/>
      <c r="P144" s="2">
        <v>2342898</v>
      </c>
      <c r="Q144" s="2"/>
      <c r="R144" s="19">
        <f t="shared" si="16"/>
        <v>0.36100098513799955</v>
      </c>
      <c r="S144" s="2"/>
      <c r="T144" s="2">
        <v>2522138</v>
      </c>
      <c r="U144" s="2"/>
      <c r="V144" s="19">
        <f t="shared" si="17"/>
        <v>0.37689844056745592</v>
      </c>
      <c r="W144" s="2"/>
      <c r="X144" s="2">
        <f t="shared" si="18"/>
        <v>-179240</v>
      </c>
      <c r="Y144" s="2"/>
      <c r="Z144" s="19">
        <f t="shared" si="19"/>
        <v>-7.1066690244546496E-2</v>
      </c>
    </row>
    <row r="145" spans="1:26" s="24" customFormat="1" hidden="1" outlineLevel="1" x14ac:dyDescent="0.25">
      <c r="A145" s="44"/>
      <c r="B145" s="11" t="str">
        <f>CONCATENATE("          ", "5500", " - ", "FREIGHT-IN")</f>
        <v xml:space="preserve">          5500 - FREIGHT-IN</v>
      </c>
      <c r="C145" s="11"/>
      <c r="D145" s="2"/>
      <c r="E145" s="2"/>
      <c r="F145" s="19">
        <f t="shared" si="12"/>
        <v>0</v>
      </c>
      <c r="G145" s="2"/>
      <c r="H145" s="2"/>
      <c r="I145" s="2"/>
      <c r="J145" s="19">
        <f t="shared" si="13"/>
        <v>0</v>
      </c>
      <c r="K145" s="2"/>
      <c r="L145" s="2">
        <f t="shared" si="14"/>
        <v>0</v>
      </c>
      <c r="M145" s="2"/>
      <c r="N145" s="19">
        <f t="shared" si="15"/>
        <v>0</v>
      </c>
      <c r="O145" s="11"/>
      <c r="P145" s="2">
        <v>35.229999999999997</v>
      </c>
      <c r="Q145" s="2"/>
      <c r="R145" s="19">
        <f t="shared" si="16"/>
        <v>5.4283475876507315E-6</v>
      </c>
      <c r="S145" s="2"/>
      <c r="T145" s="2">
        <v>0</v>
      </c>
      <c r="U145" s="2"/>
      <c r="V145" s="19">
        <f t="shared" si="17"/>
        <v>0</v>
      </c>
      <c r="W145" s="2"/>
      <c r="X145" s="2">
        <f t="shared" si="18"/>
        <v>35.229999999999997</v>
      </c>
      <c r="Y145" s="2"/>
      <c r="Z145" s="19">
        <f t="shared" si="19"/>
        <v>0</v>
      </c>
    </row>
    <row r="146" spans="1:26" s="24" customFormat="1" hidden="1" outlineLevel="1" x14ac:dyDescent="0.25">
      <c r="A146" s="44"/>
      <c r="B146" s="11" t="str">
        <f>CONCATENATE("          ", "5501", " - ", "FREIGHT-IN-NEW TEXT")</f>
        <v xml:space="preserve">          5501 - FREIGHT-IN-NEW TEXT</v>
      </c>
      <c r="C146" s="11"/>
      <c r="D146" s="2">
        <v>490.07</v>
      </c>
      <c r="E146" s="2"/>
      <c r="F146" s="19">
        <f t="shared" si="12"/>
        <v>6.5245586453670516E-4</v>
      </c>
      <c r="G146" s="2"/>
      <c r="H146" s="2">
        <v>588.1</v>
      </c>
      <c r="I146" s="2"/>
      <c r="J146" s="19">
        <f t="shared" si="13"/>
        <v>9.7725607233123987E-4</v>
      </c>
      <c r="K146" s="2"/>
      <c r="L146" s="2">
        <f t="shared" si="14"/>
        <v>-98.03000000000003</v>
      </c>
      <c r="M146" s="2"/>
      <c r="N146" s="19">
        <f t="shared" si="15"/>
        <v>-0.16668933854786605</v>
      </c>
      <c r="O146" s="11"/>
      <c r="P146" s="2">
        <v>34507.550000000003</v>
      </c>
      <c r="Q146" s="2"/>
      <c r="R146" s="19">
        <f t="shared" si="16"/>
        <v>5.3170302525755615E-3</v>
      </c>
      <c r="S146" s="2"/>
      <c r="T146" s="2">
        <v>36798.959999999999</v>
      </c>
      <c r="U146" s="2"/>
      <c r="V146" s="19">
        <f t="shared" si="17"/>
        <v>5.4990926898148274E-3</v>
      </c>
      <c r="W146" s="2"/>
      <c r="X146" s="2">
        <f t="shared" si="18"/>
        <v>-2291.4099999999962</v>
      </c>
      <c r="Y146" s="2"/>
      <c r="Z146" s="19">
        <f t="shared" si="19"/>
        <v>-6.2268335844273756E-2</v>
      </c>
    </row>
    <row r="147" spans="1:26" s="24" customFormat="1" hidden="1" outlineLevel="1" x14ac:dyDescent="0.25">
      <c r="A147" s="44"/>
      <c r="B147" s="11" t="str">
        <f>CONCATENATE("          ", "5502", " - ", "FREIGHT-IN-USED TEXT")</f>
        <v xml:space="preserve">          5502 - FREIGHT-IN-USED TEXT</v>
      </c>
      <c r="C147" s="11"/>
      <c r="D147" s="2">
        <v>237.65</v>
      </c>
      <c r="E147" s="2"/>
      <c r="F147" s="19">
        <f t="shared" si="12"/>
        <v>3.1639589488674676E-4</v>
      </c>
      <c r="G147" s="2"/>
      <c r="H147" s="2">
        <v>18.5</v>
      </c>
      <c r="I147" s="2"/>
      <c r="J147" s="19">
        <f t="shared" si="13"/>
        <v>3.0741774082856553E-5</v>
      </c>
      <c r="K147" s="2"/>
      <c r="L147" s="2">
        <f t="shared" si="14"/>
        <v>219.15</v>
      </c>
      <c r="M147" s="2"/>
      <c r="N147" s="19">
        <f t="shared" si="15"/>
        <v>11.845945945945946</v>
      </c>
      <c r="O147" s="11"/>
      <c r="P147" s="2">
        <v>7090.12</v>
      </c>
      <c r="Q147" s="2"/>
      <c r="R147" s="19">
        <f t="shared" si="16"/>
        <v>1.0924676638704005E-3</v>
      </c>
      <c r="S147" s="2"/>
      <c r="T147" s="2">
        <v>7751.05</v>
      </c>
      <c r="U147" s="2"/>
      <c r="V147" s="19">
        <f t="shared" si="17"/>
        <v>1.1582866035721993E-3</v>
      </c>
      <c r="W147" s="2"/>
      <c r="X147" s="2">
        <f t="shared" si="18"/>
        <v>-660.93000000000029</v>
      </c>
      <c r="Y147" s="2"/>
      <c r="Z147" s="19">
        <f t="shared" si="19"/>
        <v>-8.5269737648447669E-2</v>
      </c>
    </row>
    <row r="148" spans="1:26" s="24" customFormat="1" hidden="1" outlineLevel="1" x14ac:dyDescent="0.25">
      <c r="A148" s="44"/>
      <c r="B148" s="11" t="str">
        <f>CONCATENATE("          ", "5504", " - ", "FREIGHT-IN-DIGITAL TEXT")</f>
        <v xml:space="preserve">          5504 - FREIGHT-IN-DIGITAL TEXT</v>
      </c>
      <c r="C148" s="11"/>
      <c r="D148" s="2">
        <v>5</v>
      </c>
      <c r="E148" s="2"/>
      <c r="F148" s="19">
        <f t="shared" si="12"/>
        <v>6.6567619374447031E-6</v>
      </c>
      <c r="G148" s="2"/>
      <c r="H148" s="2"/>
      <c r="I148" s="2"/>
      <c r="J148" s="19">
        <f t="shared" si="13"/>
        <v>0</v>
      </c>
      <c r="K148" s="2"/>
      <c r="L148" s="2">
        <f t="shared" si="14"/>
        <v>5</v>
      </c>
      <c r="M148" s="2"/>
      <c r="N148" s="19">
        <f t="shared" si="15"/>
        <v>0</v>
      </c>
      <c r="O148" s="11"/>
      <c r="P148" s="2">
        <v>105.97</v>
      </c>
      <c r="Q148" s="2"/>
      <c r="R148" s="19">
        <f t="shared" si="16"/>
        <v>1.6328186030750724E-5</v>
      </c>
      <c r="S148" s="2"/>
      <c r="T148" s="2">
        <v>166.22</v>
      </c>
      <c r="U148" s="2"/>
      <c r="V148" s="19">
        <f t="shared" si="17"/>
        <v>2.4839266840721056E-5</v>
      </c>
      <c r="W148" s="2"/>
      <c r="X148" s="2">
        <f t="shared" si="18"/>
        <v>-60.25</v>
      </c>
      <c r="Y148" s="2"/>
      <c r="Z148" s="19">
        <f t="shared" si="19"/>
        <v>-0.36247142341475153</v>
      </c>
    </row>
    <row r="149" spans="1:26" s="24" customFormat="1" hidden="1" outlineLevel="1" x14ac:dyDescent="0.25">
      <c r="A149" s="44"/>
      <c r="B149" s="11" t="str">
        <f>CONCATENATE("          ", "5513", " - ", "FREIGHT-IN-TRADE BOOKS")</f>
        <v xml:space="preserve">          5513 - FREIGHT-IN-TRADE BOOKS</v>
      </c>
      <c r="C149" s="11"/>
      <c r="D149" s="2">
        <v>12.33</v>
      </c>
      <c r="E149" s="2"/>
      <c r="F149" s="19">
        <f t="shared" si="12"/>
        <v>1.6415574937738637E-5</v>
      </c>
      <c r="G149" s="2"/>
      <c r="H149" s="2"/>
      <c r="I149" s="2"/>
      <c r="J149" s="19">
        <f t="shared" si="13"/>
        <v>0</v>
      </c>
      <c r="K149" s="2"/>
      <c r="L149" s="2">
        <f t="shared" si="14"/>
        <v>12.33</v>
      </c>
      <c r="M149" s="2"/>
      <c r="N149" s="19">
        <f t="shared" si="15"/>
        <v>0</v>
      </c>
      <c r="O149" s="11"/>
      <c r="P149" s="2">
        <v>12.33</v>
      </c>
      <c r="Q149" s="2"/>
      <c r="R149" s="19">
        <f t="shared" si="16"/>
        <v>1.8998446141281159E-6</v>
      </c>
      <c r="S149" s="2"/>
      <c r="T149" s="2">
        <v>12.22</v>
      </c>
      <c r="U149" s="2"/>
      <c r="V149" s="19">
        <f t="shared" si="17"/>
        <v>1.8261090169270325E-6</v>
      </c>
      <c r="W149" s="2"/>
      <c r="X149" s="2">
        <f t="shared" si="18"/>
        <v>0.10999999999999943</v>
      </c>
      <c r="Y149" s="2"/>
      <c r="Z149" s="19">
        <f t="shared" si="19"/>
        <v>9.0016366612110828E-3</v>
      </c>
    </row>
    <row r="150" spans="1:26" s="24" customFormat="1" hidden="1" outlineLevel="1" x14ac:dyDescent="0.25">
      <c r="A150" s="44"/>
      <c r="B150" s="11" t="str">
        <f>CONCATENATE("          ", "5518", " - ", "FREIGHT-IN-STUDY GUIDES")</f>
        <v xml:space="preserve">          5518 - FREIGHT-IN-STUDY GUIDES</v>
      </c>
      <c r="C150" s="11"/>
      <c r="D150" s="2">
        <v>12.26</v>
      </c>
      <c r="E150" s="2"/>
      <c r="F150" s="19">
        <f t="shared" si="12"/>
        <v>1.6322380270614413E-5</v>
      </c>
      <c r="G150" s="2"/>
      <c r="H150" s="2"/>
      <c r="I150" s="2"/>
      <c r="J150" s="19">
        <f t="shared" si="13"/>
        <v>0</v>
      </c>
      <c r="K150" s="2"/>
      <c r="L150" s="2">
        <f t="shared" si="14"/>
        <v>12.26</v>
      </c>
      <c r="M150" s="2"/>
      <c r="N150" s="19">
        <f t="shared" si="15"/>
        <v>0</v>
      </c>
      <c r="O150" s="11"/>
      <c r="P150" s="2">
        <v>12.26</v>
      </c>
      <c r="Q150" s="2"/>
      <c r="R150" s="19">
        <f t="shared" si="16"/>
        <v>1.8890587971784834E-6</v>
      </c>
      <c r="S150" s="2"/>
      <c r="T150" s="2"/>
      <c r="U150" s="2"/>
      <c r="V150" s="19">
        <f t="shared" si="17"/>
        <v>0</v>
      </c>
      <c r="W150" s="2"/>
      <c r="X150" s="2">
        <f t="shared" si="18"/>
        <v>12.26</v>
      </c>
      <c r="Y150" s="2"/>
      <c r="Z150" s="19">
        <f t="shared" si="19"/>
        <v>0</v>
      </c>
    </row>
    <row r="151" spans="1:26" s="24" customFormat="1" hidden="1" outlineLevel="1" x14ac:dyDescent="0.25">
      <c r="A151" s="44"/>
      <c r="B151" s="11" t="str">
        <f>CONCATENATE("          ", "5525", " - ", "FREIGHT-IN-TEST FORMS")</f>
        <v xml:space="preserve">          5525 - FREIGHT-IN-TEST FORMS</v>
      </c>
      <c r="C151" s="11"/>
      <c r="D151" s="2">
        <v>335.7</v>
      </c>
      <c r="E151" s="2"/>
      <c r="F151" s="19">
        <f t="shared" si="12"/>
        <v>4.4693499648003739E-4</v>
      </c>
      <c r="G151" s="2"/>
      <c r="H151" s="2"/>
      <c r="I151" s="2"/>
      <c r="J151" s="19">
        <f t="shared" si="13"/>
        <v>0</v>
      </c>
      <c r="K151" s="2"/>
      <c r="L151" s="2">
        <f t="shared" si="14"/>
        <v>335.7</v>
      </c>
      <c r="M151" s="2"/>
      <c r="N151" s="19">
        <f t="shared" si="15"/>
        <v>0</v>
      </c>
      <c r="O151" s="11"/>
      <c r="P151" s="2">
        <v>374.92</v>
      </c>
      <c r="Q151" s="2"/>
      <c r="R151" s="19">
        <f t="shared" si="16"/>
        <v>5.7768835582231404E-5</v>
      </c>
      <c r="S151" s="2"/>
      <c r="T151" s="2">
        <v>50.92</v>
      </c>
      <c r="U151" s="2"/>
      <c r="V151" s="19">
        <f t="shared" si="17"/>
        <v>7.6092856908285182E-6</v>
      </c>
      <c r="W151" s="2"/>
      <c r="X151" s="2">
        <f t="shared" si="18"/>
        <v>324</v>
      </c>
      <c r="Y151" s="2"/>
      <c r="Z151" s="19">
        <f t="shared" si="19"/>
        <v>6.3629222309505105</v>
      </c>
    </row>
    <row r="152" spans="1:26" s="24" customFormat="1" hidden="1" outlineLevel="1" x14ac:dyDescent="0.25">
      <c r="A152" s="44"/>
      <c r="B152" s="11" t="str">
        <f>CONCATENATE("          ", "5526", " - ", "FREIGHT-IN-WRITING INSTRUMENTS")</f>
        <v xml:space="preserve">          5526 - FREIGHT-IN-WRITING INSTRUMENTS</v>
      </c>
      <c r="C152" s="11"/>
      <c r="D152" s="2">
        <v>160.91999999999999</v>
      </c>
      <c r="E152" s="2"/>
      <c r="F152" s="19">
        <f t="shared" si="12"/>
        <v>2.1424122619472031E-4</v>
      </c>
      <c r="G152" s="2"/>
      <c r="H152" s="2">
        <v>33.840000000000003</v>
      </c>
      <c r="I152" s="2"/>
      <c r="J152" s="19">
        <f t="shared" si="13"/>
        <v>5.6232520808857615E-5</v>
      </c>
      <c r="K152" s="2"/>
      <c r="L152" s="2">
        <f t="shared" si="14"/>
        <v>127.07999999999998</v>
      </c>
      <c r="M152" s="2"/>
      <c r="N152" s="19">
        <f t="shared" si="15"/>
        <v>3.7553191489361692</v>
      </c>
      <c r="O152" s="11"/>
      <c r="P152" s="2">
        <v>217.49</v>
      </c>
      <c r="Q152" s="2"/>
      <c r="R152" s="19">
        <f t="shared" si="16"/>
        <v>3.3511533262508022E-5</v>
      </c>
      <c r="S152" s="2"/>
      <c r="T152" s="2">
        <v>100.32</v>
      </c>
      <c r="U152" s="2"/>
      <c r="V152" s="19">
        <f t="shared" si="17"/>
        <v>1.4991428525214392E-5</v>
      </c>
      <c r="W152" s="2"/>
      <c r="X152" s="2">
        <f t="shared" si="18"/>
        <v>117.17000000000002</v>
      </c>
      <c r="Y152" s="2"/>
      <c r="Z152" s="19">
        <f t="shared" si="19"/>
        <v>1.1679625199362045</v>
      </c>
    </row>
    <row r="153" spans="1:26" s="24" customFormat="1" hidden="1" outlineLevel="1" x14ac:dyDescent="0.25">
      <c r="A153" s="44"/>
      <c r="B153" s="11" t="str">
        <f>CONCATENATE("          ", "5527", " - ", "FREIGHT-IN-SCHOOL SUPPLIES")</f>
        <v xml:space="preserve">          5527 - FREIGHT-IN-SCHOOL SUPPLIES</v>
      </c>
      <c r="C153" s="11"/>
      <c r="D153" s="2">
        <v>134.09</v>
      </c>
      <c r="E153" s="2"/>
      <c r="F153" s="19">
        <f t="shared" si="12"/>
        <v>1.7852104163839207E-4</v>
      </c>
      <c r="G153" s="2"/>
      <c r="H153" s="2">
        <v>77.010000000000005</v>
      </c>
      <c r="I153" s="2"/>
      <c r="J153" s="19">
        <f t="shared" si="13"/>
        <v>1.2796886606058287E-4</v>
      </c>
      <c r="K153" s="2"/>
      <c r="L153" s="2">
        <f t="shared" si="14"/>
        <v>57.08</v>
      </c>
      <c r="M153" s="2"/>
      <c r="N153" s="19">
        <f t="shared" si="15"/>
        <v>0.74120244124139711</v>
      </c>
      <c r="O153" s="11"/>
      <c r="P153" s="2">
        <v>872.58</v>
      </c>
      <c r="Q153" s="2"/>
      <c r="R153" s="19">
        <f t="shared" si="16"/>
        <v>1.344498307701469E-4</v>
      </c>
      <c r="S153" s="2"/>
      <c r="T153" s="2">
        <v>1009.71</v>
      </c>
      <c r="U153" s="2"/>
      <c r="V153" s="19">
        <f t="shared" si="17"/>
        <v>1.508871141965134E-4</v>
      </c>
      <c r="W153" s="2"/>
      <c r="X153" s="2">
        <f t="shared" si="18"/>
        <v>-137.13</v>
      </c>
      <c r="Y153" s="2"/>
      <c r="Z153" s="19">
        <f t="shared" si="19"/>
        <v>-0.13581127254360162</v>
      </c>
    </row>
    <row r="154" spans="1:26" s="24" customFormat="1" hidden="1" outlineLevel="1" x14ac:dyDescent="0.25">
      <c r="A154" s="44"/>
      <c r="B154" s="11" t="str">
        <f>CONCATENATE("          ", "5528", " - ", "FREIGHT-IN-ART/TECH")</f>
        <v xml:space="preserve">          5528 - FREIGHT-IN-ART/TECH</v>
      </c>
      <c r="C154" s="11"/>
      <c r="D154" s="2">
        <v>105.06</v>
      </c>
      <c r="E154" s="2"/>
      <c r="F154" s="19">
        <f t="shared" si="12"/>
        <v>1.398718818295881E-4</v>
      </c>
      <c r="G154" s="2"/>
      <c r="H154" s="2">
        <v>3400.7</v>
      </c>
      <c r="I154" s="2"/>
      <c r="J154" s="19">
        <f t="shared" si="13"/>
        <v>5.6510027634362314E-3</v>
      </c>
      <c r="K154" s="2"/>
      <c r="L154" s="2">
        <f t="shared" si="14"/>
        <v>-3295.64</v>
      </c>
      <c r="M154" s="2"/>
      <c r="N154" s="19">
        <f t="shared" si="15"/>
        <v>-0.96910636045520038</v>
      </c>
      <c r="O154" s="11"/>
      <c r="P154" s="2">
        <v>923.5</v>
      </c>
      <c r="Q154" s="2"/>
      <c r="R154" s="19">
        <f t="shared" si="16"/>
        <v>1.4229574218550811E-4</v>
      </c>
      <c r="S154" s="2"/>
      <c r="T154" s="2">
        <v>4504.6499999999996</v>
      </c>
      <c r="U154" s="2"/>
      <c r="V154" s="19">
        <f t="shared" si="17"/>
        <v>6.7315728175943996E-4</v>
      </c>
      <c r="W154" s="2"/>
      <c r="X154" s="2">
        <f t="shared" si="18"/>
        <v>-3581.1499999999996</v>
      </c>
      <c r="Y154" s="2"/>
      <c r="Z154" s="19">
        <f t="shared" si="19"/>
        <v>-0.79498962183521471</v>
      </c>
    </row>
    <row r="155" spans="1:26" s="24" customFormat="1" hidden="1" outlineLevel="1" x14ac:dyDescent="0.25">
      <c r="A155" s="44"/>
      <c r="B155" s="11" t="str">
        <f>CONCATENATE("          ", "5540", " - ", "FREIGHT-IN-LOGO CLOTHING")</f>
        <v xml:space="preserve">          5540 - FREIGHT-IN-LOGO CLOTHING</v>
      </c>
      <c r="C155" s="11"/>
      <c r="D155" s="2">
        <v>6133.89</v>
      </c>
      <c r="E155" s="2"/>
      <c r="F155" s="19">
        <f t="shared" si="12"/>
        <v>8.1663690960945383E-3</v>
      </c>
      <c r="G155" s="2"/>
      <c r="H155" s="2">
        <v>1855.88</v>
      </c>
      <c r="I155" s="2"/>
      <c r="J155" s="19">
        <f t="shared" si="13"/>
        <v>3.0839483072914501E-3</v>
      </c>
      <c r="K155" s="2"/>
      <c r="L155" s="2">
        <f t="shared" si="14"/>
        <v>4278.01</v>
      </c>
      <c r="M155" s="2"/>
      <c r="N155" s="19">
        <f t="shared" si="15"/>
        <v>2.305111321852706</v>
      </c>
      <c r="O155" s="11"/>
      <c r="P155" s="2">
        <v>20241.329999999998</v>
      </c>
      <c r="Q155" s="2"/>
      <c r="R155" s="19">
        <f t="shared" si="16"/>
        <v>3.1188468599586253E-3</v>
      </c>
      <c r="S155" s="2"/>
      <c r="T155" s="2">
        <v>12199.19</v>
      </c>
      <c r="U155" s="2"/>
      <c r="V155" s="19">
        <f t="shared" si="17"/>
        <v>1.8229992518990249E-3</v>
      </c>
      <c r="W155" s="2"/>
      <c r="X155" s="2">
        <f t="shared" si="18"/>
        <v>8042.1399999999976</v>
      </c>
      <c r="Y155" s="2"/>
      <c r="Z155" s="19">
        <f t="shared" si="19"/>
        <v>0.65923557219782603</v>
      </c>
    </row>
    <row r="156" spans="1:26" s="24" customFormat="1" hidden="1" outlineLevel="1" x14ac:dyDescent="0.25">
      <c r="A156" s="44"/>
      <c r="B156" s="11" t="str">
        <f>CONCATENATE("          ", "5541", " - ", "FREIGHT-IN-LOGO GIFTS")</f>
        <v xml:space="preserve">          5541 - FREIGHT-IN-LOGO GIFTS</v>
      </c>
      <c r="C156" s="11"/>
      <c r="D156" s="2">
        <v>1315.98</v>
      </c>
      <c r="E156" s="2"/>
      <c r="F156" s="19">
        <f t="shared" si="12"/>
        <v>1.7520331148876962E-3</v>
      </c>
      <c r="G156" s="2"/>
      <c r="H156" s="2">
        <v>843.44</v>
      </c>
      <c r="I156" s="2"/>
      <c r="J156" s="19">
        <f t="shared" si="13"/>
        <v>1.4015590233753801E-3</v>
      </c>
      <c r="K156" s="2"/>
      <c r="L156" s="2">
        <f t="shared" si="14"/>
        <v>472.53999999999996</v>
      </c>
      <c r="M156" s="2"/>
      <c r="N156" s="19">
        <f t="shared" si="15"/>
        <v>0.56025324860096737</v>
      </c>
      <c r="O156" s="11"/>
      <c r="P156" s="2">
        <v>2852.83</v>
      </c>
      <c r="Q156" s="2"/>
      <c r="R156" s="19">
        <f t="shared" si="16"/>
        <v>4.3957288812028489E-4</v>
      </c>
      <c r="S156" s="2"/>
      <c r="T156" s="2">
        <v>3968</v>
      </c>
      <c r="U156" s="2"/>
      <c r="V156" s="19">
        <f t="shared" si="17"/>
        <v>5.9296240418710842E-4</v>
      </c>
      <c r="W156" s="2"/>
      <c r="X156" s="2">
        <f t="shared" si="18"/>
        <v>-1115.17</v>
      </c>
      <c r="Y156" s="2"/>
      <c r="Z156" s="19">
        <f t="shared" si="19"/>
        <v>-0.28104082661290325</v>
      </c>
    </row>
    <row r="157" spans="1:26" s="24" customFormat="1" hidden="1" outlineLevel="1" x14ac:dyDescent="0.25">
      <c r="A157" s="44"/>
      <c r="B157" s="11" t="str">
        <f>CONCATENATE("          ", "5542", " - ", "FREIGHT-IN-EVERYDAY GIFTS")</f>
        <v xml:space="preserve">          5542 - FREIGHT-IN-EVERYDAY GIFTS</v>
      </c>
      <c r="C157" s="11"/>
      <c r="D157" s="2">
        <v>745.78</v>
      </c>
      <c r="E157" s="2"/>
      <c r="F157" s="19">
        <f t="shared" si="12"/>
        <v>9.9289598354150208E-4</v>
      </c>
      <c r="G157" s="2"/>
      <c r="H157" s="2">
        <v>336.12</v>
      </c>
      <c r="I157" s="2"/>
      <c r="J157" s="19">
        <f t="shared" si="13"/>
        <v>5.5853649214755371E-4</v>
      </c>
      <c r="K157" s="2"/>
      <c r="L157" s="2">
        <f t="shared" si="14"/>
        <v>409.65999999999997</v>
      </c>
      <c r="M157" s="2"/>
      <c r="N157" s="19">
        <f t="shared" si="15"/>
        <v>1.2187909080090442</v>
      </c>
      <c r="O157" s="11"/>
      <c r="P157" s="2">
        <v>1513.51</v>
      </c>
      <c r="Q157" s="2"/>
      <c r="R157" s="19">
        <f t="shared" si="16"/>
        <v>2.3320631159197443E-4</v>
      </c>
      <c r="S157" s="2"/>
      <c r="T157" s="2">
        <v>1129.44</v>
      </c>
      <c r="U157" s="2"/>
      <c r="V157" s="19">
        <f t="shared" si="17"/>
        <v>1.6877909722406444E-4</v>
      </c>
      <c r="W157" s="2"/>
      <c r="X157" s="2">
        <f t="shared" si="18"/>
        <v>384.06999999999994</v>
      </c>
      <c r="Y157" s="2"/>
      <c r="Z157" s="19">
        <f t="shared" si="19"/>
        <v>0.34005347782972084</v>
      </c>
    </row>
    <row r="158" spans="1:26" s="24" customFormat="1" hidden="1" outlineLevel="1" x14ac:dyDescent="0.25">
      <c r="A158" s="44"/>
      <c r="B158" s="11" t="str">
        <f>CONCATENATE("          ", "5543", " - ", "FREIGHT-IN-CARDS")</f>
        <v xml:space="preserve">          5543 - FREIGHT-IN-CARDS</v>
      </c>
      <c r="C158" s="11"/>
      <c r="D158" s="2">
        <v>39.01</v>
      </c>
      <c r="E158" s="2"/>
      <c r="F158" s="19">
        <f t="shared" si="12"/>
        <v>5.1936056635943574E-5</v>
      </c>
      <c r="G158" s="2"/>
      <c r="H158" s="2">
        <v>12.47</v>
      </c>
      <c r="I158" s="2"/>
      <c r="J158" s="19">
        <f t="shared" si="13"/>
        <v>2.0721617449363309E-5</v>
      </c>
      <c r="K158" s="2"/>
      <c r="L158" s="2">
        <f t="shared" si="14"/>
        <v>26.54</v>
      </c>
      <c r="M158" s="2"/>
      <c r="N158" s="19">
        <f t="shared" si="15"/>
        <v>2.1283079390537289</v>
      </c>
      <c r="O158" s="11"/>
      <c r="P158" s="2">
        <v>43.59</v>
      </c>
      <c r="Q158" s="2"/>
      <c r="R158" s="19">
        <f t="shared" si="16"/>
        <v>6.7164822976354082E-6</v>
      </c>
      <c r="S158" s="2"/>
      <c r="T158" s="2">
        <v>12.47</v>
      </c>
      <c r="U158" s="2"/>
      <c r="V158" s="19">
        <f t="shared" si="17"/>
        <v>1.8634680393682565E-6</v>
      </c>
      <c r="W158" s="2"/>
      <c r="X158" s="2">
        <f t="shared" si="18"/>
        <v>31.120000000000005</v>
      </c>
      <c r="Y158" s="2"/>
      <c r="Z158" s="19">
        <f t="shared" si="19"/>
        <v>2.4955894145950284</v>
      </c>
    </row>
    <row r="159" spans="1:26" s="24" customFormat="1" hidden="1" outlineLevel="1" x14ac:dyDescent="0.25">
      <c r="A159" s="44"/>
      <c r="B159" s="11" t="str">
        <f>CONCATENATE("          ", "5544", " - ", "FREIGHT-IN-ACCESSORIES")</f>
        <v xml:space="preserve">          5544 - FREIGHT-IN-ACCESSORIES</v>
      </c>
      <c r="C159" s="11"/>
      <c r="D159" s="2">
        <v>54.82</v>
      </c>
      <c r="E159" s="2"/>
      <c r="F159" s="19">
        <f t="shared" si="12"/>
        <v>7.2984737882143724E-5</v>
      </c>
      <c r="G159" s="2"/>
      <c r="H159" s="2">
        <v>12.48</v>
      </c>
      <c r="I159" s="2"/>
      <c r="J159" s="19">
        <f t="shared" si="13"/>
        <v>2.0738234624543234E-5</v>
      </c>
      <c r="K159" s="2"/>
      <c r="L159" s="2">
        <f t="shared" si="14"/>
        <v>42.34</v>
      </c>
      <c r="M159" s="2"/>
      <c r="N159" s="19">
        <f t="shared" si="15"/>
        <v>3.3926282051282053</v>
      </c>
      <c r="O159" s="11"/>
      <c r="P159" s="2">
        <v>413.91</v>
      </c>
      <c r="Q159" s="2"/>
      <c r="R159" s="19">
        <f t="shared" si="16"/>
        <v>6.3776535623176679E-5</v>
      </c>
      <c r="S159" s="2"/>
      <c r="T159" s="2">
        <v>590.45000000000005</v>
      </c>
      <c r="U159" s="2"/>
      <c r="V159" s="19">
        <f t="shared" si="17"/>
        <v>8.8234539201683014E-5</v>
      </c>
      <c r="W159" s="2"/>
      <c r="X159" s="2">
        <f t="shared" si="18"/>
        <v>-176.54000000000002</v>
      </c>
      <c r="Y159" s="2"/>
      <c r="Z159" s="19">
        <f t="shared" si="19"/>
        <v>-0.29899229401304089</v>
      </c>
    </row>
    <row r="160" spans="1:26" s="24" customFormat="1" hidden="1" outlineLevel="1" x14ac:dyDescent="0.25">
      <c r="A160" s="44"/>
      <c r="B160" s="11" t="str">
        <f>CONCATENATE("          ", "5545", " - ", "FREIGHT-IN-SPECIAL ORDERS")</f>
        <v xml:space="preserve">          5545 - FREIGHT-IN-SPECIAL ORDERS</v>
      </c>
      <c r="C160" s="11"/>
      <c r="D160" s="2">
        <v>158.08000000000001</v>
      </c>
      <c r="E160" s="2"/>
      <c r="F160" s="19">
        <f t="shared" si="12"/>
        <v>2.1046018541425176E-4</v>
      </c>
      <c r="G160" s="2"/>
      <c r="H160" s="2">
        <v>46.54</v>
      </c>
      <c r="I160" s="2"/>
      <c r="J160" s="19">
        <f t="shared" si="13"/>
        <v>7.733633328735913E-5</v>
      </c>
      <c r="K160" s="2"/>
      <c r="L160" s="2">
        <f t="shared" si="14"/>
        <v>111.54000000000002</v>
      </c>
      <c r="M160" s="2"/>
      <c r="N160" s="19">
        <f t="shared" si="15"/>
        <v>2.3966480446927378</v>
      </c>
      <c r="O160" s="11"/>
      <c r="P160" s="2">
        <v>505.06</v>
      </c>
      <c r="Q160" s="2"/>
      <c r="R160" s="19">
        <f t="shared" si="16"/>
        <v>7.782121012259093E-5</v>
      </c>
      <c r="S160" s="2"/>
      <c r="T160" s="2">
        <v>1307.5999999999999</v>
      </c>
      <c r="U160" s="2"/>
      <c r="V160" s="19">
        <f t="shared" si="17"/>
        <v>1.9540263097657834E-4</v>
      </c>
      <c r="W160" s="2"/>
      <c r="X160" s="2">
        <f t="shared" si="18"/>
        <v>-802.54</v>
      </c>
      <c r="Y160" s="2"/>
      <c r="Z160" s="19">
        <f t="shared" si="19"/>
        <v>-0.61375038237993274</v>
      </c>
    </row>
    <row r="161" spans="1:26" s="24" customFormat="1" hidden="1" outlineLevel="1" x14ac:dyDescent="0.25">
      <c r="A161" s="44"/>
      <c r="B161" s="11" t="str">
        <f>CONCATENATE("          ", "5592", " - ", "FREIGHT-IN-GRAD MERCH")</f>
        <v xml:space="preserve">          5592 - FREIGHT-IN-GRAD MERCH</v>
      </c>
      <c r="C161" s="11"/>
      <c r="D161" s="2">
        <v>35</v>
      </c>
      <c r="E161" s="2"/>
      <c r="F161" s="19">
        <f t="shared" si="12"/>
        <v>4.6597333562112923E-5</v>
      </c>
      <c r="G161" s="2"/>
      <c r="H161" s="2"/>
      <c r="I161" s="2"/>
      <c r="J161" s="19">
        <f t="shared" si="13"/>
        <v>0</v>
      </c>
      <c r="K161" s="2"/>
      <c r="L161" s="2">
        <f t="shared" si="14"/>
        <v>35</v>
      </c>
      <c r="M161" s="2"/>
      <c r="N161" s="19">
        <f t="shared" si="15"/>
        <v>0</v>
      </c>
      <c r="O161" s="11"/>
      <c r="P161" s="2">
        <v>105.78</v>
      </c>
      <c r="Q161" s="2"/>
      <c r="R161" s="19">
        <f t="shared" si="16"/>
        <v>1.6298910241887437E-5</v>
      </c>
      <c r="S161" s="2"/>
      <c r="T161" s="2">
        <v>114.3</v>
      </c>
      <c r="U161" s="2"/>
      <c r="V161" s="19">
        <f t="shared" si="17"/>
        <v>1.7080545060127643E-5</v>
      </c>
      <c r="W161" s="2"/>
      <c r="X161" s="2">
        <f t="shared" si="18"/>
        <v>-8.519999999999996</v>
      </c>
      <c r="Y161" s="2"/>
      <c r="Z161" s="19">
        <f t="shared" si="19"/>
        <v>-7.4540682414698134E-2</v>
      </c>
    </row>
    <row r="162" spans="1:26" x14ac:dyDescent="0.25">
      <c r="A162" s="9"/>
      <c r="B162" s="10"/>
      <c r="C162" s="10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O162" s="10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s="23" customFormat="1" x14ac:dyDescent="0.25">
      <c r="A163" s="10"/>
      <c r="B163" s="29" t="s">
        <v>6</v>
      </c>
      <c r="C163" s="29"/>
      <c r="D163" s="21">
        <f>D12-D109</f>
        <v>394729.27999999985</v>
      </c>
      <c r="E163" s="14"/>
      <c r="F163" s="20">
        <f>IF(D$12=0,0,D163/D$12)</f>
        <v>0.52552376933979039</v>
      </c>
      <c r="G163" s="14"/>
      <c r="H163" s="21">
        <f>H12-H109</f>
        <v>322109.33000000013</v>
      </c>
      <c r="I163" s="14"/>
      <c r="J163" s="20">
        <f>IF(H$12=0,0,H163/H$12)</f>
        <v>0.53525471636974553</v>
      </c>
      <c r="K163" s="15"/>
      <c r="L163" s="21">
        <f>+D163-H163</f>
        <v>72619.949999999721</v>
      </c>
      <c r="M163" s="15"/>
      <c r="N163" s="20">
        <f>IF(H163=0,0,L163/H163)</f>
        <v>0.22545124663107302</v>
      </c>
      <c r="O163" s="28"/>
      <c r="P163" s="21">
        <f>P12-P109</f>
        <v>2784885.9699999965</v>
      </c>
      <c r="Q163" s="14"/>
      <c r="R163" s="20">
        <f>IF(P$12=0,0,P163/P$12)</f>
        <v>0.42910386140027956</v>
      </c>
      <c r="S163" s="14"/>
      <c r="T163" s="21">
        <f>T12-T109</f>
        <v>2748430.4100000011</v>
      </c>
      <c r="U163" s="14"/>
      <c r="V163" s="20">
        <f>IF(T$12=0,0,T163/T$12)</f>
        <v>0.41071469346133083</v>
      </c>
      <c r="W163" s="15"/>
      <c r="X163" s="21">
        <f>+P163-T163</f>
        <v>36455.559999995399</v>
      </c>
      <c r="Y163" s="15"/>
      <c r="Z163" s="20">
        <f>IF(T163=0,0,X163/T163)</f>
        <v>1.3264137912080294E-2</v>
      </c>
    </row>
    <row r="164" spans="1:26" x14ac:dyDescent="0.25">
      <c r="A164" s="9"/>
      <c r="B164" s="10"/>
      <c r="C164" s="9"/>
      <c r="D164" s="1"/>
      <c r="E164" s="1"/>
      <c r="F164" s="5"/>
      <c r="G164" s="1"/>
      <c r="H164" s="1"/>
      <c r="I164" s="1"/>
      <c r="J164" s="5"/>
      <c r="K164" s="1"/>
      <c r="L164" s="1"/>
      <c r="M164" s="1"/>
      <c r="N164" s="5"/>
      <c r="O164" s="37"/>
      <c r="P164" s="1"/>
      <c r="Q164" s="1"/>
      <c r="R164" s="5"/>
      <c r="S164" s="1"/>
      <c r="T164" s="1"/>
      <c r="U164" s="1"/>
      <c r="V164" s="5"/>
      <c r="W164" s="1"/>
      <c r="X164" s="1"/>
      <c r="Y164" s="1"/>
      <c r="Z164" s="5"/>
    </row>
    <row r="165" spans="1:26" s="23" customFormat="1" x14ac:dyDescent="0.25">
      <c r="A165" s="10"/>
      <c r="B165" s="28" t="s">
        <v>9</v>
      </c>
      <c r="C165" s="10"/>
      <c r="D165" s="22">
        <f>SUM(OSRRefD22x_0)</f>
        <v>474736.25999999995</v>
      </c>
      <c r="E165" s="22"/>
      <c r="F165" s="33">
        <f t="shared" ref="F165:F175" si="20">IF(D$12=0,0,D165/D$12)</f>
        <v>0.63204125317857041</v>
      </c>
      <c r="G165" s="22"/>
      <c r="H165" s="22">
        <f>SUM(OSRRefH22x_0)</f>
        <v>452199.63000000006</v>
      </c>
      <c r="I165" s="22"/>
      <c r="J165" s="33">
        <f t="shared" ref="J165:J175" si="21">IF(H$12=0,0,H165/H$12)</f>
        <v>0.75142804680061215</v>
      </c>
      <c r="K165" s="4"/>
      <c r="L165" s="22">
        <f t="shared" ref="L165:L175" si="22">+D165-H165</f>
        <v>22536.629999999888</v>
      </c>
      <c r="M165" s="4"/>
      <c r="N165" s="33">
        <f t="shared" ref="N165:N175" si="23">IF(H165=0,0,L165/H165)</f>
        <v>4.9837789562100894E-2</v>
      </c>
      <c r="O165" s="10"/>
      <c r="P165" s="22">
        <f>SUM(OSRRefP22x_0)</f>
        <v>2434936.11</v>
      </c>
      <c r="Q165" s="22"/>
      <c r="R165" s="33">
        <f t="shared" ref="R165:R175" si="24">IF(P$12=0,0,P165/P$12)</f>
        <v>0.37518250237871575</v>
      </c>
      <c r="S165" s="22"/>
      <c r="T165" s="22">
        <f>SUM(OSRRefT22x_0)</f>
        <v>2482188.379999999</v>
      </c>
      <c r="U165" s="22"/>
      <c r="V165" s="33">
        <f t="shared" ref="V165:V175" si="25">IF(T$12=0,0,T165/T$12)</f>
        <v>0.37092852556706229</v>
      </c>
      <c r="W165" s="4"/>
      <c r="X165" s="22">
        <f t="shared" ref="X165:X175" si="26">+P165-T165</f>
        <v>-47252.269999999087</v>
      </c>
      <c r="Y165" s="4"/>
      <c r="Z165" s="33">
        <f t="shared" ref="Z165:Z175" si="27">IF(T165=0,0,X165/T165)</f>
        <v>-1.9036536622574596E-2</v>
      </c>
    </row>
    <row r="166" spans="1:26" s="25" customFormat="1" outlineLevel="1" collapsed="1" x14ac:dyDescent="0.25">
      <c r="A166" s="27"/>
      <c r="B166" s="13" t="str">
        <f>CONCATENATE("     ","*Benefits                                         ")</f>
        <v xml:space="preserve">     *Benefits                                         </v>
      </c>
      <c r="C166" s="13"/>
      <c r="D166" s="1">
        <f>SUM(OSRRefD22_0x_0)</f>
        <v>56989.969999999994</v>
      </c>
      <c r="E166" s="1"/>
      <c r="F166" s="5">
        <f t="shared" si="20"/>
        <v>7.5873732622423098E-2</v>
      </c>
      <c r="G166" s="1"/>
      <c r="H166" s="1">
        <f>SUM(OSRRefH22_0x_0)</f>
        <v>60355.72</v>
      </c>
      <c r="I166" s="1"/>
      <c r="J166" s="5">
        <f t="shared" si="21"/>
        <v>0.10029415723503497</v>
      </c>
      <c r="K166" s="1"/>
      <c r="L166" s="1">
        <f t="shared" si="22"/>
        <v>-3365.7500000000073</v>
      </c>
      <c r="M166" s="1"/>
      <c r="N166" s="5">
        <f t="shared" si="23"/>
        <v>-5.5765219932758771E-2</v>
      </c>
      <c r="O166" s="13"/>
      <c r="P166" s="1">
        <f>SUM(OSRRefP22_0x_0)</f>
        <v>332991.80000000005</v>
      </c>
      <c r="Q166" s="1"/>
      <c r="R166" s="5">
        <f t="shared" si="24"/>
        <v>5.130840857898028E-2</v>
      </c>
      <c r="S166" s="1"/>
      <c r="T166" s="1">
        <f>SUM(OSRRefT22_0x_0)</f>
        <v>332123.8299999999</v>
      </c>
      <c r="U166" s="1"/>
      <c r="V166" s="5">
        <f t="shared" si="25"/>
        <v>4.9631286472941134E-2</v>
      </c>
      <c r="W166" s="1"/>
      <c r="X166" s="1">
        <f t="shared" si="26"/>
        <v>867.97000000014668</v>
      </c>
      <c r="Y166" s="1"/>
      <c r="Z166" s="5">
        <f t="shared" si="27"/>
        <v>2.6133927216247838E-3</v>
      </c>
    </row>
    <row r="167" spans="1:26" s="24" customFormat="1" hidden="1" outlineLevel="2" x14ac:dyDescent="0.25">
      <c r="A167" s="26"/>
      <c r="B167" s="11" t="str">
        <f>CONCATENATE("          ", "6111", " - ", "F.I.C.A.")</f>
        <v xml:space="preserve">          6111 - F.I.C.A.</v>
      </c>
      <c r="C167" s="11"/>
      <c r="D167" s="6">
        <v>7965.66</v>
      </c>
      <c r="E167" s="2"/>
      <c r="F167" s="7">
        <f t="shared" si="20"/>
        <v>1.0605100458925156E-2</v>
      </c>
      <c r="G167" s="2"/>
      <c r="H167" s="6">
        <v>8095</v>
      </c>
      <c r="I167" s="2"/>
      <c r="J167" s="7">
        <f t="shared" si="21"/>
        <v>1.3451603308147233E-2</v>
      </c>
      <c r="K167" s="2"/>
      <c r="L167" s="6">
        <f t="shared" si="22"/>
        <v>-129.34000000000015</v>
      </c>
      <c r="M167" s="2"/>
      <c r="N167" s="7">
        <f t="shared" si="23"/>
        <v>-1.5977764051883898E-2</v>
      </c>
      <c r="O167" s="11"/>
      <c r="P167" s="6">
        <v>67008.37000000001</v>
      </c>
      <c r="Q167" s="2"/>
      <c r="R167" s="7">
        <f t="shared" si="24"/>
        <v>1.0324857327332038E-2</v>
      </c>
      <c r="S167" s="2"/>
      <c r="T167" s="6">
        <v>67269.149999999994</v>
      </c>
      <c r="U167" s="2"/>
      <c r="V167" s="7">
        <f t="shared" si="25"/>
        <v>1.0052438737808271E-2</v>
      </c>
      <c r="W167" s="2"/>
      <c r="X167" s="6">
        <f t="shared" si="26"/>
        <v>-260.77999999998428</v>
      </c>
      <c r="Y167" s="2"/>
      <c r="Z167" s="7">
        <f t="shared" si="27"/>
        <v>-3.8766656037720754E-3</v>
      </c>
    </row>
    <row r="168" spans="1:26" s="24" customFormat="1" hidden="1" outlineLevel="2" x14ac:dyDescent="0.25">
      <c r="A168" s="26"/>
      <c r="B168" s="11" t="str">
        <f>CONCATENATE("          ", "6112", " - ", "COMPENSATION INSURANCE")</f>
        <v xml:space="preserve">          6112 - COMPENSATION INSURANCE</v>
      </c>
      <c r="C168" s="11"/>
      <c r="D168" s="6">
        <v>3329.25</v>
      </c>
      <c r="E168" s="2"/>
      <c r="F168" s="7">
        <f t="shared" si="20"/>
        <v>4.4324049360475555E-3</v>
      </c>
      <c r="G168" s="2"/>
      <c r="H168" s="6">
        <v>2087.96</v>
      </c>
      <c r="I168" s="2"/>
      <c r="J168" s="7">
        <f t="shared" si="21"/>
        <v>3.4695997088670903E-3</v>
      </c>
      <c r="K168" s="2"/>
      <c r="L168" s="6">
        <f t="shared" si="22"/>
        <v>1241.29</v>
      </c>
      <c r="M168" s="2"/>
      <c r="N168" s="7">
        <f t="shared" si="23"/>
        <v>0.59449893676124066</v>
      </c>
      <c r="O168" s="11"/>
      <c r="P168" s="6">
        <v>14445.89</v>
      </c>
      <c r="Q168" s="2"/>
      <c r="R168" s="7">
        <f t="shared" si="24"/>
        <v>2.2258675030646558E-3</v>
      </c>
      <c r="S168" s="2"/>
      <c r="T168" s="6">
        <v>12502.19</v>
      </c>
      <c r="U168" s="2"/>
      <c r="V168" s="7">
        <f t="shared" si="25"/>
        <v>1.8682783870977886E-3</v>
      </c>
      <c r="W168" s="2"/>
      <c r="X168" s="6">
        <f t="shared" si="26"/>
        <v>1943.6999999999989</v>
      </c>
      <c r="Y168" s="2"/>
      <c r="Z168" s="7">
        <f t="shared" si="27"/>
        <v>0.15546876187291978</v>
      </c>
    </row>
    <row r="169" spans="1:26" s="24" customFormat="1" hidden="1" outlineLevel="2" x14ac:dyDescent="0.25">
      <c r="A169" s="26"/>
      <c r="B169" s="11" t="str">
        <f>CONCATENATE("          ", "6113", " - ", "GROUP INSURANCE")</f>
        <v xml:space="preserve">          6113 - GROUP INSURANCE</v>
      </c>
      <c r="C169" s="11"/>
      <c r="D169" s="6">
        <v>25060.9</v>
      </c>
      <c r="E169" s="2"/>
      <c r="F169" s="7">
        <f t="shared" si="20"/>
        <v>3.3364889047621596E-2</v>
      </c>
      <c r="G169" s="2"/>
      <c r="H169" s="6">
        <v>29431.9</v>
      </c>
      <c r="I169" s="2"/>
      <c r="J169" s="7">
        <f t="shared" si="21"/>
        <v>4.8907503817795989E-2</v>
      </c>
      <c r="K169" s="2"/>
      <c r="L169" s="6">
        <f t="shared" si="22"/>
        <v>-4371</v>
      </c>
      <c r="M169" s="2"/>
      <c r="N169" s="7">
        <f t="shared" si="23"/>
        <v>-0.14851232845993631</v>
      </c>
      <c r="O169" s="11"/>
      <c r="P169" s="6">
        <v>126610.83</v>
      </c>
      <c r="Q169" s="2"/>
      <c r="R169" s="7">
        <f t="shared" si="24"/>
        <v>1.9508589088871896E-2</v>
      </c>
      <c r="S169" s="2"/>
      <c r="T169" s="6">
        <v>121840.2</v>
      </c>
      <c r="U169" s="2"/>
      <c r="V169" s="7">
        <f t="shared" si="25"/>
        <v>1.8207323064172914E-2</v>
      </c>
      <c r="W169" s="2"/>
      <c r="X169" s="6">
        <f t="shared" si="26"/>
        <v>4770.6300000000047</v>
      </c>
      <c r="Y169" s="2"/>
      <c r="Z169" s="7">
        <f t="shared" si="27"/>
        <v>3.915481097371807E-2</v>
      </c>
    </row>
    <row r="170" spans="1:26" s="24" customFormat="1" hidden="1" outlineLevel="2" x14ac:dyDescent="0.25">
      <c r="A170" s="26"/>
      <c r="B170" s="11" t="str">
        <f>CONCATENATE("          ", "6114", " - ", "STATE UNEMPLOYMENT INSURANCE")</f>
        <v xml:space="preserve">          6114 - STATE UNEMPLOYMENT INSURANCE</v>
      </c>
      <c r="C170" s="11"/>
      <c r="D170" s="6">
        <v>553.22</v>
      </c>
      <c r="E170" s="2"/>
      <c r="F170" s="7">
        <f t="shared" si="20"/>
        <v>7.3653076780663175E-4</v>
      </c>
      <c r="G170" s="2"/>
      <c r="H170" s="6">
        <v>522.34</v>
      </c>
      <c r="I170" s="2"/>
      <c r="J170" s="7">
        <f t="shared" si="21"/>
        <v>8.6798152834806992E-4</v>
      </c>
      <c r="K170" s="2"/>
      <c r="L170" s="6">
        <f t="shared" si="22"/>
        <v>30.879999999999995</v>
      </c>
      <c r="M170" s="2"/>
      <c r="N170" s="7">
        <f t="shared" si="23"/>
        <v>5.911858176666538E-2</v>
      </c>
      <c r="O170" s="11"/>
      <c r="P170" s="6">
        <v>3090.35</v>
      </c>
      <c r="Q170" s="2"/>
      <c r="R170" s="7">
        <f t="shared" si="24"/>
        <v>4.7617070586138062E-4</v>
      </c>
      <c r="S170" s="2"/>
      <c r="T170" s="6">
        <v>3207.86</v>
      </c>
      <c r="U170" s="2"/>
      <c r="V170" s="7">
        <f t="shared" si="25"/>
        <v>4.7937005491322014E-4</v>
      </c>
      <c r="W170" s="2"/>
      <c r="X170" s="6">
        <f t="shared" si="26"/>
        <v>-117.51000000000022</v>
      </c>
      <c r="Y170" s="2"/>
      <c r="Z170" s="7">
        <f t="shared" si="27"/>
        <v>-3.6631897900781273E-2</v>
      </c>
    </row>
    <row r="171" spans="1:26" s="24" customFormat="1" hidden="1" outlineLevel="2" x14ac:dyDescent="0.25">
      <c r="A171" s="26"/>
      <c r="B171" s="11" t="str">
        <f>CONCATENATE("          ", "6115", " - ", "P.E.R.S.")</f>
        <v xml:space="preserve">          6115 - P.E.R.S.</v>
      </c>
      <c r="C171" s="11"/>
      <c r="D171" s="6">
        <v>7679.33</v>
      </c>
      <c r="E171" s="2"/>
      <c r="F171" s="7">
        <f t="shared" si="20"/>
        <v>1.0223894329815447E-2</v>
      </c>
      <c r="G171" s="2"/>
      <c r="H171" s="6">
        <v>6967.5</v>
      </c>
      <c r="I171" s="2"/>
      <c r="J171" s="7">
        <f t="shared" si="21"/>
        <v>1.1578016806610974E-2</v>
      </c>
      <c r="K171" s="2"/>
      <c r="L171" s="6">
        <f t="shared" si="22"/>
        <v>711.82999999999993</v>
      </c>
      <c r="M171" s="2"/>
      <c r="N171" s="7">
        <f t="shared" si="23"/>
        <v>0.10216433440975958</v>
      </c>
      <c r="O171" s="11"/>
      <c r="P171" s="6">
        <v>44110.34</v>
      </c>
      <c r="Q171" s="2"/>
      <c r="R171" s="7">
        <f t="shared" si="24"/>
        <v>6.7966578975150035E-3</v>
      </c>
      <c r="S171" s="2"/>
      <c r="T171" s="6">
        <v>43528.5</v>
      </c>
      <c r="U171" s="2"/>
      <c r="V171" s="7">
        <f t="shared" si="25"/>
        <v>6.5047288333312872E-3</v>
      </c>
      <c r="W171" s="2"/>
      <c r="X171" s="6">
        <f t="shared" si="26"/>
        <v>581.83999999999651</v>
      </c>
      <c r="Y171" s="2"/>
      <c r="Z171" s="7">
        <f t="shared" si="27"/>
        <v>1.3366874576426858E-2</v>
      </c>
    </row>
    <row r="172" spans="1:26" s="24" customFormat="1" hidden="1" outlineLevel="2" x14ac:dyDescent="0.25">
      <c r="A172" s="26"/>
      <c r="B172" s="11" t="str">
        <f>CONCATENATE("          ", "6117", " - ", "RETIREMENT STAFF HOURLY")</f>
        <v xml:space="preserve">          6117 - RETIREMENT STAFF HOURLY</v>
      </c>
      <c r="C172" s="11"/>
      <c r="D172" s="6">
        <v>93.57</v>
      </c>
      <c r="E172" s="2"/>
      <c r="F172" s="7">
        <f t="shared" si="20"/>
        <v>1.2457464289734017E-4</v>
      </c>
      <c r="G172" s="2"/>
      <c r="H172" s="6">
        <v>255.23</v>
      </c>
      <c r="I172" s="2"/>
      <c r="J172" s="7">
        <f t="shared" si="21"/>
        <v>4.2412016211716095E-4</v>
      </c>
      <c r="K172" s="2"/>
      <c r="L172" s="6">
        <f t="shared" si="22"/>
        <v>-161.66</v>
      </c>
      <c r="M172" s="2"/>
      <c r="N172" s="7">
        <f t="shared" si="23"/>
        <v>-0.63338949183089766</v>
      </c>
      <c r="O172" s="11"/>
      <c r="P172" s="6">
        <v>646.20000000000005</v>
      </c>
      <c r="Q172" s="2"/>
      <c r="R172" s="7">
        <f t="shared" si="24"/>
        <v>9.9568498755035569E-5</v>
      </c>
      <c r="S172" s="2"/>
      <c r="T172" s="6">
        <v>1656.02</v>
      </c>
      <c r="U172" s="2"/>
      <c r="V172" s="7">
        <f t="shared" si="25"/>
        <v>2.4746915337246349E-4</v>
      </c>
      <c r="W172" s="2"/>
      <c r="X172" s="6">
        <f t="shared" si="26"/>
        <v>-1009.8199999999999</v>
      </c>
      <c r="Y172" s="2"/>
      <c r="Z172" s="7">
        <f t="shared" si="27"/>
        <v>-0.6097873214091617</v>
      </c>
    </row>
    <row r="173" spans="1:26" s="24" customFormat="1" hidden="1" outlineLevel="2" x14ac:dyDescent="0.25">
      <c r="A173" s="26"/>
      <c r="B173" s="11" t="str">
        <f>CONCATENATE("          ", "6118", " - ", "VACATION")</f>
        <v xml:space="preserve">          6118 - VACATION</v>
      </c>
      <c r="C173" s="11"/>
      <c r="D173" s="6">
        <v>6634.53</v>
      </c>
      <c r="E173" s="2"/>
      <c r="F173" s="7">
        <f t="shared" si="20"/>
        <v>8.8328973553670007E-3</v>
      </c>
      <c r="G173" s="2"/>
      <c r="H173" s="6">
        <v>6332.84</v>
      </c>
      <c r="I173" s="2"/>
      <c r="J173" s="7">
        <f t="shared" si="21"/>
        <v>1.0523391166642016E-2</v>
      </c>
      <c r="K173" s="2"/>
      <c r="L173" s="6">
        <f t="shared" si="22"/>
        <v>301.6899999999996</v>
      </c>
      <c r="M173" s="2"/>
      <c r="N173" s="7">
        <f t="shared" si="23"/>
        <v>4.7638973983236528E-2</v>
      </c>
      <c r="O173" s="11"/>
      <c r="P173" s="6">
        <v>36397.81</v>
      </c>
      <c r="Q173" s="2"/>
      <c r="R173" s="7">
        <f t="shared" si="24"/>
        <v>5.6082873718214495E-3</v>
      </c>
      <c r="S173" s="2"/>
      <c r="T173" s="6">
        <v>38747.26</v>
      </c>
      <c r="U173" s="2"/>
      <c r="V173" s="7">
        <f t="shared" si="25"/>
        <v>5.7902390235037744E-3</v>
      </c>
      <c r="W173" s="2"/>
      <c r="X173" s="6">
        <f t="shared" si="26"/>
        <v>-2349.4500000000044</v>
      </c>
      <c r="Y173" s="2"/>
      <c r="Z173" s="7">
        <f t="shared" si="27"/>
        <v>-6.0635255241273944E-2</v>
      </c>
    </row>
    <row r="174" spans="1:26" s="24" customFormat="1" hidden="1" outlineLevel="2" x14ac:dyDescent="0.25">
      <c r="A174" s="26"/>
      <c r="B174" s="11" t="str">
        <f>CONCATENATE("          ", "6119", " - ", "SICK LEAVE")</f>
        <v xml:space="preserve">          6119 - SICK LEAVE</v>
      </c>
      <c r="C174" s="11"/>
      <c r="D174" s="6">
        <v>3271.27</v>
      </c>
      <c r="E174" s="2"/>
      <c r="F174" s="7">
        <f t="shared" si="20"/>
        <v>4.3552131246209474E-3</v>
      </c>
      <c r="G174" s="2"/>
      <c r="H174" s="6">
        <v>4033.06</v>
      </c>
      <c r="I174" s="2"/>
      <c r="J174" s="7">
        <f t="shared" si="21"/>
        <v>6.701806453113808E-3</v>
      </c>
      <c r="K174" s="2"/>
      <c r="L174" s="6">
        <f t="shared" si="22"/>
        <v>-761.79</v>
      </c>
      <c r="M174" s="2"/>
      <c r="N174" s="7">
        <f t="shared" si="23"/>
        <v>-0.18888635428186043</v>
      </c>
      <c r="O174" s="11"/>
      <c r="P174" s="6">
        <v>27793.58</v>
      </c>
      <c r="Q174" s="2"/>
      <c r="R174" s="7">
        <f t="shared" si="24"/>
        <v>4.282520946499507E-3</v>
      </c>
      <c r="S174" s="2"/>
      <c r="T174" s="6">
        <v>30576.91</v>
      </c>
      <c r="U174" s="2"/>
      <c r="V174" s="7">
        <f t="shared" si="25"/>
        <v>4.569293867493154E-3</v>
      </c>
      <c r="W174" s="2"/>
      <c r="X174" s="6">
        <f t="shared" si="26"/>
        <v>-2783.3299999999981</v>
      </c>
      <c r="Y174" s="2"/>
      <c r="Z174" s="7">
        <f t="shared" si="27"/>
        <v>-9.1027183583952662E-2</v>
      </c>
    </row>
    <row r="175" spans="1:26" s="24" customFormat="1" hidden="1" outlineLevel="2" x14ac:dyDescent="0.25">
      <c r="A175" s="26"/>
      <c r="B175" s="11" t="str">
        <f>CONCATENATE("          ", "6156", " - ", "EMPLOYEE MEALS")</f>
        <v xml:space="preserve">          6156 - EMPLOYEE MEALS</v>
      </c>
      <c r="C175" s="11"/>
      <c r="D175" s="6">
        <v>2402.2399999999998</v>
      </c>
      <c r="E175" s="2"/>
      <c r="F175" s="7">
        <f t="shared" si="20"/>
        <v>3.1982279593214327E-3</v>
      </c>
      <c r="G175" s="2"/>
      <c r="H175" s="6">
        <v>2629.89</v>
      </c>
      <c r="I175" s="2"/>
      <c r="J175" s="7">
        <f t="shared" si="21"/>
        <v>4.3701342833926283E-3</v>
      </c>
      <c r="K175" s="2"/>
      <c r="L175" s="6">
        <f t="shared" si="22"/>
        <v>-227.65000000000009</v>
      </c>
      <c r="M175" s="2"/>
      <c r="N175" s="7">
        <f t="shared" si="23"/>
        <v>-8.6562555848343506E-2</v>
      </c>
      <c r="O175" s="11"/>
      <c r="P175" s="6">
        <v>12888.43</v>
      </c>
      <c r="Q175" s="2"/>
      <c r="R175" s="7">
        <f t="shared" si="24"/>
        <v>1.9858892392593053E-3</v>
      </c>
      <c r="S175" s="2"/>
      <c r="T175" s="6">
        <v>12795.74</v>
      </c>
      <c r="U175" s="2"/>
      <c r="V175" s="7">
        <f t="shared" si="25"/>
        <v>1.9121453512482738E-3</v>
      </c>
      <c r="W175" s="2"/>
      <c r="X175" s="6">
        <f t="shared" si="26"/>
        <v>92.690000000000509</v>
      </c>
      <c r="Y175" s="2"/>
      <c r="Z175" s="7">
        <f t="shared" si="27"/>
        <v>7.2438170828729338E-3</v>
      </c>
    </row>
    <row r="176" spans="1:26" s="25" customFormat="1" outlineLevel="1" collapsed="1" x14ac:dyDescent="0.25">
      <c r="A176" s="27"/>
      <c r="B176" s="13" t="str">
        <f>CONCATENATE("     ","*Payroll                                          ")</f>
        <v xml:space="preserve">     *Payroll                                          </v>
      </c>
      <c r="C176" s="13"/>
      <c r="D176" s="1">
        <f>SUM(OSRRefD22_1x_0)</f>
        <v>192230.46999999997</v>
      </c>
      <c r="E176" s="1"/>
      <c r="F176" s="5">
        <f t="shared" ref="F176:F183" si="28">IF(D$12=0,0,D176/D$12)</f>
        <v>0.25592649518262117</v>
      </c>
      <c r="G176" s="1"/>
      <c r="H176" s="1">
        <f>SUM(OSRRefH22_1x_0)</f>
        <v>176706.66</v>
      </c>
      <c r="I176" s="1"/>
      <c r="J176" s="5">
        <f t="shared" ref="J176:J183" si="29">IF(H$12=0,0,H176/H$12)</f>
        <v>0.29363655246789971</v>
      </c>
      <c r="K176" s="1"/>
      <c r="L176" s="1">
        <f t="shared" ref="L176:L183" si="30">+D176-H176</f>
        <v>15523.809999999969</v>
      </c>
      <c r="M176" s="1"/>
      <c r="N176" s="5">
        <f t="shared" ref="N176:N183" si="31">IF(H176=0,0,L176/H176)</f>
        <v>8.7850735224127757E-2</v>
      </c>
      <c r="O176" s="13"/>
      <c r="P176" s="1">
        <f>SUM(OSRRefP22_1x_0)</f>
        <v>1163900.44</v>
      </c>
      <c r="Q176" s="1"/>
      <c r="R176" s="5">
        <f t="shared" ref="R176:R183" si="32">IF(P$12=0,0,P176/P$12)</f>
        <v>0.17933738704909524</v>
      </c>
      <c r="S176" s="1"/>
      <c r="T176" s="1">
        <f>SUM(OSRRefT22_1x_0)</f>
        <v>1108078.72</v>
      </c>
      <c r="U176" s="1"/>
      <c r="V176" s="5">
        <f t="shared" ref="V176:V183" si="33">IF(T$12=0,0,T176/T$12)</f>
        <v>0.16558695106849136</v>
      </c>
      <c r="W176" s="1"/>
      <c r="X176" s="1">
        <f t="shared" ref="X176:X183" si="34">+P176-T176</f>
        <v>55821.719999999972</v>
      </c>
      <c r="Y176" s="1"/>
      <c r="Z176" s="5">
        <f t="shared" ref="Z176:Z183" si="35">IF(T176=0,0,X176/T176)</f>
        <v>5.0377034584690852E-2</v>
      </c>
    </row>
    <row r="177" spans="1:26" s="24" customFormat="1" hidden="1" outlineLevel="2" x14ac:dyDescent="0.25">
      <c r="A177" s="26"/>
      <c r="B177" s="11" t="str">
        <f>CONCATENATE("          ", "6001", " - ", "ADMINISTRATIVE SALARIES")</f>
        <v xml:space="preserve">          6001 - ADMINISTRATIVE SALARIES</v>
      </c>
      <c r="C177" s="11"/>
      <c r="D177" s="6">
        <v>10717.14</v>
      </c>
      <c r="E177" s="2"/>
      <c r="F177" s="7">
        <f t="shared" si="28"/>
        <v>1.4268289926053225E-2</v>
      </c>
      <c r="G177" s="2"/>
      <c r="H177" s="6">
        <v>10405</v>
      </c>
      <c r="I177" s="2"/>
      <c r="J177" s="7">
        <f t="shared" si="29"/>
        <v>1.7290170774709322E-2</v>
      </c>
      <c r="K177" s="2"/>
      <c r="L177" s="6">
        <f t="shared" si="30"/>
        <v>312.13999999999942</v>
      </c>
      <c r="M177" s="2"/>
      <c r="N177" s="7">
        <f t="shared" si="31"/>
        <v>2.999903892359437E-2</v>
      </c>
      <c r="O177" s="11"/>
      <c r="P177" s="6">
        <v>56800.83</v>
      </c>
      <c r="Q177" s="2"/>
      <c r="R177" s="7">
        <f t="shared" si="32"/>
        <v>8.7520479281027342E-3</v>
      </c>
      <c r="S177" s="2"/>
      <c r="T177" s="6">
        <v>56707.25</v>
      </c>
      <c r="U177" s="2"/>
      <c r="V177" s="7">
        <f t="shared" si="33"/>
        <v>8.4741097013204137E-3</v>
      </c>
      <c r="W177" s="2"/>
      <c r="X177" s="6">
        <f t="shared" si="34"/>
        <v>93.580000000001746</v>
      </c>
      <c r="Y177" s="2"/>
      <c r="Z177" s="7">
        <f t="shared" si="35"/>
        <v>1.6502299088741166E-3</v>
      </c>
    </row>
    <row r="178" spans="1:26" s="24" customFormat="1" hidden="1" outlineLevel="2" x14ac:dyDescent="0.25">
      <c r="A178" s="26"/>
      <c r="B178" s="11" t="str">
        <f>CONCATENATE("          ", "6002", " - ", "STAFF SALARIES")</f>
        <v xml:space="preserve">          6002 - STAFF SALARIES</v>
      </c>
      <c r="C178" s="11"/>
      <c r="D178" s="6">
        <v>67670.909999999989</v>
      </c>
      <c r="E178" s="2"/>
      <c r="F178" s="7">
        <f t="shared" si="28"/>
        <v>9.0093827592049217E-2</v>
      </c>
      <c r="G178" s="2"/>
      <c r="H178" s="6">
        <v>62955.33</v>
      </c>
      <c r="I178" s="2"/>
      <c r="J178" s="7">
        <f t="shared" si="29"/>
        <v>0.10461397471198279</v>
      </c>
      <c r="K178" s="2"/>
      <c r="L178" s="6">
        <f t="shared" si="30"/>
        <v>4715.5799999999872</v>
      </c>
      <c r="M178" s="2"/>
      <c r="N178" s="7">
        <f t="shared" si="31"/>
        <v>7.4903586400071082E-2</v>
      </c>
      <c r="O178" s="11"/>
      <c r="P178" s="6">
        <v>383781.85000000003</v>
      </c>
      <c r="Q178" s="2"/>
      <c r="R178" s="7">
        <f t="shared" si="32"/>
        <v>5.9134296895589987E-2</v>
      </c>
      <c r="S178" s="2"/>
      <c r="T178" s="6">
        <v>356082.95</v>
      </c>
      <c r="U178" s="2"/>
      <c r="V178" s="7">
        <f t="shared" si="33"/>
        <v>5.3211643679949072E-2</v>
      </c>
      <c r="W178" s="2"/>
      <c r="X178" s="6">
        <f t="shared" si="34"/>
        <v>27698.900000000023</v>
      </c>
      <c r="Y178" s="2"/>
      <c r="Z178" s="7">
        <f t="shared" si="35"/>
        <v>7.7787773888078671E-2</v>
      </c>
    </row>
    <row r="179" spans="1:26" s="24" customFormat="1" hidden="1" outlineLevel="2" x14ac:dyDescent="0.25">
      <c r="A179" s="26"/>
      <c r="B179" s="11" t="str">
        <f>CONCATENATE("          ", "6004", " - ", "STAFF HOURLY")</f>
        <v xml:space="preserve">          6004 - STAFF HOURLY</v>
      </c>
      <c r="C179" s="11"/>
      <c r="D179" s="6">
        <v>2163.25</v>
      </c>
      <c r="E179" s="2"/>
      <c r="F179" s="7">
        <f t="shared" si="28"/>
        <v>2.8800480522354508E-3</v>
      </c>
      <c r="G179" s="2"/>
      <c r="H179" s="6">
        <v>6226.82</v>
      </c>
      <c r="I179" s="2"/>
      <c r="J179" s="7">
        <f t="shared" si="29"/>
        <v>1.0347215875384477E-2</v>
      </c>
      <c r="K179" s="2"/>
      <c r="L179" s="6">
        <f t="shared" si="30"/>
        <v>-4063.5699999999997</v>
      </c>
      <c r="M179" s="2"/>
      <c r="N179" s="7">
        <f t="shared" si="31"/>
        <v>-0.65259153147192306</v>
      </c>
      <c r="O179" s="11"/>
      <c r="P179" s="6">
        <v>12960.05</v>
      </c>
      <c r="Q179" s="2"/>
      <c r="R179" s="7">
        <f t="shared" si="32"/>
        <v>1.9969246708297717E-3</v>
      </c>
      <c r="S179" s="2"/>
      <c r="T179" s="6">
        <v>31097.32</v>
      </c>
      <c r="U179" s="2"/>
      <c r="V179" s="7">
        <f t="shared" si="33"/>
        <v>4.6470619029677042E-3</v>
      </c>
      <c r="W179" s="2"/>
      <c r="X179" s="6">
        <f t="shared" si="34"/>
        <v>-18137.27</v>
      </c>
      <c r="Y179" s="2"/>
      <c r="Z179" s="7">
        <f t="shared" si="35"/>
        <v>-0.58324222151619498</v>
      </c>
    </row>
    <row r="180" spans="1:26" s="24" customFormat="1" hidden="1" outlineLevel="2" x14ac:dyDescent="0.25">
      <c r="A180" s="26"/>
      <c r="B180" s="11" t="str">
        <f>CONCATENATE("          ", "6005", " - ", "TEMPORARY WAGES-HOURLY")</f>
        <v xml:space="preserve">          6005 - TEMPORARY WAGES-HOURLY</v>
      </c>
      <c r="C180" s="11"/>
      <c r="D180" s="6">
        <v>22314.84</v>
      </c>
      <c r="E180" s="2"/>
      <c r="F180" s="7">
        <f t="shared" si="28"/>
        <v>2.9708915510433712E-2</v>
      </c>
      <c r="G180" s="2"/>
      <c r="H180" s="6">
        <v>21261.41</v>
      </c>
      <c r="I180" s="2"/>
      <c r="J180" s="7">
        <f t="shared" si="29"/>
        <v>3.5330457454215522E-2</v>
      </c>
      <c r="K180" s="2"/>
      <c r="L180" s="6">
        <f t="shared" si="30"/>
        <v>1053.4300000000003</v>
      </c>
      <c r="M180" s="2"/>
      <c r="N180" s="7">
        <f t="shared" si="31"/>
        <v>4.9546572875458418E-2</v>
      </c>
      <c r="O180" s="11"/>
      <c r="P180" s="6">
        <v>124246.17</v>
      </c>
      <c r="Q180" s="2"/>
      <c r="R180" s="7">
        <f t="shared" si="32"/>
        <v>1.9144234947327355E-2</v>
      </c>
      <c r="S180" s="2"/>
      <c r="T180" s="6">
        <v>124487.65</v>
      </c>
      <c r="U180" s="2"/>
      <c r="V180" s="7">
        <f t="shared" si="33"/>
        <v>1.8602947640020989E-2</v>
      </c>
      <c r="W180" s="2"/>
      <c r="X180" s="6">
        <f t="shared" si="34"/>
        <v>-241.47999999999593</v>
      </c>
      <c r="Y180" s="2"/>
      <c r="Z180" s="7">
        <f t="shared" si="35"/>
        <v>-1.9397908145908124E-3</v>
      </c>
    </row>
    <row r="181" spans="1:26" s="24" customFormat="1" hidden="1" outlineLevel="2" x14ac:dyDescent="0.25">
      <c r="A181" s="26"/>
      <c r="B181" s="11" t="str">
        <f>CONCATENATE("          ", "6006", " - ", "TEMPORARY PART TIME")</f>
        <v xml:space="preserve">          6006 - TEMPORARY PART TIME</v>
      </c>
      <c r="C181" s="11"/>
      <c r="D181" s="6">
        <v>3089.98</v>
      </c>
      <c r="E181" s="2"/>
      <c r="F181" s="7">
        <f t="shared" si="28"/>
        <v>4.1138522502930774E-3</v>
      </c>
      <c r="G181" s="2"/>
      <c r="H181" s="6">
        <v>5780.71</v>
      </c>
      <c r="I181" s="2"/>
      <c r="J181" s="7">
        <f t="shared" si="29"/>
        <v>9.6059070734329562E-3</v>
      </c>
      <c r="K181" s="2"/>
      <c r="L181" s="6">
        <f t="shared" si="30"/>
        <v>-2690.73</v>
      </c>
      <c r="M181" s="2"/>
      <c r="N181" s="7">
        <f t="shared" si="31"/>
        <v>-0.46546704470558115</v>
      </c>
      <c r="O181" s="11"/>
      <c r="P181" s="6">
        <v>28317.05</v>
      </c>
      <c r="Q181" s="2"/>
      <c r="R181" s="7">
        <f t="shared" si="32"/>
        <v>4.3631788264798512E-3</v>
      </c>
      <c r="S181" s="2"/>
      <c r="T181" s="6">
        <v>57705.82</v>
      </c>
      <c r="U181" s="2"/>
      <c r="V181" s="7">
        <f t="shared" si="33"/>
        <v>8.6233320974769458E-3</v>
      </c>
      <c r="W181" s="2"/>
      <c r="X181" s="6">
        <f t="shared" si="34"/>
        <v>-29388.77</v>
      </c>
      <c r="Y181" s="2"/>
      <c r="Z181" s="7">
        <f t="shared" si="35"/>
        <v>-0.50928606507974417</v>
      </c>
    </row>
    <row r="182" spans="1:26" s="24" customFormat="1" hidden="1" outlineLevel="2" x14ac:dyDescent="0.25">
      <c r="A182" s="26"/>
      <c r="B182" s="11" t="str">
        <f>CONCATENATE("          ", "6007", " - ", "STUDENT HOURLY")</f>
        <v xml:space="preserve">          6007 - STUDENT HOURLY</v>
      </c>
      <c r="C182" s="11"/>
      <c r="D182" s="6">
        <v>84786.349999999991</v>
      </c>
      <c r="E182" s="2"/>
      <c r="F182" s="7">
        <f t="shared" si="28"/>
        <v>0.11288050949897294</v>
      </c>
      <c r="G182" s="2"/>
      <c r="H182" s="6">
        <v>67185.069999999992</v>
      </c>
      <c r="I182" s="2"/>
      <c r="J182" s="7">
        <f t="shared" si="29"/>
        <v>0.1116426077665353</v>
      </c>
      <c r="K182" s="2"/>
      <c r="L182" s="6">
        <f t="shared" si="30"/>
        <v>17601.28</v>
      </c>
      <c r="M182" s="2"/>
      <c r="N182" s="7">
        <f t="shared" si="31"/>
        <v>0.26198201475417082</v>
      </c>
      <c r="O182" s="11"/>
      <c r="P182" s="6">
        <v>544727.69999999995</v>
      </c>
      <c r="Q182" s="2"/>
      <c r="R182" s="7">
        <f t="shared" si="32"/>
        <v>8.3933332279918574E-2</v>
      </c>
      <c r="S182" s="2"/>
      <c r="T182" s="6">
        <v>460563.45999999996</v>
      </c>
      <c r="U182" s="2"/>
      <c r="V182" s="7">
        <f t="shared" si="33"/>
        <v>6.8824802550991201E-2</v>
      </c>
      <c r="W182" s="2"/>
      <c r="X182" s="6">
        <f t="shared" si="34"/>
        <v>84164.239999999991</v>
      </c>
      <c r="Y182" s="2"/>
      <c r="Z182" s="7">
        <f t="shared" si="35"/>
        <v>0.18274189619819167</v>
      </c>
    </row>
    <row r="183" spans="1:26" s="24" customFormat="1" hidden="1" outlineLevel="2" x14ac:dyDescent="0.25">
      <c r="A183" s="26"/>
      <c r="B183" s="11" t="str">
        <f>CONCATENATE("          ", "6008", " - ", "STUDENT HOURLY-FICA EXEMPT")</f>
        <v xml:space="preserve">          6008 - STUDENT HOURLY-FICA EXEMPT</v>
      </c>
      <c r="C183" s="11"/>
      <c r="D183" s="6">
        <v>1488</v>
      </c>
      <c r="E183" s="2"/>
      <c r="F183" s="7">
        <f t="shared" si="28"/>
        <v>1.9810523525835436E-3</v>
      </c>
      <c r="G183" s="2"/>
      <c r="H183" s="6">
        <v>2892.32</v>
      </c>
      <c r="I183" s="2"/>
      <c r="J183" s="7">
        <f t="shared" si="29"/>
        <v>4.8062188116393331E-3</v>
      </c>
      <c r="K183" s="2"/>
      <c r="L183" s="6">
        <f t="shared" si="30"/>
        <v>-1404.3200000000002</v>
      </c>
      <c r="M183" s="2"/>
      <c r="N183" s="7">
        <f t="shared" si="31"/>
        <v>-0.48553410411019532</v>
      </c>
      <c r="O183" s="11"/>
      <c r="P183" s="6">
        <v>13066.79</v>
      </c>
      <c r="Q183" s="2"/>
      <c r="R183" s="7">
        <f t="shared" si="32"/>
        <v>2.0133715008469688E-3</v>
      </c>
      <c r="S183" s="2"/>
      <c r="T183" s="6">
        <v>21434.27</v>
      </c>
      <c r="U183" s="2"/>
      <c r="V183" s="7">
        <f t="shared" si="33"/>
        <v>3.2030534957650232E-3</v>
      </c>
      <c r="W183" s="2"/>
      <c r="X183" s="6">
        <f t="shared" si="34"/>
        <v>-8367.48</v>
      </c>
      <c r="Y183" s="2"/>
      <c r="Z183" s="7">
        <f t="shared" si="35"/>
        <v>-0.39037858532154346</v>
      </c>
    </row>
    <row r="184" spans="1:26" s="25" customFormat="1" outlineLevel="1" collapsed="1" x14ac:dyDescent="0.25">
      <c r="A184" s="27"/>
      <c r="B184" s="13" t="str">
        <f>CONCATENATE("     ","Advertising/Promo                                 ")</f>
        <v xml:space="preserve">     Advertising/Promo                                 </v>
      </c>
      <c r="C184" s="13"/>
      <c r="D184" s="1">
        <f>SUM(OSRRefD22_2x_0)</f>
        <v>15615.710000000001</v>
      </c>
      <c r="E184" s="1"/>
      <c r="F184" s="5">
        <f t="shared" ref="F184:F188" si="36">IF(D$12=0,0,D184/D$12)</f>
        <v>2.0790012790834929E-2</v>
      </c>
      <c r="G184" s="1"/>
      <c r="H184" s="1">
        <f>SUM(OSRRefH22_2x_0)</f>
        <v>20850.27</v>
      </c>
      <c r="I184" s="1"/>
      <c r="J184" s="5">
        <f t="shared" ref="J184:J188" si="37">IF(H$12=0,0,H184/H$12)</f>
        <v>3.464725891386819E-2</v>
      </c>
      <c r="K184" s="1"/>
      <c r="L184" s="1">
        <f t="shared" ref="L184:L188" si="38">+D184-H184</f>
        <v>-5234.5599999999995</v>
      </c>
      <c r="M184" s="1"/>
      <c r="N184" s="5">
        <f t="shared" ref="N184:N188" si="39">IF(H184=0,0,L184/H184)</f>
        <v>-0.25105478250401553</v>
      </c>
      <c r="O184" s="13"/>
      <c r="P184" s="1">
        <f>SUM(OSRRefP22_2x_0)</f>
        <v>34435.449999999997</v>
      </c>
      <c r="Q184" s="1"/>
      <c r="R184" s="5">
        <f t="shared" ref="R184:R188" si="40">IF(P$12=0,0,P184/P$12)</f>
        <v>5.3059208611174391E-3</v>
      </c>
      <c r="S184" s="1"/>
      <c r="T184" s="1">
        <f>SUM(OSRRefT22_2x_0)</f>
        <v>40169.07</v>
      </c>
      <c r="U184" s="1"/>
      <c r="V184" s="5">
        <f t="shared" ref="V184:V188" si="41">IF(T$12=0,0,T184/T$12)</f>
        <v>6.0027087502924018E-3</v>
      </c>
      <c r="W184" s="1"/>
      <c r="X184" s="1">
        <f t="shared" ref="X184:X188" si="42">+P184-T184</f>
        <v>-5733.6200000000026</v>
      </c>
      <c r="Y184" s="1"/>
      <c r="Z184" s="5">
        <f t="shared" ref="Z184:Z188" si="43">IF(T184=0,0,X184/T184)</f>
        <v>-0.14273718560076204</v>
      </c>
    </row>
    <row r="185" spans="1:26" s="24" customFormat="1" hidden="1" outlineLevel="2" x14ac:dyDescent="0.25">
      <c r="A185" s="26"/>
      <c r="B185" s="11" t="str">
        <f>CONCATENATE("          ", "6362", " - ", "ADVERTISING EXPENSE")</f>
        <v xml:space="preserve">          6362 - ADVERTISING EXPENSE</v>
      </c>
      <c r="C185" s="11"/>
      <c r="D185" s="6">
        <v>15615.710000000001</v>
      </c>
      <c r="E185" s="2"/>
      <c r="F185" s="7">
        <f t="shared" si="36"/>
        <v>2.0790012790834929E-2</v>
      </c>
      <c r="G185" s="2"/>
      <c r="H185" s="6">
        <v>20850.27</v>
      </c>
      <c r="I185" s="2"/>
      <c r="J185" s="7">
        <f t="shared" si="37"/>
        <v>3.464725891386819E-2</v>
      </c>
      <c r="K185" s="2"/>
      <c r="L185" s="6">
        <f t="shared" si="38"/>
        <v>-5234.5599999999995</v>
      </c>
      <c r="M185" s="2"/>
      <c r="N185" s="7">
        <f t="shared" si="39"/>
        <v>-0.25105478250401553</v>
      </c>
      <c r="O185" s="11"/>
      <c r="P185" s="6">
        <v>34435.449999999997</v>
      </c>
      <c r="Q185" s="2"/>
      <c r="R185" s="7">
        <f t="shared" si="40"/>
        <v>5.3059208611174391E-3</v>
      </c>
      <c r="S185" s="2"/>
      <c r="T185" s="6">
        <v>40169.07</v>
      </c>
      <c r="U185" s="2"/>
      <c r="V185" s="7">
        <f t="shared" si="41"/>
        <v>6.0027087502924018E-3</v>
      </c>
      <c r="W185" s="2"/>
      <c r="X185" s="6">
        <f t="shared" si="42"/>
        <v>-5733.6200000000026</v>
      </c>
      <c r="Y185" s="2"/>
      <c r="Z185" s="7">
        <f t="shared" si="43"/>
        <v>-0.14273718560076204</v>
      </c>
    </row>
    <row r="186" spans="1:26" s="25" customFormat="1" outlineLevel="1" collapsed="1" x14ac:dyDescent="0.25">
      <c r="A186" s="27"/>
      <c r="B186" s="13" t="str">
        <f>CONCATENATE("     ","Bad Debts/Over/Short                              ")</f>
        <v xml:space="preserve">     Bad Debts/Over/Short                              </v>
      </c>
      <c r="C186" s="13"/>
      <c r="D186" s="1">
        <f>SUM(OSRRefD22_3x_0)</f>
        <v>85.97</v>
      </c>
      <c r="E186" s="1"/>
      <c r="F186" s="5">
        <f t="shared" si="36"/>
        <v>1.1445636475242423E-4</v>
      </c>
      <c r="G186" s="1"/>
      <c r="H186" s="1">
        <f>SUM(OSRRefH22_3x_0)</f>
        <v>-14.56</v>
      </c>
      <c r="I186" s="1"/>
      <c r="J186" s="5">
        <f t="shared" si="37"/>
        <v>-2.4194607061967104E-5</v>
      </c>
      <c r="K186" s="1"/>
      <c r="L186" s="1">
        <f t="shared" si="38"/>
        <v>100.53</v>
      </c>
      <c r="M186" s="1"/>
      <c r="N186" s="5">
        <f t="shared" si="39"/>
        <v>-6.9045329670329672</v>
      </c>
      <c r="O186" s="13"/>
      <c r="P186" s="1">
        <f>SUM(OSRRefP22_3x_0)</f>
        <v>-182.63</v>
      </c>
      <c r="Q186" s="1"/>
      <c r="R186" s="5">
        <f t="shared" si="40"/>
        <v>-2.814019642159106E-5</v>
      </c>
      <c r="S186" s="1"/>
      <c r="T186" s="1">
        <f>SUM(OSRRefT22_3x_0)</f>
        <v>589.12</v>
      </c>
      <c r="U186" s="1"/>
      <c r="V186" s="5">
        <f t="shared" si="41"/>
        <v>8.8035789202295684E-5</v>
      </c>
      <c r="W186" s="1"/>
      <c r="X186" s="1">
        <f t="shared" si="42"/>
        <v>-771.75</v>
      </c>
      <c r="Y186" s="1"/>
      <c r="Z186" s="5">
        <f t="shared" si="43"/>
        <v>-1.3100047528517109</v>
      </c>
    </row>
    <row r="187" spans="1:26" s="24" customFormat="1" hidden="1" outlineLevel="2" x14ac:dyDescent="0.25">
      <c r="A187" s="26"/>
      <c r="B187" s="11" t="str">
        <f>CONCATENATE("          ", "6272", " - ", "CASH (OVER/SHORT)")</f>
        <v xml:space="preserve">          6272 - CASH (OVER/SHORT)</v>
      </c>
      <c r="C187" s="11"/>
      <c r="D187" s="6">
        <v>85.97</v>
      </c>
      <c r="E187" s="2"/>
      <c r="F187" s="7">
        <f t="shared" si="36"/>
        <v>1.1445636475242423E-4</v>
      </c>
      <c r="G187" s="2"/>
      <c r="H187" s="6">
        <v>-14.56</v>
      </c>
      <c r="I187" s="2"/>
      <c r="J187" s="7">
        <f t="shared" si="37"/>
        <v>-2.4194607061967104E-5</v>
      </c>
      <c r="K187" s="2"/>
      <c r="L187" s="6">
        <f t="shared" si="38"/>
        <v>100.53</v>
      </c>
      <c r="M187" s="2"/>
      <c r="N187" s="7">
        <f t="shared" si="39"/>
        <v>-6.9045329670329672</v>
      </c>
      <c r="O187" s="11"/>
      <c r="P187" s="6">
        <v>-227.43</v>
      </c>
      <c r="Q187" s="2"/>
      <c r="R187" s="7">
        <f t="shared" si="40"/>
        <v>-3.5043119269355829E-5</v>
      </c>
      <c r="S187" s="2"/>
      <c r="T187" s="6">
        <v>589.12</v>
      </c>
      <c r="U187" s="2"/>
      <c r="V187" s="7">
        <f t="shared" si="41"/>
        <v>8.8035789202295684E-5</v>
      </c>
      <c r="W187" s="2"/>
      <c r="X187" s="6">
        <f t="shared" si="42"/>
        <v>-816.55</v>
      </c>
      <c r="Y187" s="2"/>
      <c r="Z187" s="7">
        <f t="shared" si="43"/>
        <v>-1.3860503802281368</v>
      </c>
    </row>
    <row r="188" spans="1:26" s="24" customFormat="1" hidden="1" outlineLevel="2" x14ac:dyDescent="0.25">
      <c r="A188" s="26"/>
      <c r="B188" s="11" t="str">
        <f>CONCATENATE("          ", "6342", " - ", "BAD DEBT")</f>
        <v xml:space="preserve">          6342 - BAD DEBT</v>
      </c>
      <c r="C188" s="11"/>
      <c r="D188" s="6"/>
      <c r="E188" s="2"/>
      <c r="F188" s="7">
        <f t="shared" si="36"/>
        <v>0</v>
      </c>
      <c r="G188" s="2"/>
      <c r="H188" s="6"/>
      <c r="I188" s="2"/>
      <c r="J188" s="7">
        <f t="shared" si="37"/>
        <v>0</v>
      </c>
      <c r="K188" s="2"/>
      <c r="L188" s="6">
        <f t="shared" si="38"/>
        <v>0</v>
      </c>
      <c r="M188" s="2"/>
      <c r="N188" s="7">
        <f t="shared" si="39"/>
        <v>0</v>
      </c>
      <c r="O188" s="11"/>
      <c r="P188" s="6">
        <v>44.8</v>
      </c>
      <c r="Q188" s="2"/>
      <c r="R188" s="7">
        <f t="shared" si="40"/>
        <v>6.9029228477647674E-6</v>
      </c>
      <c r="S188" s="2"/>
      <c r="T188" s="6"/>
      <c r="U188" s="2"/>
      <c r="V188" s="7">
        <f t="shared" si="41"/>
        <v>0</v>
      </c>
      <c r="W188" s="2"/>
      <c r="X188" s="6">
        <f t="shared" si="42"/>
        <v>44.8</v>
      </c>
      <c r="Y188" s="2"/>
      <c r="Z188" s="7">
        <f t="shared" si="43"/>
        <v>0</v>
      </c>
    </row>
    <row r="189" spans="1:26" s="25" customFormat="1" outlineLevel="1" collapsed="1" x14ac:dyDescent="0.25">
      <c r="A189" s="27"/>
      <c r="B189" s="13" t="str">
        <f>CONCATENATE("     ","Bank/card Fees                                    ")</f>
        <v xml:space="preserve">     Bank/card Fees                                    </v>
      </c>
      <c r="C189" s="13"/>
      <c r="D189" s="1">
        <f>SUM(OSRRefD22_4x_0)</f>
        <v>22447.86</v>
      </c>
      <c r="E189" s="1"/>
      <c r="F189" s="5">
        <f t="shared" ref="F189:F193" si="44">IF(D$12=0,0,D189/D$12)</f>
        <v>2.9886012005017493E-2</v>
      </c>
      <c r="G189" s="1"/>
      <c r="H189" s="1">
        <f>SUM(OSRRefH22_4x_0)</f>
        <v>19401.34</v>
      </c>
      <c r="I189" s="1"/>
      <c r="J189" s="5">
        <f t="shared" ref="J189:J193" si="45">IF(H$12=0,0,H189/H$12)</f>
        <v>3.2239546550523683E-2</v>
      </c>
      <c r="K189" s="1"/>
      <c r="L189" s="1">
        <f t="shared" ref="L189:L193" si="46">+D189-H189</f>
        <v>3046.5200000000004</v>
      </c>
      <c r="M189" s="1"/>
      <c r="N189" s="5">
        <f t="shared" ref="N189:N193" si="47">IF(H189=0,0,L189/H189)</f>
        <v>0.15702626725782862</v>
      </c>
      <c r="O189" s="13"/>
      <c r="P189" s="1">
        <f>SUM(OSRRefP22_4x_0)</f>
        <v>131556.23000000001</v>
      </c>
      <c r="Q189" s="1"/>
      <c r="R189" s="5">
        <f t="shared" ref="R189:R193" si="48">IF(P$12=0,0,P189/P$12)</f>
        <v>2.0270591648053501E-2</v>
      </c>
      <c r="S189" s="1"/>
      <c r="T189" s="1">
        <f>SUM(OSRRefT22_4x_0)</f>
        <v>124423.37000000001</v>
      </c>
      <c r="U189" s="1"/>
      <c r="V189" s="5">
        <f t="shared" ref="V189:V193" si="49">IF(T$12=0,0,T189/T$12)</f>
        <v>1.8593341888170904E-2</v>
      </c>
      <c r="W189" s="1"/>
      <c r="X189" s="1">
        <f t="shared" ref="X189:X193" si="50">+P189-T189</f>
        <v>7132.8600000000006</v>
      </c>
      <c r="Y189" s="1"/>
      <c r="Z189" s="5">
        <f t="shared" ref="Z189:Z193" si="51">IF(T189=0,0,X189/T189)</f>
        <v>5.7327333281520988E-2</v>
      </c>
    </row>
    <row r="190" spans="1:26" s="24" customFormat="1" hidden="1" outlineLevel="2" x14ac:dyDescent="0.25">
      <c r="A190" s="26"/>
      <c r="B190" s="11" t="str">
        <f>CONCATENATE("          ", "6381", " - ", "BANK/CREDIT CARD FEES")</f>
        <v xml:space="preserve">          6381 - BANK/CREDIT CARD FEES</v>
      </c>
      <c r="C190" s="11"/>
      <c r="D190" s="6">
        <v>22447.86</v>
      </c>
      <c r="E190" s="2"/>
      <c r="F190" s="7">
        <f t="shared" si="44"/>
        <v>2.9886012005017493E-2</v>
      </c>
      <c r="G190" s="2"/>
      <c r="H190" s="6">
        <v>19401.34</v>
      </c>
      <c r="I190" s="2"/>
      <c r="J190" s="7">
        <f t="shared" si="45"/>
        <v>3.2239546550523683E-2</v>
      </c>
      <c r="K190" s="2"/>
      <c r="L190" s="6">
        <f t="shared" si="46"/>
        <v>3046.5200000000004</v>
      </c>
      <c r="M190" s="2"/>
      <c r="N190" s="7">
        <f t="shared" si="47"/>
        <v>0.15702626725782862</v>
      </c>
      <c r="O190" s="11"/>
      <c r="P190" s="6">
        <v>131556.23000000001</v>
      </c>
      <c r="Q190" s="2"/>
      <c r="R190" s="7">
        <f t="shared" si="48"/>
        <v>2.0270591648053501E-2</v>
      </c>
      <c r="S190" s="2"/>
      <c r="T190" s="6">
        <v>124423.37000000001</v>
      </c>
      <c r="U190" s="2"/>
      <c r="V190" s="7">
        <f t="shared" si="49"/>
        <v>1.8593341888170904E-2</v>
      </c>
      <c r="W190" s="2"/>
      <c r="X190" s="6">
        <f t="shared" si="50"/>
        <v>7132.8600000000006</v>
      </c>
      <c r="Y190" s="2"/>
      <c r="Z190" s="7">
        <f t="shared" si="51"/>
        <v>5.7327333281520988E-2</v>
      </c>
    </row>
    <row r="191" spans="1:26" s="25" customFormat="1" outlineLevel="1" collapsed="1" x14ac:dyDescent="0.25">
      <c r="A191" s="27"/>
      <c r="B191" s="13" t="str">
        <f>CONCATENATE("     ","Depreciation                                      ")</f>
        <v xml:space="preserve">     Depreciation                                      </v>
      </c>
      <c r="C191" s="13"/>
      <c r="D191" s="1">
        <f>SUM(OSRRefD22_5x_0)</f>
        <v>38010.910000000003</v>
      </c>
      <c r="E191" s="1"/>
      <c r="F191" s="5">
        <f t="shared" si="44"/>
        <v>5.0605915779127257E-2</v>
      </c>
      <c r="G191" s="1"/>
      <c r="H191" s="1">
        <f>SUM(OSRRefH22_5x_0)</f>
        <v>37694.15</v>
      </c>
      <c r="I191" s="1"/>
      <c r="J191" s="5">
        <f t="shared" si="45"/>
        <v>6.2637029380827422E-2</v>
      </c>
      <c r="K191" s="1"/>
      <c r="L191" s="1">
        <f t="shared" si="46"/>
        <v>316.76000000000204</v>
      </c>
      <c r="M191" s="1"/>
      <c r="N191" s="5">
        <f t="shared" si="47"/>
        <v>8.403425995811075E-3</v>
      </c>
      <c r="O191" s="13"/>
      <c r="P191" s="1">
        <f>SUM(OSRRefP22_5x_0)</f>
        <v>190054.55</v>
      </c>
      <c r="Q191" s="1"/>
      <c r="R191" s="5">
        <f t="shared" si="48"/>
        <v>2.9284194096353827E-2</v>
      </c>
      <c r="S191" s="1"/>
      <c r="T191" s="1">
        <f>SUM(OSRRefT22_5x_0)</f>
        <v>188470.75</v>
      </c>
      <c r="U191" s="1"/>
      <c r="V191" s="5">
        <f t="shared" si="49"/>
        <v>2.8164331915057322E-2</v>
      </c>
      <c r="W191" s="1"/>
      <c r="X191" s="1">
        <f t="shared" si="50"/>
        <v>1583.7999999999884</v>
      </c>
      <c r="Y191" s="1"/>
      <c r="Z191" s="5">
        <f t="shared" si="51"/>
        <v>8.4034259958109588E-3</v>
      </c>
    </row>
    <row r="192" spans="1:26" s="24" customFormat="1" hidden="1" outlineLevel="2" x14ac:dyDescent="0.25">
      <c r="A192" s="26"/>
      <c r="B192" s="11" t="str">
        <f>CONCATENATE("          ", "6321", " - ", "BUILDING DEPRECIATION")</f>
        <v xml:space="preserve">          6321 - BUILDING DEPRECIATION</v>
      </c>
      <c r="C192" s="11"/>
      <c r="D192" s="6">
        <v>21477.030000000002</v>
      </c>
      <c r="E192" s="2"/>
      <c r="F192" s="7">
        <f t="shared" si="44"/>
        <v>2.8593495166671607E-2</v>
      </c>
      <c r="G192" s="2"/>
      <c r="H192" s="6">
        <v>21533.89</v>
      </c>
      <c r="I192" s="2"/>
      <c r="J192" s="7">
        <f t="shared" si="45"/>
        <v>3.5783242243518046E-2</v>
      </c>
      <c r="K192" s="2"/>
      <c r="L192" s="6">
        <f t="shared" si="46"/>
        <v>-56.859999999996944</v>
      </c>
      <c r="M192" s="2"/>
      <c r="N192" s="7">
        <f t="shared" si="47"/>
        <v>-2.6404890152219103E-3</v>
      </c>
      <c r="O192" s="11"/>
      <c r="P192" s="6">
        <v>107385.15</v>
      </c>
      <c r="Q192" s="2"/>
      <c r="R192" s="7">
        <f t="shared" si="48"/>
        <v>1.6546236728697473E-2</v>
      </c>
      <c r="S192" s="2"/>
      <c r="T192" s="6">
        <v>107669.45</v>
      </c>
      <c r="U192" s="2"/>
      <c r="V192" s="7">
        <f t="shared" si="49"/>
        <v>1.6089701595137011E-2</v>
      </c>
      <c r="W192" s="2"/>
      <c r="X192" s="6">
        <f t="shared" si="50"/>
        <v>-284.30000000000291</v>
      </c>
      <c r="Y192" s="2"/>
      <c r="Z192" s="7">
        <f t="shared" si="51"/>
        <v>-2.6404890152220794E-3</v>
      </c>
    </row>
    <row r="193" spans="1:26" s="24" customFormat="1" hidden="1" outlineLevel="2" x14ac:dyDescent="0.25">
      <c r="A193" s="26"/>
      <c r="B193" s="11" t="str">
        <f>CONCATENATE("          ", "6322", " - ", "EQUIPMENT DEPRECIATION EXPENSE")</f>
        <v xml:space="preserve">          6322 - EQUIPMENT DEPRECIATION EXPENSE</v>
      </c>
      <c r="C193" s="11"/>
      <c r="D193" s="6">
        <v>16533.88</v>
      </c>
      <c r="E193" s="2"/>
      <c r="F193" s="7">
        <f t="shared" si="44"/>
        <v>2.2012420612455647E-2</v>
      </c>
      <c r="G193" s="2"/>
      <c r="H193" s="6">
        <v>16160.26</v>
      </c>
      <c r="I193" s="2"/>
      <c r="J193" s="7">
        <f t="shared" si="45"/>
        <v>2.6853787137309376E-2</v>
      </c>
      <c r="K193" s="2"/>
      <c r="L193" s="6">
        <f t="shared" si="46"/>
        <v>373.6200000000008</v>
      </c>
      <c r="M193" s="2"/>
      <c r="N193" s="7">
        <f t="shared" si="47"/>
        <v>2.311967752994078E-2</v>
      </c>
      <c r="O193" s="11"/>
      <c r="P193" s="6">
        <v>82669.400000000009</v>
      </c>
      <c r="Q193" s="2"/>
      <c r="R193" s="7">
        <f t="shared" si="48"/>
        <v>1.2737957367656356E-2</v>
      </c>
      <c r="S193" s="2"/>
      <c r="T193" s="6">
        <v>80801.3</v>
      </c>
      <c r="U193" s="2"/>
      <c r="V193" s="7">
        <f t="shared" si="49"/>
        <v>1.2074630319920314E-2</v>
      </c>
      <c r="W193" s="2"/>
      <c r="X193" s="6">
        <f t="shared" si="50"/>
        <v>1868.1000000000058</v>
      </c>
      <c r="Y193" s="2"/>
      <c r="Z193" s="7">
        <f t="shared" si="51"/>
        <v>2.3119677529940801E-2</v>
      </c>
    </row>
    <row r="194" spans="1:26" s="25" customFormat="1" outlineLevel="1" collapsed="1" x14ac:dyDescent="0.25">
      <c r="A194" s="27"/>
      <c r="B194" s="13" t="str">
        <f>CONCATENATE("     ","Discounts and Markdowns                           ")</f>
        <v xml:space="preserve">     Discounts and Markdowns                           </v>
      </c>
      <c r="C194" s="13"/>
      <c r="D194" s="1">
        <f>SUM(OSRRefD22_6x_0)</f>
        <v>49094.73</v>
      </c>
      <c r="E194" s="1"/>
      <c r="F194" s="5">
        <f t="shared" ref="F194:F196" si="52">IF(D$12=0,0,D194/D$12)</f>
        <v>6.5362385998624928E-2</v>
      </c>
      <c r="G194" s="1"/>
      <c r="H194" s="1">
        <f>SUM(OSRRefH22_6x_0)</f>
        <v>24384.91</v>
      </c>
      <c r="I194" s="1"/>
      <c r="J194" s="5">
        <f t="shared" ref="J194:J196" si="53">IF(H$12=0,0,H194/H$12)</f>
        <v>4.0520832121664303E-2</v>
      </c>
      <c r="K194" s="1"/>
      <c r="L194" s="1">
        <f t="shared" ref="L194:L196" si="54">+D194-H194</f>
        <v>24709.820000000003</v>
      </c>
      <c r="M194" s="1"/>
      <c r="N194" s="5">
        <f t="shared" ref="N194:N196" si="55">IF(H194=0,0,L194/H194)</f>
        <v>1.0133242238745193</v>
      </c>
      <c r="O194" s="13"/>
      <c r="P194" s="1">
        <f>SUM(OSRRefP22_6x_0)</f>
        <v>146944.68000000002</v>
      </c>
      <c r="Q194" s="1"/>
      <c r="R194" s="5">
        <f t="shared" ref="R194:R196" si="56">IF(P$12=0,0,P194/P$12)</f>
        <v>2.2641691717175953E-2</v>
      </c>
      <c r="S194" s="1"/>
      <c r="T194" s="1">
        <f>SUM(OSRRefT22_6x_0)</f>
        <v>116251.81000000001</v>
      </c>
      <c r="U194" s="1"/>
      <c r="V194" s="5">
        <f t="shared" ref="V194:V196" si="57">IF(T$12=0,0,T194/T$12)</f>
        <v>1.7372215914491666E-2</v>
      </c>
      <c r="W194" s="1"/>
      <c r="X194" s="1">
        <f t="shared" ref="X194:X196" si="58">+P194-T194</f>
        <v>30692.87000000001</v>
      </c>
      <c r="Y194" s="1"/>
      <c r="Z194" s="5">
        <f t="shared" ref="Z194:Z196" si="59">IF(T194=0,0,X194/T194)</f>
        <v>0.26402057740004226</v>
      </c>
    </row>
    <row r="195" spans="1:26" s="24" customFormat="1" hidden="1" outlineLevel="2" x14ac:dyDescent="0.25">
      <c r="A195" s="26"/>
      <c r="B195" s="11" t="str">
        <f>CONCATENATE("          ", "6382", " - ", "DISCOUNTS/MARK DOWNS")</f>
        <v xml:space="preserve">          6382 - DISCOUNTS/MARK DOWNS</v>
      </c>
      <c r="C195" s="11"/>
      <c r="D195" s="6">
        <v>49342.23</v>
      </c>
      <c r="E195" s="2"/>
      <c r="F195" s="7">
        <f t="shared" si="52"/>
        <v>6.5691895714528437E-2</v>
      </c>
      <c r="G195" s="2"/>
      <c r="H195" s="6">
        <v>24536.880000000001</v>
      </c>
      <c r="I195" s="2"/>
      <c r="J195" s="7">
        <f t="shared" si="53"/>
        <v>4.0773363332873583E-2</v>
      </c>
      <c r="K195" s="2"/>
      <c r="L195" s="6">
        <f t="shared" si="54"/>
        <v>24805.350000000002</v>
      </c>
      <c r="M195" s="2"/>
      <c r="N195" s="7">
        <f t="shared" si="55"/>
        <v>1.0109414888934536</v>
      </c>
      <c r="O195" s="11"/>
      <c r="P195" s="6">
        <v>149309.93000000002</v>
      </c>
      <c r="Q195" s="2"/>
      <c r="R195" s="7">
        <f t="shared" si="56"/>
        <v>2.3006136767749069E-2</v>
      </c>
      <c r="S195" s="2"/>
      <c r="T195" s="6">
        <v>118930.80000000002</v>
      </c>
      <c r="U195" s="2"/>
      <c r="V195" s="7">
        <f t="shared" si="57"/>
        <v>1.7772553704610929E-2</v>
      </c>
      <c r="W195" s="2"/>
      <c r="X195" s="6">
        <f t="shared" si="58"/>
        <v>30379.130000000005</v>
      </c>
      <c r="Y195" s="2"/>
      <c r="Z195" s="7">
        <f t="shared" si="59"/>
        <v>0.2554353455959264</v>
      </c>
    </row>
    <row r="196" spans="1:26" s="24" customFormat="1" hidden="1" outlineLevel="2" x14ac:dyDescent="0.25">
      <c r="A196" s="26"/>
      <c r="B196" s="11" t="str">
        <f>CONCATENATE("          ", "9175", " - ", "EARNED DISCOUNTS")</f>
        <v xml:space="preserve">          9175 - EARNED DISCOUNTS</v>
      </c>
      <c r="C196" s="11"/>
      <c r="D196" s="6">
        <v>-247.5</v>
      </c>
      <c r="E196" s="2"/>
      <c r="F196" s="7">
        <f t="shared" si="52"/>
        <v>-3.2950971590351281E-4</v>
      </c>
      <c r="G196" s="2"/>
      <c r="H196" s="6">
        <v>-151.97</v>
      </c>
      <c r="I196" s="2"/>
      <c r="J196" s="7">
        <f t="shared" si="53"/>
        <v>-2.5253121120928163E-4</v>
      </c>
      <c r="K196" s="2"/>
      <c r="L196" s="6">
        <f t="shared" si="54"/>
        <v>-95.53</v>
      </c>
      <c r="M196" s="2"/>
      <c r="N196" s="7">
        <f t="shared" si="55"/>
        <v>0.62861091004803582</v>
      </c>
      <c r="O196" s="11"/>
      <c r="P196" s="6">
        <v>-2365.25</v>
      </c>
      <c r="Q196" s="2"/>
      <c r="R196" s="7">
        <f t="shared" si="56"/>
        <v>-3.6444505057311647E-4</v>
      </c>
      <c r="S196" s="2"/>
      <c r="T196" s="6">
        <v>-2678.99</v>
      </c>
      <c r="U196" s="2"/>
      <c r="V196" s="7">
        <f t="shared" si="57"/>
        <v>-4.0033779011925942E-4</v>
      </c>
      <c r="W196" s="2"/>
      <c r="X196" s="6">
        <f t="shared" si="58"/>
        <v>313.73999999999978</v>
      </c>
      <c r="Y196" s="2"/>
      <c r="Z196" s="7">
        <f t="shared" si="59"/>
        <v>-0.1171112994076125</v>
      </c>
    </row>
    <row r="197" spans="1:26" s="25" customFormat="1" outlineLevel="1" collapsed="1" x14ac:dyDescent="0.25">
      <c r="A197" s="27"/>
      <c r="B197" s="13" t="str">
        <f>CONCATENATE("     ","Donations                                         ")</f>
        <v xml:space="preserve">     Donations                                         </v>
      </c>
      <c r="C197" s="13"/>
      <c r="D197" s="1">
        <f>SUM(OSRRefD22_7x_0)</f>
        <v>3415.9</v>
      </c>
      <c r="E197" s="1"/>
      <c r="F197" s="5">
        <f t="shared" ref="F197:F205" si="60">IF(D$12=0,0,D197/D$12)</f>
        <v>4.547766620423473E-3</v>
      </c>
      <c r="G197" s="1"/>
      <c r="H197" s="1">
        <f>SUM(OSRRefH22_7x_0)</f>
        <v>320.8</v>
      </c>
      <c r="I197" s="1"/>
      <c r="J197" s="5">
        <f t="shared" ref="J197:J205" si="61">IF(H$12=0,0,H197/H$12)</f>
        <v>5.3307897977191256E-4</v>
      </c>
      <c r="K197" s="1"/>
      <c r="L197" s="1">
        <f t="shared" ref="L197:L205" si="62">+D197-H197</f>
        <v>3095.1</v>
      </c>
      <c r="M197" s="1"/>
      <c r="N197" s="5">
        <f t="shared" ref="N197:N205" si="63">IF(H197=0,0,L197/H197)</f>
        <v>9.6480673316708216</v>
      </c>
      <c r="O197" s="13"/>
      <c r="P197" s="1">
        <f>SUM(OSRRefP22_7x_0)</f>
        <v>9647.3799999999992</v>
      </c>
      <c r="Q197" s="1"/>
      <c r="R197" s="5">
        <f t="shared" ref="R197:R205" si="64">IF(P$12=0,0,P197/P$12)</f>
        <v>1.4864982103363585E-3</v>
      </c>
      <c r="S197" s="1"/>
      <c r="T197" s="1">
        <f>SUM(OSRRefT22_7x_0)</f>
        <v>4987.4799999999996</v>
      </c>
      <c r="U197" s="1"/>
      <c r="V197" s="5">
        <f t="shared" ref="V197:V205" si="65">IF(T$12=0,0,T197/T$12)</f>
        <v>7.4530950898062478E-4</v>
      </c>
      <c r="W197" s="1"/>
      <c r="X197" s="1">
        <f t="shared" ref="X197:X205" si="66">+P197-T197</f>
        <v>4659.8999999999996</v>
      </c>
      <c r="Y197" s="1"/>
      <c r="Z197" s="5">
        <f t="shared" ref="Z197:Z205" si="67">IF(T197=0,0,X197/T197)</f>
        <v>0.93431953611844054</v>
      </c>
    </row>
    <row r="198" spans="1:26" s="24" customFormat="1" hidden="1" outlineLevel="2" x14ac:dyDescent="0.25">
      <c r="A198" s="26"/>
      <c r="B198" s="11" t="str">
        <f>CONCATENATE("          ", "6399", " - ", "DONATION-ON CAMPUS")</f>
        <v xml:space="preserve">          6399 - DONATION-ON CAMPUS</v>
      </c>
      <c r="C198" s="11"/>
      <c r="D198" s="6">
        <v>3415.9</v>
      </c>
      <c r="E198" s="2"/>
      <c r="F198" s="7">
        <f t="shared" si="60"/>
        <v>4.547766620423473E-3</v>
      </c>
      <c r="G198" s="2"/>
      <c r="H198" s="6">
        <v>320.8</v>
      </c>
      <c r="I198" s="2"/>
      <c r="J198" s="7">
        <f t="shared" si="61"/>
        <v>5.3307897977191256E-4</v>
      </c>
      <c r="K198" s="2"/>
      <c r="L198" s="6">
        <f t="shared" si="62"/>
        <v>3095.1</v>
      </c>
      <c r="M198" s="2"/>
      <c r="N198" s="7">
        <f t="shared" si="63"/>
        <v>9.6480673316708216</v>
      </c>
      <c r="O198" s="11"/>
      <c r="P198" s="6">
        <v>9647.3799999999992</v>
      </c>
      <c r="Q198" s="2"/>
      <c r="R198" s="7">
        <f t="shared" si="64"/>
        <v>1.4864982103363585E-3</v>
      </c>
      <c r="S198" s="2"/>
      <c r="T198" s="6">
        <v>4987.4799999999996</v>
      </c>
      <c r="U198" s="2"/>
      <c r="V198" s="7">
        <f t="shared" si="65"/>
        <v>7.4530950898062478E-4</v>
      </c>
      <c r="W198" s="2"/>
      <c r="X198" s="6">
        <f t="shared" si="66"/>
        <v>4659.8999999999996</v>
      </c>
      <c r="Y198" s="2"/>
      <c r="Z198" s="7">
        <f t="shared" si="67"/>
        <v>0.93431953611844054</v>
      </c>
    </row>
    <row r="199" spans="1:26" s="25" customFormat="1" outlineLevel="1" collapsed="1" x14ac:dyDescent="0.25">
      <c r="A199" s="27"/>
      <c r="B199" s="13" t="str">
        <f>CONCATENATE("     ","Employees' Appreciation                           ")</f>
        <v xml:space="preserve">     Employees' Appreciation                           </v>
      </c>
      <c r="C199" s="13"/>
      <c r="D199" s="1">
        <f>SUM(OSRRefD22_8x_0)</f>
        <v>425.17</v>
      </c>
      <c r="E199" s="1"/>
      <c r="F199" s="5">
        <f t="shared" si="60"/>
        <v>5.6605109458867297E-4</v>
      </c>
      <c r="G199" s="1"/>
      <c r="H199" s="1">
        <f>SUM(OSRRefH22_8x_0)</f>
        <v>302.74</v>
      </c>
      <c r="I199" s="1"/>
      <c r="J199" s="5">
        <f t="shared" si="61"/>
        <v>5.0306836139697264E-4</v>
      </c>
      <c r="K199" s="1"/>
      <c r="L199" s="1">
        <f t="shared" si="62"/>
        <v>122.43</v>
      </c>
      <c r="M199" s="1"/>
      <c r="N199" s="5">
        <f t="shared" si="63"/>
        <v>0.40440642135165489</v>
      </c>
      <c r="O199" s="13"/>
      <c r="P199" s="1">
        <f>SUM(OSRRefP22_8x_0)</f>
        <v>1103.58</v>
      </c>
      <c r="Q199" s="1"/>
      <c r="R199" s="5">
        <f t="shared" si="64"/>
        <v>1.7004302670393397E-4</v>
      </c>
      <c r="S199" s="1"/>
      <c r="T199" s="1">
        <f>SUM(OSRRefT22_8x_0)</f>
        <v>2814.38</v>
      </c>
      <c r="U199" s="1"/>
      <c r="V199" s="5">
        <f t="shared" si="65"/>
        <v>4.2056994231252877E-4</v>
      </c>
      <c r="W199" s="1"/>
      <c r="X199" s="1">
        <f t="shared" si="66"/>
        <v>-1710.8000000000002</v>
      </c>
      <c r="Y199" s="1"/>
      <c r="Z199" s="5">
        <f t="shared" si="67"/>
        <v>-0.60787811169778072</v>
      </c>
    </row>
    <row r="200" spans="1:26" s="24" customFormat="1" hidden="1" outlineLevel="2" x14ac:dyDescent="0.25">
      <c r="A200" s="26"/>
      <c r="B200" s="11" t="str">
        <f>CONCATENATE("          ", "6277", " - ", "EMPLOYEE APPRECIATION")</f>
        <v xml:space="preserve">          6277 - EMPLOYEE APPRECIATION</v>
      </c>
      <c r="C200" s="11"/>
      <c r="D200" s="6">
        <v>425.17</v>
      </c>
      <c r="E200" s="2"/>
      <c r="F200" s="7">
        <f t="shared" si="60"/>
        <v>5.6605109458867297E-4</v>
      </c>
      <c r="G200" s="2"/>
      <c r="H200" s="6">
        <v>302.74</v>
      </c>
      <c r="I200" s="2"/>
      <c r="J200" s="7">
        <f t="shared" si="61"/>
        <v>5.0306836139697264E-4</v>
      </c>
      <c r="K200" s="2"/>
      <c r="L200" s="6">
        <f t="shared" si="62"/>
        <v>122.43</v>
      </c>
      <c r="M200" s="2"/>
      <c r="N200" s="7">
        <f t="shared" si="63"/>
        <v>0.40440642135165489</v>
      </c>
      <c r="O200" s="11"/>
      <c r="P200" s="6">
        <v>1103.58</v>
      </c>
      <c r="Q200" s="2"/>
      <c r="R200" s="7">
        <f t="shared" si="64"/>
        <v>1.7004302670393397E-4</v>
      </c>
      <c r="S200" s="2"/>
      <c r="T200" s="6">
        <v>2814.38</v>
      </c>
      <c r="U200" s="2"/>
      <c r="V200" s="7">
        <f t="shared" si="65"/>
        <v>4.2056994231252877E-4</v>
      </c>
      <c r="W200" s="2"/>
      <c r="X200" s="6">
        <f t="shared" si="66"/>
        <v>-1710.8000000000002</v>
      </c>
      <c r="Y200" s="2"/>
      <c r="Z200" s="7">
        <f t="shared" si="67"/>
        <v>-0.60787811169778072</v>
      </c>
    </row>
    <row r="201" spans="1:26" s="25" customFormat="1" outlineLevel="1" collapsed="1" x14ac:dyDescent="0.25">
      <c r="A201" s="27"/>
      <c r="B201" s="13" t="str">
        <f>CONCATENATE("     ","Equipment Rental                                  ")</f>
        <v xml:space="preserve">     Equipment Rental                                  </v>
      </c>
      <c r="C201" s="13"/>
      <c r="D201" s="1">
        <f>SUM(OSRRefD22_9x_0)</f>
        <v>4524.1099999999997</v>
      </c>
      <c r="E201" s="1"/>
      <c r="F201" s="5">
        <f t="shared" si="60"/>
        <v>6.023184649762591E-3</v>
      </c>
      <c r="G201" s="1"/>
      <c r="H201" s="1">
        <f>SUM(OSRRefH22_9x_0)</f>
        <v>3670.04</v>
      </c>
      <c r="I201" s="1"/>
      <c r="J201" s="5">
        <f t="shared" si="61"/>
        <v>6.0985697597322631E-3</v>
      </c>
      <c r="K201" s="1"/>
      <c r="L201" s="1">
        <f t="shared" si="62"/>
        <v>854.06999999999971</v>
      </c>
      <c r="M201" s="1"/>
      <c r="N201" s="5">
        <f t="shared" si="63"/>
        <v>0.23271408486011044</v>
      </c>
      <c r="O201" s="13"/>
      <c r="P201" s="1">
        <f>SUM(OSRRefP22_9x_0)</f>
        <v>11664.07</v>
      </c>
      <c r="Q201" s="1"/>
      <c r="R201" s="5">
        <f t="shared" si="64"/>
        <v>1.7972360558242766E-3</v>
      </c>
      <c r="S201" s="1"/>
      <c r="T201" s="1">
        <f>SUM(OSRRefT22_9x_0)</f>
        <v>17742.169999999998</v>
      </c>
      <c r="U201" s="1"/>
      <c r="V201" s="5">
        <f t="shared" si="65"/>
        <v>2.6513205087440495E-3</v>
      </c>
      <c r="W201" s="1"/>
      <c r="X201" s="1">
        <f t="shared" si="66"/>
        <v>-6078.0999999999985</v>
      </c>
      <c r="Y201" s="1"/>
      <c r="Z201" s="5">
        <f t="shared" si="67"/>
        <v>-0.34257928990647701</v>
      </c>
    </row>
    <row r="202" spans="1:26" s="24" customFormat="1" hidden="1" outlineLevel="2" x14ac:dyDescent="0.25">
      <c r="A202" s="26"/>
      <c r="B202" s="11" t="str">
        <f>CONCATENATE("          ", "6351", " - ", "EQUIPMENT RENTAL")</f>
        <v xml:space="preserve">          6351 - EQUIPMENT RENTAL</v>
      </c>
      <c r="C202" s="11"/>
      <c r="D202" s="6">
        <v>4524.1099999999997</v>
      </c>
      <c r="E202" s="2"/>
      <c r="F202" s="7">
        <f t="shared" si="60"/>
        <v>6.023184649762591E-3</v>
      </c>
      <c r="G202" s="2"/>
      <c r="H202" s="6">
        <v>3670.04</v>
      </c>
      <c r="I202" s="2"/>
      <c r="J202" s="7">
        <f t="shared" si="61"/>
        <v>6.0985697597322631E-3</v>
      </c>
      <c r="K202" s="2"/>
      <c r="L202" s="6">
        <f t="shared" si="62"/>
        <v>854.06999999999971</v>
      </c>
      <c r="M202" s="2"/>
      <c r="N202" s="7">
        <f t="shared" si="63"/>
        <v>0.23271408486011044</v>
      </c>
      <c r="O202" s="11"/>
      <c r="P202" s="6">
        <v>11664.07</v>
      </c>
      <c r="Q202" s="2"/>
      <c r="R202" s="7">
        <f t="shared" si="64"/>
        <v>1.7972360558242766E-3</v>
      </c>
      <c r="S202" s="2"/>
      <c r="T202" s="6">
        <v>17742.169999999998</v>
      </c>
      <c r="U202" s="2"/>
      <c r="V202" s="7">
        <f t="shared" si="65"/>
        <v>2.6513205087440495E-3</v>
      </c>
      <c r="W202" s="2"/>
      <c r="X202" s="6">
        <f t="shared" si="66"/>
        <v>-6078.0999999999985</v>
      </c>
      <c r="Y202" s="2"/>
      <c r="Z202" s="7">
        <f t="shared" si="67"/>
        <v>-0.34257928990647701</v>
      </c>
    </row>
    <row r="203" spans="1:26" s="25" customFormat="1" outlineLevel="1" collapsed="1" x14ac:dyDescent="0.25">
      <c r="A203" s="27"/>
      <c r="B203" s="13" t="str">
        <f>CONCATENATE("     ","Freight out/Postage                               ")</f>
        <v xml:space="preserve">     Freight out/Postage                               </v>
      </c>
      <c r="C203" s="13"/>
      <c r="D203" s="1">
        <f>SUM(OSRRefD22_10x_0)</f>
        <v>8770.06</v>
      </c>
      <c r="E203" s="1"/>
      <c r="F203" s="5">
        <f t="shared" si="60"/>
        <v>1.1676040319421259E-2</v>
      </c>
      <c r="G203" s="1"/>
      <c r="H203" s="1">
        <f>SUM(OSRRefH22_10x_0)</f>
        <v>2352.5300000000002</v>
      </c>
      <c r="I203" s="1"/>
      <c r="J203" s="5">
        <f t="shared" si="61"/>
        <v>3.9092403126022987E-3</v>
      </c>
      <c r="K203" s="1"/>
      <c r="L203" s="1">
        <f t="shared" si="62"/>
        <v>6417.5299999999988</v>
      </c>
      <c r="M203" s="1"/>
      <c r="N203" s="5">
        <f t="shared" si="63"/>
        <v>2.7279269552354268</v>
      </c>
      <c r="O203" s="13"/>
      <c r="P203" s="1">
        <f>SUM(OSRRefP22_10x_0)</f>
        <v>4862.93</v>
      </c>
      <c r="Q203" s="1"/>
      <c r="R203" s="5">
        <f t="shared" si="64"/>
        <v>7.4929532598394478E-4</v>
      </c>
      <c r="S203" s="1"/>
      <c r="T203" s="1">
        <f>SUM(OSRRefT22_10x_0)</f>
        <v>10091.850000000002</v>
      </c>
      <c r="U203" s="1"/>
      <c r="V203" s="5">
        <f t="shared" si="65"/>
        <v>1.5080866024938687E-3</v>
      </c>
      <c r="W203" s="1"/>
      <c r="X203" s="1">
        <f t="shared" si="66"/>
        <v>-5228.9200000000019</v>
      </c>
      <c r="Y203" s="1"/>
      <c r="Z203" s="5">
        <f t="shared" si="67"/>
        <v>-0.51813294886467798</v>
      </c>
    </row>
    <row r="204" spans="1:26" s="24" customFormat="1" hidden="1" outlineLevel="2" x14ac:dyDescent="0.25">
      <c r="A204" s="26"/>
      <c r="B204" s="11" t="str">
        <f>CONCATENATE("          ", "6305", " - ", "FREIGHT OUT")</f>
        <v xml:space="preserve">          6305 - FREIGHT OUT</v>
      </c>
      <c r="C204" s="11"/>
      <c r="D204" s="6">
        <v>9229.43</v>
      </c>
      <c r="E204" s="2"/>
      <c r="F204" s="7">
        <f t="shared" si="60"/>
        <v>1.2287623665662054E-2</v>
      </c>
      <c r="G204" s="2"/>
      <c r="H204" s="6">
        <v>5377.18</v>
      </c>
      <c r="I204" s="2"/>
      <c r="J204" s="7">
        <f t="shared" si="61"/>
        <v>8.9353542033975466E-3</v>
      </c>
      <c r="K204" s="2"/>
      <c r="L204" s="6">
        <f t="shared" si="62"/>
        <v>3852.25</v>
      </c>
      <c r="M204" s="2"/>
      <c r="N204" s="7">
        <f t="shared" si="63"/>
        <v>0.71640711302206728</v>
      </c>
      <c r="O204" s="11"/>
      <c r="P204" s="6">
        <v>28910.53</v>
      </c>
      <c r="Q204" s="2"/>
      <c r="R204" s="7">
        <f t="shared" si="64"/>
        <v>4.45462406424082E-3</v>
      </c>
      <c r="S204" s="2"/>
      <c r="T204" s="6">
        <v>33251.910000000003</v>
      </c>
      <c r="U204" s="2"/>
      <c r="V204" s="7">
        <f t="shared" si="65"/>
        <v>4.9690354076142524E-3</v>
      </c>
      <c r="W204" s="2"/>
      <c r="X204" s="6">
        <f t="shared" si="66"/>
        <v>-4341.3800000000047</v>
      </c>
      <c r="Y204" s="2"/>
      <c r="Z204" s="7">
        <f t="shared" si="67"/>
        <v>-0.13056031969291401</v>
      </c>
    </row>
    <row r="205" spans="1:26" s="24" customFormat="1" hidden="1" outlineLevel="2" x14ac:dyDescent="0.25">
      <c r="A205" s="26"/>
      <c r="B205" s="11" t="str">
        <f>CONCATENATE("          ", "6307", " - ", "POSTAGE")</f>
        <v xml:space="preserve">          6307 - POSTAGE</v>
      </c>
      <c r="C205" s="11"/>
      <c r="D205" s="6">
        <v>-459.37</v>
      </c>
      <c r="E205" s="2"/>
      <c r="F205" s="7">
        <f t="shared" si="60"/>
        <v>-6.1158334624079468E-4</v>
      </c>
      <c r="G205" s="2"/>
      <c r="H205" s="6">
        <v>-3024.65</v>
      </c>
      <c r="I205" s="2"/>
      <c r="J205" s="7">
        <f t="shared" si="61"/>
        <v>-5.026113890795247E-3</v>
      </c>
      <c r="K205" s="2"/>
      <c r="L205" s="6">
        <f t="shared" si="62"/>
        <v>2565.2800000000002</v>
      </c>
      <c r="M205" s="2"/>
      <c r="N205" s="7">
        <f t="shared" si="63"/>
        <v>-0.84812457639726913</v>
      </c>
      <c r="O205" s="11"/>
      <c r="P205" s="6">
        <v>-24047.599999999999</v>
      </c>
      <c r="Q205" s="2"/>
      <c r="R205" s="7">
        <f t="shared" si="64"/>
        <v>-3.7053287382568757E-3</v>
      </c>
      <c r="S205" s="2"/>
      <c r="T205" s="6">
        <v>-23160.06</v>
      </c>
      <c r="U205" s="2"/>
      <c r="V205" s="7">
        <f t="shared" si="65"/>
        <v>-3.4609488051203837E-3</v>
      </c>
      <c r="W205" s="2"/>
      <c r="X205" s="6">
        <f t="shared" si="66"/>
        <v>-887.53999999999724</v>
      </c>
      <c r="Y205" s="2"/>
      <c r="Z205" s="7">
        <f t="shared" si="67"/>
        <v>3.8322007801361357E-2</v>
      </c>
    </row>
    <row r="206" spans="1:26" s="25" customFormat="1" outlineLevel="1" collapsed="1" x14ac:dyDescent="0.25">
      <c r="A206" s="27"/>
      <c r="B206" s="13" t="str">
        <f>CONCATENATE("     ","General                                           ")</f>
        <v xml:space="preserve">     General                                           </v>
      </c>
      <c r="C206" s="13"/>
      <c r="D206" s="1">
        <f>SUM(OSRRefD22_11x_0)</f>
        <v>12609.15</v>
      </c>
      <c r="E206" s="1"/>
      <c r="F206" s="5">
        <f t="shared" ref="F206:F221" si="68">IF(D$12=0,0,D206/D$12)</f>
        <v>1.6787221956706178E-2</v>
      </c>
      <c r="G206" s="1"/>
      <c r="H206" s="1">
        <f>SUM(OSRRefH22_11x_0)</f>
        <v>14490.83</v>
      </c>
      <c r="I206" s="1"/>
      <c r="J206" s="5">
        <f t="shared" ref="J206:J221" si="69">IF(H$12=0,0,H206/H$12)</f>
        <v>2.4079666061247579E-2</v>
      </c>
      <c r="K206" s="1"/>
      <c r="L206" s="1">
        <f t="shared" ref="L206:L221" si="70">+D206-H206</f>
        <v>-1881.6800000000003</v>
      </c>
      <c r="M206" s="1"/>
      <c r="N206" s="5">
        <f t="shared" ref="N206:N221" si="71">IF(H206=0,0,L206/H206)</f>
        <v>-0.12985315540931749</v>
      </c>
      <c r="O206" s="13"/>
      <c r="P206" s="1">
        <f>SUM(OSRRefP22_11x_0)</f>
        <v>2510.2199999999998</v>
      </c>
      <c r="Q206" s="1"/>
      <c r="R206" s="5">
        <f t="shared" ref="R206:R221" si="72">IF(P$12=0,0,P206/P$12)</f>
        <v>3.8678247747580527E-4</v>
      </c>
      <c r="S206" s="1"/>
      <c r="T206" s="1">
        <f>SUM(OSRRefT22_11x_0)</f>
        <v>20424.030000000002</v>
      </c>
      <c r="U206" s="1"/>
      <c r="V206" s="5">
        <f t="shared" ref="V206:V221" si="73">IF(T$12=0,0,T206/T$12)</f>
        <v>3.0520871804409345E-3</v>
      </c>
      <c r="W206" s="1"/>
      <c r="X206" s="1">
        <f t="shared" ref="X206:X221" si="74">+P206-T206</f>
        <v>-17913.810000000001</v>
      </c>
      <c r="Y206" s="1"/>
      <c r="Z206" s="5">
        <f t="shared" ref="Z206:Z221" si="75">IF(T206=0,0,X206/T206)</f>
        <v>-0.87709477512518341</v>
      </c>
    </row>
    <row r="207" spans="1:26" s="24" customFormat="1" hidden="1" outlineLevel="2" x14ac:dyDescent="0.25">
      <c r="A207" s="26"/>
      <c r="B207" s="11" t="str">
        <f>CONCATENATE("          ", "6279", " - ", "GENERAL EXPENSE")</f>
        <v xml:space="preserve">          6279 - GENERAL EXPENSE</v>
      </c>
      <c r="C207" s="11"/>
      <c r="D207" s="6">
        <v>12609.15</v>
      </c>
      <c r="E207" s="2"/>
      <c r="F207" s="7">
        <f t="shared" si="68"/>
        <v>1.6787221956706178E-2</v>
      </c>
      <c r="G207" s="2"/>
      <c r="H207" s="6">
        <v>14490.83</v>
      </c>
      <c r="I207" s="2"/>
      <c r="J207" s="7">
        <f t="shared" si="69"/>
        <v>2.4079666061247579E-2</v>
      </c>
      <c r="K207" s="2"/>
      <c r="L207" s="6">
        <f t="shared" si="70"/>
        <v>-1881.6800000000003</v>
      </c>
      <c r="M207" s="2"/>
      <c r="N207" s="7">
        <f t="shared" si="71"/>
        <v>-0.12985315540931749</v>
      </c>
      <c r="O207" s="11"/>
      <c r="P207" s="6">
        <v>2510.2199999999998</v>
      </c>
      <c r="Q207" s="2"/>
      <c r="R207" s="7">
        <f t="shared" si="72"/>
        <v>3.8678247747580527E-4</v>
      </c>
      <c r="S207" s="2"/>
      <c r="T207" s="6">
        <v>20424.030000000002</v>
      </c>
      <c r="U207" s="2"/>
      <c r="V207" s="7">
        <f t="shared" si="73"/>
        <v>3.0520871804409345E-3</v>
      </c>
      <c r="W207" s="2"/>
      <c r="X207" s="6">
        <f t="shared" si="74"/>
        <v>-17913.810000000001</v>
      </c>
      <c r="Y207" s="2"/>
      <c r="Z207" s="7">
        <f t="shared" si="75"/>
        <v>-0.87709477512518341</v>
      </c>
    </row>
    <row r="208" spans="1:26" s="25" customFormat="1" outlineLevel="1" collapsed="1" x14ac:dyDescent="0.25">
      <c r="A208" s="27"/>
      <c r="B208" s="13" t="str">
        <f>CONCATENATE("     ","Insurance                                         ")</f>
        <v xml:space="preserve">     Insurance                                         </v>
      </c>
      <c r="C208" s="13"/>
      <c r="D208" s="1">
        <f>SUM(OSRRefD22_12x_0)</f>
        <v>4288.28</v>
      </c>
      <c r="E208" s="1"/>
      <c r="F208" s="5">
        <f t="shared" si="68"/>
        <v>5.7092118162210739E-3</v>
      </c>
      <c r="G208" s="1"/>
      <c r="H208" s="1">
        <f>SUM(OSRRefH22_12x_0)</f>
        <v>4039.41</v>
      </c>
      <c r="I208" s="1"/>
      <c r="J208" s="5">
        <f t="shared" si="69"/>
        <v>6.7123583593530585E-3</v>
      </c>
      <c r="K208" s="1"/>
      <c r="L208" s="1">
        <f t="shared" si="70"/>
        <v>248.86999999999989</v>
      </c>
      <c r="M208" s="1"/>
      <c r="N208" s="5">
        <f t="shared" si="71"/>
        <v>6.1610482719010921E-2</v>
      </c>
      <c r="O208" s="13"/>
      <c r="P208" s="1">
        <f>SUM(OSRRefP22_12x_0)</f>
        <v>21441.4</v>
      </c>
      <c r="Q208" s="1"/>
      <c r="R208" s="5">
        <f t="shared" si="72"/>
        <v>3.3037573649121318E-3</v>
      </c>
      <c r="S208" s="1"/>
      <c r="T208" s="1">
        <f>SUM(OSRRefT22_12x_0)</f>
        <v>20197.05</v>
      </c>
      <c r="U208" s="1"/>
      <c r="V208" s="5">
        <f t="shared" si="73"/>
        <v>3.0181681767860982E-3</v>
      </c>
      <c r="W208" s="1"/>
      <c r="X208" s="1">
        <f t="shared" si="74"/>
        <v>1244.3500000000022</v>
      </c>
      <c r="Y208" s="1"/>
      <c r="Z208" s="5">
        <f t="shared" si="75"/>
        <v>6.1610482719011053E-2</v>
      </c>
    </row>
    <row r="209" spans="1:26" s="24" customFormat="1" hidden="1" outlineLevel="2" x14ac:dyDescent="0.25">
      <c r="A209" s="26"/>
      <c r="B209" s="11" t="str">
        <f>CONCATENATE("          ", "6314", " - ", "LIABILITY INSURANCE")</f>
        <v xml:space="preserve">          6314 - LIABILITY INSURANCE</v>
      </c>
      <c r="C209" s="11"/>
      <c r="D209" s="6">
        <v>4288.28</v>
      </c>
      <c r="E209" s="2"/>
      <c r="F209" s="7">
        <f t="shared" si="68"/>
        <v>5.7092118162210739E-3</v>
      </c>
      <c r="G209" s="2"/>
      <c r="H209" s="6">
        <v>4039.41</v>
      </c>
      <c r="I209" s="2"/>
      <c r="J209" s="7">
        <f t="shared" si="69"/>
        <v>6.7123583593530585E-3</v>
      </c>
      <c r="K209" s="2"/>
      <c r="L209" s="6">
        <f t="shared" si="70"/>
        <v>248.86999999999989</v>
      </c>
      <c r="M209" s="2"/>
      <c r="N209" s="7">
        <f t="shared" si="71"/>
        <v>6.1610482719010921E-2</v>
      </c>
      <c r="O209" s="11"/>
      <c r="P209" s="6">
        <v>21441.4</v>
      </c>
      <c r="Q209" s="2"/>
      <c r="R209" s="7">
        <f t="shared" si="72"/>
        <v>3.3037573649121318E-3</v>
      </c>
      <c r="S209" s="2"/>
      <c r="T209" s="6">
        <v>20197.05</v>
      </c>
      <c r="U209" s="2"/>
      <c r="V209" s="7">
        <f t="shared" si="73"/>
        <v>3.0181681767860982E-3</v>
      </c>
      <c r="W209" s="2"/>
      <c r="X209" s="6">
        <f t="shared" si="74"/>
        <v>1244.3500000000022</v>
      </c>
      <c r="Y209" s="2"/>
      <c r="Z209" s="7">
        <f t="shared" si="75"/>
        <v>6.1610482719011053E-2</v>
      </c>
    </row>
    <row r="210" spans="1:26" s="25" customFormat="1" outlineLevel="1" collapsed="1" x14ac:dyDescent="0.25">
      <c r="A210" s="27"/>
      <c r="B210" s="13" t="str">
        <f>CONCATENATE("     ","Interest                                          ")</f>
        <v xml:space="preserve">     Interest                                          </v>
      </c>
      <c r="C210" s="13"/>
      <c r="D210" s="1">
        <f>SUM(OSRRefD22_13x_0)</f>
        <v>4175</v>
      </c>
      <c r="E210" s="1"/>
      <c r="F210" s="5">
        <f t="shared" si="68"/>
        <v>5.5583962177663277E-3</v>
      </c>
      <c r="G210" s="1"/>
      <c r="H210" s="1">
        <f>SUM(OSRRefH22_13x_0)</f>
        <v>4280</v>
      </c>
      <c r="I210" s="1"/>
      <c r="J210" s="5">
        <f t="shared" si="69"/>
        <v>7.1121509770068134E-3</v>
      </c>
      <c r="K210" s="1"/>
      <c r="L210" s="1">
        <f t="shared" si="70"/>
        <v>-105</v>
      </c>
      <c r="M210" s="1"/>
      <c r="N210" s="5">
        <f t="shared" si="71"/>
        <v>-2.4532710280373831E-2</v>
      </c>
      <c r="O210" s="13"/>
      <c r="P210" s="1">
        <f>SUM(OSRRefP22_13x_0)</f>
        <v>20668.95</v>
      </c>
      <c r="Q210" s="1"/>
      <c r="R210" s="5">
        <f t="shared" si="72"/>
        <v>3.1847358748729377E-3</v>
      </c>
      <c r="S210" s="1"/>
      <c r="T210" s="1">
        <f>SUM(OSRRefT22_13x_0)</f>
        <v>21184.9</v>
      </c>
      <c r="U210" s="1"/>
      <c r="V210" s="5">
        <f t="shared" si="73"/>
        <v>3.1657886180603513E-3</v>
      </c>
      <c r="W210" s="1"/>
      <c r="X210" s="1">
        <f t="shared" si="74"/>
        <v>-515.95000000000073</v>
      </c>
      <c r="Y210" s="1"/>
      <c r="Z210" s="5">
        <f t="shared" si="75"/>
        <v>-2.4354611067316848E-2</v>
      </c>
    </row>
    <row r="211" spans="1:26" s="24" customFormat="1" hidden="1" outlineLevel="2" x14ac:dyDescent="0.25">
      <c r="A211" s="26"/>
      <c r="B211" s="11" t="str">
        <f>CONCATENATE("          ", "6401", " - ", "INTEREST EXPENSE")</f>
        <v xml:space="preserve">          6401 - INTEREST EXPENSE</v>
      </c>
      <c r="C211" s="11"/>
      <c r="D211" s="6">
        <v>4175</v>
      </c>
      <c r="E211" s="2"/>
      <c r="F211" s="7">
        <f t="shared" si="68"/>
        <v>5.5583962177663277E-3</v>
      </c>
      <c r="G211" s="2"/>
      <c r="H211" s="6">
        <v>4280</v>
      </c>
      <c r="I211" s="2"/>
      <c r="J211" s="7">
        <f t="shared" si="69"/>
        <v>7.1121509770068134E-3</v>
      </c>
      <c r="K211" s="2"/>
      <c r="L211" s="6">
        <f t="shared" si="70"/>
        <v>-105</v>
      </c>
      <c r="M211" s="2"/>
      <c r="N211" s="7">
        <f t="shared" si="71"/>
        <v>-2.4532710280373831E-2</v>
      </c>
      <c r="O211" s="11"/>
      <c r="P211" s="6">
        <v>20668.95</v>
      </c>
      <c r="Q211" s="2"/>
      <c r="R211" s="7">
        <f t="shared" si="72"/>
        <v>3.1847358748729377E-3</v>
      </c>
      <c r="S211" s="2"/>
      <c r="T211" s="6">
        <v>21184.9</v>
      </c>
      <c r="U211" s="2"/>
      <c r="V211" s="7">
        <f t="shared" si="73"/>
        <v>3.1657886180603513E-3</v>
      </c>
      <c r="W211" s="2"/>
      <c r="X211" s="6">
        <f t="shared" si="74"/>
        <v>-515.95000000000073</v>
      </c>
      <c r="Y211" s="2"/>
      <c r="Z211" s="7">
        <f t="shared" si="75"/>
        <v>-2.4354611067316848E-2</v>
      </c>
    </row>
    <row r="212" spans="1:26" s="25" customFormat="1" outlineLevel="1" collapsed="1" x14ac:dyDescent="0.25">
      <c r="A212" s="27"/>
      <c r="B212" s="13" t="str">
        <f>CONCATENATE("     ","Inventory Adjustment                              ")</f>
        <v xml:space="preserve">     Inventory Adjustment                              </v>
      </c>
      <c r="C212" s="13"/>
      <c r="D212" s="1">
        <f>SUM(OSRRefD22_14x_0)</f>
        <v>4250</v>
      </c>
      <c r="E212" s="1"/>
      <c r="F212" s="5">
        <f t="shared" si="68"/>
        <v>5.6582476468279982E-3</v>
      </c>
      <c r="G212" s="1"/>
      <c r="H212" s="1">
        <f>SUM(OSRRefH22_14x_0)</f>
        <v>8750</v>
      </c>
      <c r="I212" s="1"/>
      <c r="J212" s="5">
        <f t="shared" si="69"/>
        <v>1.4540028282432154E-2</v>
      </c>
      <c r="K212" s="1"/>
      <c r="L212" s="1">
        <f t="shared" si="70"/>
        <v>-4500</v>
      </c>
      <c r="M212" s="1"/>
      <c r="N212" s="5">
        <f t="shared" si="71"/>
        <v>-0.51428571428571423</v>
      </c>
      <c r="O212" s="13"/>
      <c r="P212" s="1">
        <f>SUM(OSRRefP22_14x_0)</f>
        <v>21150</v>
      </c>
      <c r="Q212" s="1"/>
      <c r="R212" s="5">
        <f t="shared" si="72"/>
        <v>3.2588575497818047E-3</v>
      </c>
      <c r="S212" s="1"/>
      <c r="T212" s="1">
        <f>SUM(OSRRefT22_14x_0)</f>
        <v>43750</v>
      </c>
      <c r="U212" s="1"/>
      <c r="V212" s="5">
        <f t="shared" si="73"/>
        <v>6.5378289272142115E-3</v>
      </c>
      <c r="W212" s="1"/>
      <c r="X212" s="1">
        <f t="shared" si="74"/>
        <v>-22600</v>
      </c>
      <c r="Y212" s="1"/>
      <c r="Z212" s="5">
        <f t="shared" si="75"/>
        <v>-0.51657142857142857</v>
      </c>
    </row>
    <row r="213" spans="1:26" s="24" customFormat="1" hidden="1" outlineLevel="2" x14ac:dyDescent="0.25">
      <c r="A213" s="26"/>
      <c r="B213" s="11" t="str">
        <f>CONCATENATE("          ", "6408", " - ", "INVENTORY ADJUSTMENT")</f>
        <v xml:space="preserve">          6408 - INVENTORY ADJUSTMENT</v>
      </c>
      <c r="C213" s="11"/>
      <c r="D213" s="6">
        <v>4250</v>
      </c>
      <c r="E213" s="2"/>
      <c r="F213" s="7">
        <f t="shared" si="68"/>
        <v>5.6582476468279982E-3</v>
      </c>
      <c r="G213" s="2"/>
      <c r="H213" s="6">
        <v>8750</v>
      </c>
      <c r="I213" s="2"/>
      <c r="J213" s="7">
        <f t="shared" si="69"/>
        <v>1.4540028282432154E-2</v>
      </c>
      <c r="K213" s="2"/>
      <c r="L213" s="6">
        <f t="shared" si="70"/>
        <v>-4500</v>
      </c>
      <c r="M213" s="2"/>
      <c r="N213" s="7">
        <f t="shared" si="71"/>
        <v>-0.51428571428571423</v>
      </c>
      <c r="O213" s="11"/>
      <c r="P213" s="6">
        <v>21150</v>
      </c>
      <c r="Q213" s="2"/>
      <c r="R213" s="7">
        <f t="shared" si="72"/>
        <v>3.2588575497818047E-3</v>
      </c>
      <c r="S213" s="2"/>
      <c r="T213" s="6">
        <v>43750</v>
      </c>
      <c r="U213" s="2"/>
      <c r="V213" s="7">
        <f t="shared" si="73"/>
        <v>6.5378289272142115E-3</v>
      </c>
      <c r="W213" s="2"/>
      <c r="X213" s="6">
        <f t="shared" si="74"/>
        <v>-22600</v>
      </c>
      <c r="Y213" s="2"/>
      <c r="Z213" s="7">
        <f t="shared" si="75"/>
        <v>-0.51657142857142857</v>
      </c>
    </row>
    <row r="214" spans="1:26" s="25" customFormat="1" outlineLevel="1" collapsed="1" x14ac:dyDescent="0.25">
      <c r="A214" s="27"/>
      <c r="B214" s="13" t="str">
        <f>CONCATENATE("     ","Professional Services                             ")</f>
        <v xml:space="preserve">     Professional Services                             </v>
      </c>
      <c r="C214" s="13"/>
      <c r="D214" s="1">
        <f>SUM(OSRRefD22_15x_0)</f>
        <v>0</v>
      </c>
      <c r="E214" s="1"/>
      <c r="F214" s="5">
        <f t="shared" si="68"/>
        <v>0</v>
      </c>
      <c r="G214" s="1"/>
      <c r="H214" s="1">
        <f>SUM(OSRRefH22_15x_0)</f>
        <v>0</v>
      </c>
      <c r="I214" s="1"/>
      <c r="J214" s="5">
        <f t="shared" si="69"/>
        <v>0</v>
      </c>
      <c r="K214" s="1"/>
      <c r="L214" s="1">
        <f t="shared" si="70"/>
        <v>0</v>
      </c>
      <c r="M214" s="1"/>
      <c r="N214" s="5">
        <f t="shared" si="71"/>
        <v>0</v>
      </c>
      <c r="O214" s="13"/>
      <c r="P214" s="1">
        <f>SUM(OSRRefP22_15x_0)</f>
        <v>6158.41</v>
      </c>
      <c r="Q214" s="1"/>
      <c r="R214" s="5">
        <f t="shared" si="72"/>
        <v>9.4890689943979967E-4</v>
      </c>
      <c r="S214" s="1"/>
      <c r="T214" s="1">
        <f>SUM(OSRRefT22_15x_0)</f>
        <v>8276.43</v>
      </c>
      <c r="U214" s="1"/>
      <c r="V214" s="5">
        <f t="shared" si="73"/>
        <v>1.2367973364128804E-3</v>
      </c>
      <c r="W214" s="1"/>
      <c r="X214" s="1">
        <f t="shared" si="74"/>
        <v>-2118.0200000000004</v>
      </c>
      <c r="Y214" s="1"/>
      <c r="Z214" s="5">
        <f t="shared" si="75"/>
        <v>-0.25590985485287743</v>
      </c>
    </row>
    <row r="215" spans="1:26" s="24" customFormat="1" hidden="1" outlineLevel="2" x14ac:dyDescent="0.25">
      <c r="A215" s="26"/>
      <c r="B215" s="11" t="str">
        <f>CONCATENATE("          ", "6336", " - ", "PROFESSIONAL SERVICES")</f>
        <v xml:space="preserve">          6336 - PROFESSIONAL SERVICES</v>
      </c>
      <c r="C215" s="11"/>
      <c r="D215" s="6"/>
      <c r="E215" s="2"/>
      <c r="F215" s="7">
        <f t="shared" si="68"/>
        <v>0</v>
      </c>
      <c r="G215" s="2"/>
      <c r="H215" s="6"/>
      <c r="I215" s="2"/>
      <c r="J215" s="7">
        <f t="shared" si="69"/>
        <v>0</v>
      </c>
      <c r="K215" s="2"/>
      <c r="L215" s="6">
        <f t="shared" si="70"/>
        <v>0</v>
      </c>
      <c r="M215" s="2"/>
      <c r="N215" s="7">
        <f t="shared" si="71"/>
        <v>0</v>
      </c>
      <c r="O215" s="11"/>
      <c r="P215" s="6">
        <v>6158.41</v>
      </c>
      <c r="Q215" s="2"/>
      <c r="R215" s="7">
        <f t="shared" si="72"/>
        <v>9.4890689943979967E-4</v>
      </c>
      <c r="S215" s="2"/>
      <c r="T215" s="6">
        <v>8276.43</v>
      </c>
      <c r="U215" s="2"/>
      <c r="V215" s="7">
        <f t="shared" si="73"/>
        <v>1.2367973364128804E-3</v>
      </c>
      <c r="W215" s="2"/>
      <c r="X215" s="6">
        <f t="shared" si="74"/>
        <v>-2118.0200000000004</v>
      </c>
      <c r="Y215" s="2"/>
      <c r="Z215" s="7">
        <f t="shared" si="75"/>
        <v>-0.25590985485287743</v>
      </c>
    </row>
    <row r="216" spans="1:26" s="25" customFormat="1" outlineLevel="1" collapsed="1" x14ac:dyDescent="0.25">
      <c r="A216" s="27"/>
      <c r="B216" s="13" t="str">
        <f>CONCATENATE("     ","Rent                                              ")</f>
        <v xml:space="preserve">     Rent                                              </v>
      </c>
      <c r="C216" s="13"/>
      <c r="D216" s="1">
        <f>SUM(OSRRefD22_16x_0)</f>
        <v>7250</v>
      </c>
      <c r="E216" s="1"/>
      <c r="F216" s="5">
        <f t="shared" si="68"/>
        <v>9.6523048092948191E-3</v>
      </c>
      <c r="G216" s="1"/>
      <c r="H216" s="1">
        <f>SUM(OSRRefH22_16x_0)</f>
        <v>7249.77</v>
      </c>
      <c r="I216" s="1"/>
      <c r="J216" s="5">
        <f t="shared" si="69"/>
        <v>1.2047069810414647E-2</v>
      </c>
      <c r="K216" s="1"/>
      <c r="L216" s="1">
        <f t="shared" si="70"/>
        <v>0.22999999999956344</v>
      </c>
      <c r="M216" s="1"/>
      <c r="N216" s="5">
        <f t="shared" si="71"/>
        <v>3.172514438383058E-5</v>
      </c>
      <c r="O216" s="13"/>
      <c r="P216" s="1">
        <f>SUM(OSRRefP22_16x_0)</f>
        <v>36250</v>
      </c>
      <c r="Q216" s="1"/>
      <c r="R216" s="5">
        <f t="shared" si="72"/>
        <v>5.5855123489168042E-3</v>
      </c>
      <c r="S216" s="1"/>
      <c r="T216" s="1">
        <f>SUM(OSRRefT22_16x_0)</f>
        <v>37150.85</v>
      </c>
      <c r="U216" s="1"/>
      <c r="V216" s="5">
        <f t="shared" si="73"/>
        <v>5.5516777554421963E-3</v>
      </c>
      <c r="W216" s="1"/>
      <c r="X216" s="1">
        <f t="shared" si="74"/>
        <v>-900.84999999999854</v>
      </c>
      <c r="Y216" s="1"/>
      <c r="Z216" s="5">
        <f t="shared" si="75"/>
        <v>-2.4248435769302683E-2</v>
      </c>
    </row>
    <row r="217" spans="1:26" s="24" customFormat="1" hidden="1" outlineLevel="2" x14ac:dyDescent="0.25">
      <c r="A217" s="26"/>
      <c r="B217" s="11" t="str">
        <f>CONCATENATE("          ", "6273", " - ", "RENT")</f>
        <v xml:space="preserve">          6273 - RENT</v>
      </c>
      <c r="C217" s="11"/>
      <c r="D217" s="6">
        <v>7250</v>
      </c>
      <c r="E217" s="2"/>
      <c r="F217" s="7">
        <f t="shared" si="68"/>
        <v>9.6523048092948191E-3</v>
      </c>
      <c r="G217" s="2"/>
      <c r="H217" s="6">
        <v>7249.77</v>
      </c>
      <c r="I217" s="2"/>
      <c r="J217" s="7">
        <f t="shared" si="69"/>
        <v>1.2047069810414647E-2</v>
      </c>
      <c r="K217" s="2"/>
      <c r="L217" s="6">
        <f t="shared" si="70"/>
        <v>0.22999999999956344</v>
      </c>
      <c r="M217" s="2"/>
      <c r="N217" s="7">
        <f t="shared" si="71"/>
        <v>3.172514438383058E-5</v>
      </c>
      <c r="O217" s="11"/>
      <c r="P217" s="6">
        <v>36250</v>
      </c>
      <c r="Q217" s="2"/>
      <c r="R217" s="7">
        <f t="shared" si="72"/>
        <v>5.5855123489168042E-3</v>
      </c>
      <c r="S217" s="2"/>
      <c r="T217" s="6">
        <v>37150.85</v>
      </c>
      <c r="U217" s="2"/>
      <c r="V217" s="7">
        <f t="shared" si="73"/>
        <v>5.5516777554421963E-3</v>
      </c>
      <c r="W217" s="2"/>
      <c r="X217" s="6">
        <f t="shared" si="74"/>
        <v>-900.84999999999854</v>
      </c>
      <c r="Y217" s="2"/>
      <c r="Z217" s="7">
        <f t="shared" si="75"/>
        <v>-2.4248435769302683E-2</v>
      </c>
    </row>
    <row r="218" spans="1:26" s="25" customFormat="1" outlineLevel="1" collapsed="1" x14ac:dyDescent="0.25">
      <c r="A218" s="27"/>
      <c r="B218" s="13" t="str">
        <f>CONCATENATE("     ","Repair and Maintenance                            ")</f>
        <v xml:space="preserve">     Repair and Maintenance                            </v>
      </c>
      <c r="C218" s="13"/>
      <c r="D218" s="1">
        <f>SUM(OSRRefD22_17x_0)</f>
        <v>6631.84</v>
      </c>
      <c r="E218" s="1"/>
      <c r="F218" s="5">
        <f t="shared" si="68"/>
        <v>8.8293160174446571E-3</v>
      </c>
      <c r="G218" s="1"/>
      <c r="H218" s="1">
        <f>SUM(OSRRefH22_17x_0)</f>
        <v>20131.600000000002</v>
      </c>
      <c r="I218" s="1"/>
      <c r="J218" s="5">
        <f t="shared" si="69"/>
        <v>3.3453032385212703E-2</v>
      </c>
      <c r="K218" s="1"/>
      <c r="L218" s="1">
        <f t="shared" si="70"/>
        <v>-13499.760000000002</v>
      </c>
      <c r="M218" s="1"/>
      <c r="N218" s="5">
        <f t="shared" si="71"/>
        <v>-0.67057561246994779</v>
      </c>
      <c r="O218" s="13"/>
      <c r="P218" s="1">
        <f>SUM(OSRRefP22_17x_0)</f>
        <v>81370.95</v>
      </c>
      <c r="Q218" s="1"/>
      <c r="R218" s="5">
        <f t="shared" si="72"/>
        <v>1.2537888167395638E-2</v>
      </c>
      <c r="S218" s="1"/>
      <c r="T218" s="1">
        <f>SUM(OSRRefT22_17x_0)</f>
        <v>119349.44</v>
      </c>
      <c r="U218" s="1"/>
      <c r="V218" s="5">
        <f t="shared" si="73"/>
        <v>1.7835113629230102E-2</v>
      </c>
      <c r="W218" s="1"/>
      <c r="X218" s="1">
        <f t="shared" si="74"/>
        <v>-37978.490000000005</v>
      </c>
      <c r="Y218" s="1"/>
      <c r="Z218" s="5">
        <f t="shared" si="75"/>
        <v>-0.31821255298726164</v>
      </c>
    </row>
    <row r="219" spans="1:26" s="24" customFormat="1" hidden="1" outlineLevel="2" x14ac:dyDescent="0.25">
      <c r="A219" s="26"/>
      <c r="B219" s="11" t="str">
        <f>CONCATENATE("          ", "6371", " - ", "COMPUTER SOFTWARE MAINTENANCE")</f>
        <v xml:space="preserve">          6371 - COMPUTER SOFTWARE MAINTENANCE</v>
      </c>
      <c r="C219" s="11"/>
      <c r="D219" s="6">
        <v>601</v>
      </c>
      <c r="E219" s="2"/>
      <c r="F219" s="7">
        <f t="shared" si="68"/>
        <v>8.0014278488085334E-4</v>
      </c>
      <c r="G219" s="2"/>
      <c r="H219" s="6">
        <v>601</v>
      </c>
      <c r="I219" s="2"/>
      <c r="J219" s="7">
        <f t="shared" si="69"/>
        <v>9.9869222831333983E-4</v>
      </c>
      <c r="K219" s="2"/>
      <c r="L219" s="6">
        <f t="shared" si="70"/>
        <v>0</v>
      </c>
      <c r="M219" s="2"/>
      <c r="N219" s="7">
        <f t="shared" si="71"/>
        <v>0</v>
      </c>
      <c r="O219" s="11"/>
      <c r="P219" s="6">
        <v>14664.33</v>
      </c>
      <c r="Q219" s="2"/>
      <c r="R219" s="7">
        <f t="shared" si="72"/>
        <v>2.2595254152714805E-3</v>
      </c>
      <c r="S219" s="2"/>
      <c r="T219" s="6">
        <v>49436.83</v>
      </c>
      <c r="U219" s="2"/>
      <c r="V219" s="7">
        <f t="shared" si="73"/>
        <v>7.3876465655719169E-3</v>
      </c>
      <c r="W219" s="2"/>
      <c r="X219" s="6">
        <f t="shared" si="74"/>
        <v>-34772.5</v>
      </c>
      <c r="Y219" s="2"/>
      <c r="Z219" s="7">
        <f t="shared" si="75"/>
        <v>-0.70337236428792049</v>
      </c>
    </row>
    <row r="220" spans="1:26" s="24" customFormat="1" hidden="1" outlineLevel="2" x14ac:dyDescent="0.25">
      <c r="A220" s="26"/>
      <c r="B220" s="11" t="str">
        <f>CONCATENATE("          ", "6373", " - ", "MAINTENANCE CONTRACTS")</f>
        <v xml:space="preserve">          6373 - MAINTENANCE CONTRACTS</v>
      </c>
      <c r="C220" s="11"/>
      <c r="D220" s="6">
        <v>1461.73</v>
      </c>
      <c r="E220" s="2"/>
      <c r="F220" s="7">
        <f t="shared" si="68"/>
        <v>1.9460777253642093E-3</v>
      </c>
      <c r="G220" s="2"/>
      <c r="H220" s="6">
        <v>16039.7</v>
      </c>
      <c r="I220" s="2"/>
      <c r="J220" s="7">
        <f t="shared" si="69"/>
        <v>2.665345047334023E-2</v>
      </c>
      <c r="K220" s="2"/>
      <c r="L220" s="6">
        <f t="shared" si="70"/>
        <v>-14577.970000000001</v>
      </c>
      <c r="M220" s="2"/>
      <c r="N220" s="7">
        <f t="shared" si="71"/>
        <v>-0.90886799628421977</v>
      </c>
      <c r="O220" s="11"/>
      <c r="P220" s="6">
        <v>32123.24</v>
      </c>
      <c r="Q220" s="2"/>
      <c r="R220" s="7">
        <f t="shared" si="72"/>
        <v>4.9496483781301592E-3</v>
      </c>
      <c r="S220" s="2"/>
      <c r="T220" s="6">
        <v>49314.53</v>
      </c>
      <c r="U220" s="2"/>
      <c r="V220" s="7">
        <f t="shared" si="73"/>
        <v>7.36937053179367E-3</v>
      </c>
      <c r="W220" s="2"/>
      <c r="X220" s="6">
        <f t="shared" si="74"/>
        <v>-17191.289999999997</v>
      </c>
      <c r="Y220" s="2"/>
      <c r="Z220" s="7">
        <f t="shared" si="75"/>
        <v>-0.34860496490588061</v>
      </c>
    </row>
    <row r="221" spans="1:26" s="24" customFormat="1" hidden="1" outlineLevel="2" x14ac:dyDescent="0.25">
      <c r="A221" s="26"/>
      <c r="B221" s="11" t="str">
        <f>CONCATENATE("          ", "6375", " - ", "OUTSIDE REPAIRS &amp; MAINTENANCE")</f>
        <v xml:space="preserve">          6375 - OUTSIDE REPAIRS &amp; MAINTENANCE</v>
      </c>
      <c r="C221" s="11"/>
      <c r="D221" s="6">
        <v>4569.1099999999997</v>
      </c>
      <c r="E221" s="2"/>
      <c r="F221" s="7">
        <f t="shared" si="68"/>
        <v>6.0830955071995933E-3</v>
      </c>
      <c r="G221" s="2"/>
      <c r="H221" s="6">
        <v>3490.9</v>
      </c>
      <c r="I221" s="2"/>
      <c r="J221" s="7">
        <f t="shared" si="69"/>
        <v>5.8008896835591321E-3</v>
      </c>
      <c r="K221" s="2"/>
      <c r="L221" s="6">
        <f t="shared" si="70"/>
        <v>1078.2099999999996</v>
      </c>
      <c r="M221" s="2"/>
      <c r="N221" s="7">
        <f t="shared" si="71"/>
        <v>0.30886304391417674</v>
      </c>
      <c r="O221" s="11"/>
      <c r="P221" s="6">
        <v>34583.379999999997</v>
      </c>
      <c r="Q221" s="2"/>
      <c r="R221" s="7">
        <f t="shared" si="72"/>
        <v>5.3287143739939981E-3</v>
      </c>
      <c r="S221" s="2"/>
      <c r="T221" s="6">
        <v>20598.080000000002</v>
      </c>
      <c r="U221" s="2"/>
      <c r="V221" s="7">
        <f t="shared" si="73"/>
        <v>3.0780965318645149E-3</v>
      </c>
      <c r="W221" s="2"/>
      <c r="X221" s="6">
        <f t="shared" si="74"/>
        <v>13985.299999999996</v>
      </c>
      <c r="Y221" s="2"/>
      <c r="Z221" s="7">
        <f t="shared" si="75"/>
        <v>0.67896134008606601</v>
      </c>
    </row>
    <row r="222" spans="1:26" s="25" customFormat="1" outlineLevel="1" collapsed="1" x14ac:dyDescent="0.25">
      <c r="A222" s="27"/>
      <c r="B222" s="13" t="str">
        <f>CONCATENATE("     ","Royalty &amp; Commissions                             ")</f>
        <v xml:space="preserve">     Royalty &amp; Commissions                             </v>
      </c>
      <c r="C222" s="13"/>
      <c r="D222" s="1">
        <f>SUM(OSRRefD22_18x_0)</f>
        <v>18456.649999999998</v>
      </c>
      <c r="E222" s="1"/>
      <c r="F222" s="5">
        <f t="shared" ref="F222:F225" si="76">IF(D$12=0,0,D222/D$12)</f>
        <v>2.4572305042547753E-2</v>
      </c>
      <c r="G222" s="1"/>
      <c r="H222" s="1">
        <f>SUM(OSRRefH22_18x_0)</f>
        <v>21168.14</v>
      </c>
      <c r="I222" s="1"/>
      <c r="J222" s="5">
        <f t="shared" ref="J222:J225" si="77">IF(H$12=0,0,H222/H$12)</f>
        <v>3.5175469061312387E-2</v>
      </c>
      <c r="K222" s="1"/>
      <c r="L222" s="1">
        <f t="shared" ref="L222:L225" si="78">+D222-H222</f>
        <v>-2711.4900000000016</v>
      </c>
      <c r="M222" s="1"/>
      <c r="N222" s="5">
        <f t="shared" ref="N222:N225" si="79">IF(H222=0,0,L222/H222)</f>
        <v>-0.1280929736859262</v>
      </c>
      <c r="O222" s="13"/>
      <c r="P222" s="1">
        <f>SUM(OSRRefP22_18x_0)</f>
        <v>56209.2</v>
      </c>
      <c r="Q222" s="1"/>
      <c r="R222" s="5">
        <f t="shared" ref="R222:R225" si="80">IF(P$12=0,0,P222/P$12)</f>
        <v>8.6608877440754323E-3</v>
      </c>
      <c r="S222" s="1"/>
      <c r="T222" s="1">
        <f>SUM(OSRRefT22_18x_0)</f>
        <v>77024.710000000006</v>
      </c>
      <c r="U222" s="1"/>
      <c r="V222" s="5">
        <f t="shared" ref="V222:V225" si="81">IF(T$12=0,0,T222/T$12)</f>
        <v>1.1510271477675103E-2</v>
      </c>
      <c r="W222" s="1"/>
      <c r="X222" s="1">
        <f t="shared" ref="X222:X225" si="82">+P222-T222</f>
        <v>-20815.510000000009</v>
      </c>
      <c r="Y222" s="1"/>
      <c r="Z222" s="5">
        <f t="shared" ref="Z222:Z225" si="83">IF(T222=0,0,X222/T222)</f>
        <v>-0.2702445747604893</v>
      </c>
    </row>
    <row r="223" spans="1:26" s="24" customFormat="1" hidden="1" outlineLevel="2" x14ac:dyDescent="0.25">
      <c r="A223" s="26"/>
      <c r="B223" s="11" t="str">
        <f>CONCATENATE("          ", "6253", " - ", "ROYALTY DUE ATHLETICS-LRG")</f>
        <v xml:space="preserve">          6253 - ROYALTY DUE ATHLETICS-LRG</v>
      </c>
      <c r="C223" s="11"/>
      <c r="D223" s="6"/>
      <c r="E223" s="2"/>
      <c r="F223" s="7">
        <f t="shared" si="76"/>
        <v>0</v>
      </c>
      <c r="G223" s="2"/>
      <c r="H223" s="6"/>
      <c r="I223" s="2"/>
      <c r="J223" s="7">
        <f t="shared" si="77"/>
        <v>0</v>
      </c>
      <c r="K223" s="2"/>
      <c r="L223" s="6">
        <f t="shared" si="78"/>
        <v>0</v>
      </c>
      <c r="M223" s="2"/>
      <c r="N223" s="7">
        <f t="shared" si="79"/>
        <v>0</v>
      </c>
      <c r="O223" s="11"/>
      <c r="P223" s="6">
        <v>4366.95</v>
      </c>
      <c r="Q223" s="2"/>
      <c r="R223" s="7">
        <f t="shared" si="80"/>
        <v>6.728731904028204E-4</v>
      </c>
      <c r="S223" s="2"/>
      <c r="T223" s="6">
        <v>22994.42</v>
      </c>
      <c r="U223" s="2"/>
      <c r="V223" s="7">
        <f t="shared" si="81"/>
        <v>3.4361962112117259E-3</v>
      </c>
      <c r="W223" s="2"/>
      <c r="X223" s="6">
        <f t="shared" si="82"/>
        <v>-18627.469999999998</v>
      </c>
      <c r="Y223" s="2"/>
      <c r="Z223" s="7">
        <f t="shared" si="83"/>
        <v>-0.81008653403738817</v>
      </c>
    </row>
    <row r="224" spans="1:26" s="24" customFormat="1" hidden="1" outlineLevel="2" x14ac:dyDescent="0.25">
      <c r="A224" s="26"/>
      <c r="B224" s="11" t="str">
        <f>CONCATENATE("          ", "6254", " - ", "ROYALTY &amp; COMMISSIONS")</f>
        <v xml:space="preserve">          6254 - ROYALTY &amp; COMMISSIONS</v>
      </c>
      <c r="C224" s="11"/>
      <c r="D224" s="6">
        <v>803.23</v>
      </c>
      <c r="E224" s="2"/>
      <c r="F224" s="7">
        <f t="shared" si="76"/>
        <v>1.0693821782027419E-3</v>
      </c>
      <c r="G224" s="2"/>
      <c r="H224" s="6">
        <v>1589.82</v>
      </c>
      <c r="I224" s="2"/>
      <c r="J224" s="7">
        <f t="shared" si="77"/>
        <v>2.6418317444544324E-3</v>
      </c>
      <c r="K224" s="2"/>
      <c r="L224" s="6">
        <f t="shared" si="78"/>
        <v>-786.58999999999992</v>
      </c>
      <c r="M224" s="2"/>
      <c r="N224" s="7">
        <f t="shared" si="79"/>
        <v>-0.49476670314878413</v>
      </c>
      <c r="O224" s="11"/>
      <c r="P224" s="6">
        <v>7974.57</v>
      </c>
      <c r="Q224" s="2"/>
      <c r="R224" s="7">
        <f t="shared" si="80"/>
        <v>1.2287464610290064E-3</v>
      </c>
      <c r="S224" s="2"/>
      <c r="T224" s="6">
        <v>8089.59</v>
      </c>
      <c r="U224" s="2"/>
      <c r="V224" s="7">
        <f t="shared" si="81"/>
        <v>1.2088766974012071E-3</v>
      </c>
      <c r="W224" s="2"/>
      <c r="X224" s="6">
        <f t="shared" si="82"/>
        <v>-115.02000000000044</v>
      </c>
      <c r="Y224" s="2"/>
      <c r="Z224" s="7">
        <f t="shared" si="83"/>
        <v>-1.4218273113965039E-2</v>
      </c>
    </row>
    <row r="225" spans="1:26" s="24" customFormat="1" hidden="1" outlineLevel="2" x14ac:dyDescent="0.25">
      <c r="A225" s="26"/>
      <c r="B225" s="11" t="str">
        <f>CONCATENATE("          ", "6259", " - ", "ROYALTY &amp; COMMISSIONS")</f>
        <v xml:space="preserve">          6259 - ROYALTY &amp; COMMISSIONS</v>
      </c>
      <c r="C225" s="11"/>
      <c r="D225" s="6">
        <v>17653.419999999998</v>
      </c>
      <c r="E225" s="2"/>
      <c r="F225" s="7">
        <f t="shared" si="76"/>
        <v>2.3502922864345011E-2</v>
      </c>
      <c r="G225" s="2"/>
      <c r="H225" s="6">
        <v>19578.32</v>
      </c>
      <c r="I225" s="2"/>
      <c r="J225" s="7">
        <f t="shared" si="77"/>
        <v>3.2533637316857954E-2</v>
      </c>
      <c r="K225" s="2"/>
      <c r="L225" s="6">
        <f t="shared" si="78"/>
        <v>-1924.9000000000015</v>
      </c>
      <c r="M225" s="2"/>
      <c r="N225" s="7">
        <f t="shared" si="79"/>
        <v>-9.8317935348896199E-2</v>
      </c>
      <c r="O225" s="11"/>
      <c r="P225" s="6">
        <v>43867.68</v>
      </c>
      <c r="Q225" s="2"/>
      <c r="R225" s="7">
        <f t="shared" si="80"/>
        <v>6.759268092643606E-3</v>
      </c>
      <c r="S225" s="2"/>
      <c r="T225" s="6">
        <v>45940.700000000004</v>
      </c>
      <c r="U225" s="2"/>
      <c r="V225" s="7">
        <f t="shared" si="81"/>
        <v>6.865198569062171E-3</v>
      </c>
      <c r="W225" s="2"/>
      <c r="X225" s="6">
        <f t="shared" si="82"/>
        <v>-2073.0200000000041</v>
      </c>
      <c r="Y225" s="2"/>
      <c r="Z225" s="7">
        <f t="shared" si="83"/>
        <v>-4.5123822667046953E-2</v>
      </c>
    </row>
    <row r="226" spans="1:26" s="25" customFormat="1" outlineLevel="1" collapsed="1" x14ac:dyDescent="0.25">
      <c r="A226" s="27"/>
      <c r="B226" s="13" t="str">
        <f>CONCATENATE("     ","Services                                          ")</f>
        <v xml:space="preserve">     Services                                          </v>
      </c>
      <c r="C226" s="13"/>
      <c r="D226" s="1">
        <f>SUM(OSRRefD22_19x_0)</f>
        <v>5915.0999999999995</v>
      </c>
      <c r="E226" s="1"/>
      <c r="F226" s="5">
        <f t="shared" ref="F226:F231" si="84">IF(D$12=0,0,D226/D$12)</f>
        <v>7.8750825072358317E-3</v>
      </c>
      <c r="G226" s="1"/>
      <c r="H226" s="1">
        <f>SUM(OSRRefH22_19x_0)</f>
        <v>2176.54</v>
      </c>
      <c r="I226" s="1"/>
      <c r="J226" s="5">
        <f t="shared" ref="J226:J231" si="85">IF(H$12=0,0,H226/H$12)</f>
        <v>3.6167946466108434E-3</v>
      </c>
      <c r="K226" s="1"/>
      <c r="L226" s="1">
        <f t="shared" ref="L226:L231" si="86">+D226-H226</f>
        <v>3738.5599999999995</v>
      </c>
      <c r="M226" s="1"/>
      <c r="N226" s="5">
        <f t="shared" ref="N226:N231" si="87">IF(H226=0,0,L226/H226)</f>
        <v>1.7176619772666708</v>
      </c>
      <c r="O226" s="13"/>
      <c r="P226" s="1">
        <f>SUM(OSRRefP22_19x_0)</f>
        <v>30951.460000000003</v>
      </c>
      <c r="Q226" s="1"/>
      <c r="R226" s="5">
        <f t="shared" ref="R226:R231" si="88">IF(P$12=0,0,P226/P$12)</f>
        <v>4.7690968840552973E-3</v>
      </c>
      <c r="S226" s="1"/>
      <c r="T226" s="1">
        <f>SUM(OSRRefT22_19x_0)</f>
        <v>26926.54</v>
      </c>
      <c r="U226" s="1"/>
      <c r="V226" s="5">
        <f t="shared" ref="V226:V231" si="89">IF(T$12=0,0,T226/T$12)</f>
        <v>4.02379684849807E-3</v>
      </c>
      <c r="W226" s="1"/>
      <c r="X226" s="1">
        <f t="shared" ref="X226:X231" si="90">+P226-T226</f>
        <v>4024.9200000000019</v>
      </c>
      <c r="Y226" s="1"/>
      <c r="Z226" s="5">
        <f t="shared" ref="Z226:Z231" si="91">IF(T226=0,0,X226/T226)</f>
        <v>0.14947780145536715</v>
      </c>
    </row>
    <row r="227" spans="1:26" s="24" customFormat="1" hidden="1" outlineLevel="2" x14ac:dyDescent="0.25">
      <c r="A227" s="26"/>
      <c r="B227" s="11" t="str">
        <f>CONCATENATE("          ", "6282", " - ", "JANITORIAL/EXTERMINATOR EXPENS")</f>
        <v xml:space="preserve">          6282 - JANITORIAL/EXTERMINATOR EXPENS</v>
      </c>
      <c r="C227" s="11"/>
      <c r="D227" s="6">
        <v>566.24</v>
      </c>
      <c r="E227" s="2"/>
      <c r="F227" s="7">
        <f t="shared" si="84"/>
        <v>7.5386497589173779E-4</v>
      </c>
      <c r="G227" s="2"/>
      <c r="H227" s="6">
        <v>927.38</v>
      </c>
      <c r="I227" s="2"/>
      <c r="J227" s="7">
        <f t="shared" si="85"/>
        <v>1.5410435918356493E-3</v>
      </c>
      <c r="K227" s="2"/>
      <c r="L227" s="6">
        <f t="shared" si="86"/>
        <v>-361.14</v>
      </c>
      <c r="M227" s="2"/>
      <c r="N227" s="7">
        <f t="shared" si="87"/>
        <v>-0.38941965537320189</v>
      </c>
      <c r="O227" s="11"/>
      <c r="P227" s="6">
        <v>4211.6400000000003</v>
      </c>
      <c r="Q227" s="2"/>
      <c r="R227" s="7">
        <f t="shared" si="88"/>
        <v>6.4894254425357169E-4</v>
      </c>
      <c r="S227" s="2"/>
      <c r="T227" s="6">
        <v>4272.74</v>
      </c>
      <c r="U227" s="2"/>
      <c r="V227" s="7">
        <f t="shared" si="89"/>
        <v>6.3850155818206283E-4</v>
      </c>
      <c r="W227" s="2"/>
      <c r="X227" s="6">
        <f t="shared" si="90"/>
        <v>-61.099999999999454</v>
      </c>
      <c r="Y227" s="2"/>
      <c r="Z227" s="7">
        <f t="shared" si="91"/>
        <v>-1.4299957404382073E-2</v>
      </c>
    </row>
    <row r="228" spans="1:26" s="24" customFormat="1" hidden="1" outlineLevel="2" x14ac:dyDescent="0.25">
      <c r="A228" s="26"/>
      <c r="B228" s="11" t="str">
        <f>CONCATENATE("          ", "6283", " - ", "PLANT SERVICE")</f>
        <v xml:space="preserve">          6283 - PLANT SERVICE</v>
      </c>
      <c r="C228" s="11"/>
      <c r="D228" s="6"/>
      <c r="E228" s="2"/>
      <c r="F228" s="7">
        <f t="shared" si="84"/>
        <v>0</v>
      </c>
      <c r="G228" s="2"/>
      <c r="H228" s="6">
        <v>173</v>
      </c>
      <c r="I228" s="2"/>
      <c r="J228" s="7">
        <f t="shared" si="85"/>
        <v>2.8747713061265856E-4</v>
      </c>
      <c r="K228" s="2"/>
      <c r="L228" s="6">
        <f t="shared" si="86"/>
        <v>-173</v>
      </c>
      <c r="M228" s="2"/>
      <c r="N228" s="7">
        <f t="shared" si="87"/>
        <v>-1</v>
      </c>
      <c r="O228" s="11"/>
      <c r="P228" s="6">
        <v>541.98</v>
      </c>
      <c r="Q228" s="2"/>
      <c r="R228" s="7">
        <f t="shared" si="88"/>
        <v>8.3509958148025645E-5</v>
      </c>
      <c r="S228" s="2"/>
      <c r="T228" s="6">
        <v>987.5</v>
      </c>
      <c r="U228" s="2"/>
      <c r="V228" s="7">
        <f t="shared" si="89"/>
        <v>1.4756813864283505E-4</v>
      </c>
      <c r="W228" s="2"/>
      <c r="X228" s="6">
        <f t="shared" si="90"/>
        <v>-445.52</v>
      </c>
      <c r="Y228" s="2"/>
      <c r="Z228" s="7">
        <f t="shared" si="91"/>
        <v>-0.45115949367088604</v>
      </c>
    </row>
    <row r="229" spans="1:26" s="24" customFormat="1" hidden="1" outlineLevel="2" x14ac:dyDescent="0.25">
      <c r="A229" s="26"/>
      <c r="B229" s="11" t="str">
        <f>CONCATENATE("          ", "6284", " - ", "TRASH REMOVAL EXPENSE")</f>
        <v xml:space="preserve">          6284 - TRASH REMOVAL EXPENSE</v>
      </c>
      <c r="C229" s="11"/>
      <c r="D229" s="6">
        <v>371.82</v>
      </c>
      <c r="E229" s="2"/>
      <c r="F229" s="7">
        <f t="shared" si="84"/>
        <v>4.9502344471613786E-4</v>
      </c>
      <c r="G229" s="2"/>
      <c r="H229" s="6">
        <v>358.46</v>
      </c>
      <c r="I229" s="2"/>
      <c r="J229" s="7">
        <f t="shared" si="85"/>
        <v>5.9565926149950056E-4</v>
      </c>
      <c r="K229" s="2"/>
      <c r="L229" s="6">
        <f t="shared" si="86"/>
        <v>13.360000000000014</v>
      </c>
      <c r="M229" s="2"/>
      <c r="N229" s="7">
        <f t="shared" si="87"/>
        <v>3.7270546225520319E-2</v>
      </c>
      <c r="O229" s="11"/>
      <c r="P229" s="6">
        <v>1622.1</v>
      </c>
      <c r="Q229" s="2"/>
      <c r="R229" s="7">
        <f t="shared" si="88"/>
        <v>2.4993819534283994E-4</v>
      </c>
      <c r="S229" s="2"/>
      <c r="T229" s="6">
        <v>2363.0300000000002</v>
      </c>
      <c r="U229" s="2"/>
      <c r="V229" s="7">
        <f t="shared" si="89"/>
        <v>3.5312196319714284E-4</v>
      </c>
      <c r="W229" s="2"/>
      <c r="X229" s="6">
        <f t="shared" si="90"/>
        <v>-740.93000000000029</v>
      </c>
      <c r="Y229" s="2"/>
      <c r="Z229" s="7">
        <f t="shared" si="91"/>
        <v>-0.31355082246099297</v>
      </c>
    </row>
    <row r="230" spans="1:26" s="24" customFormat="1" hidden="1" outlineLevel="2" x14ac:dyDescent="0.25">
      <c r="A230" s="26"/>
      <c r="B230" s="11" t="str">
        <f>CONCATENATE("          ", "6285", " - ", "JANITORIAL SERVICES")</f>
        <v xml:space="preserve">          6285 - JANITORIAL SERVICES</v>
      </c>
      <c r="C230" s="11"/>
      <c r="D230" s="6">
        <v>4218.08</v>
      </c>
      <c r="E230" s="2"/>
      <c r="F230" s="7">
        <f t="shared" si="84"/>
        <v>5.615750878619351E-3</v>
      </c>
      <c r="G230" s="2"/>
      <c r="H230" s="6">
        <v>134.88999999999999</v>
      </c>
      <c r="I230" s="2"/>
      <c r="J230" s="7">
        <f t="shared" si="85"/>
        <v>2.2414907600197407E-4</v>
      </c>
      <c r="K230" s="2"/>
      <c r="L230" s="6">
        <f t="shared" si="86"/>
        <v>4083.19</v>
      </c>
      <c r="M230" s="2"/>
      <c r="N230" s="7">
        <f t="shared" si="87"/>
        <v>30.270516717325233</v>
      </c>
      <c r="O230" s="11"/>
      <c r="P230" s="6">
        <v>20844.04</v>
      </c>
      <c r="Q230" s="2"/>
      <c r="R230" s="7">
        <f t="shared" si="88"/>
        <v>3.2117142847259542E-3</v>
      </c>
      <c r="S230" s="2"/>
      <c r="T230" s="6">
        <v>15903.26</v>
      </c>
      <c r="U230" s="2"/>
      <c r="V230" s="7">
        <f t="shared" si="89"/>
        <v>2.3765209889144842E-3</v>
      </c>
      <c r="W230" s="2"/>
      <c r="X230" s="6">
        <f t="shared" si="90"/>
        <v>4940.7800000000007</v>
      </c>
      <c r="Y230" s="2"/>
      <c r="Z230" s="7">
        <f t="shared" si="91"/>
        <v>0.3106771819111302</v>
      </c>
    </row>
    <row r="231" spans="1:26" s="24" customFormat="1" hidden="1" outlineLevel="2" x14ac:dyDescent="0.25">
      <c r="A231" s="26"/>
      <c r="B231" s="11" t="str">
        <f>CONCATENATE("          ", "6286", " - ", "LAUNDRY EXPENSE")</f>
        <v xml:space="preserve">          6286 - LAUNDRY EXPENSE</v>
      </c>
      <c r="C231" s="11"/>
      <c r="D231" s="6">
        <v>758.96</v>
      </c>
      <c r="E231" s="2"/>
      <c r="F231" s="7">
        <f t="shared" si="84"/>
        <v>1.0104432080086064E-3</v>
      </c>
      <c r="G231" s="2"/>
      <c r="H231" s="6">
        <v>582.80999999999995</v>
      </c>
      <c r="I231" s="2"/>
      <c r="J231" s="7">
        <f t="shared" si="85"/>
        <v>9.6846558666106083E-4</v>
      </c>
      <c r="K231" s="2"/>
      <c r="L231" s="6">
        <f t="shared" si="86"/>
        <v>176.15000000000009</v>
      </c>
      <c r="M231" s="2"/>
      <c r="N231" s="7">
        <f t="shared" si="87"/>
        <v>0.30224258334620219</v>
      </c>
      <c r="O231" s="11"/>
      <c r="P231" s="6">
        <v>3731.7</v>
      </c>
      <c r="Q231" s="2"/>
      <c r="R231" s="7">
        <f t="shared" si="88"/>
        <v>5.7499190158490586E-4</v>
      </c>
      <c r="S231" s="2"/>
      <c r="T231" s="6">
        <v>3400.01</v>
      </c>
      <c r="U231" s="2"/>
      <c r="V231" s="7">
        <f t="shared" si="89"/>
        <v>5.0808419956154503E-4</v>
      </c>
      <c r="W231" s="2"/>
      <c r="X231" s="6">
        <f t="shared" si="90"/>
        <v>331.6899999999996</v>
      </c>
      <c r="Y231" s="2"/>
      <c r="Z231" s="7">
        <f t="shared" si="91"/>
        <v>9.7555595424719213E-2</v>
      </c>
    </row>
    <row r="232" spans="1:26" s="25" customFormat="1" outlineLevel="1" collapsed="1" x14ac:dyDescent="0.25">
      <c r="A232" s="27"/>
      <c r="B232" s="13" t="str">
        <f>CONCATENATE("     ","Subscriptions &amp; Dues                              ")</f>
        <v xml:space="preserve">     Subscriptions &amp; Dues                              </v>
      </c>
      <c r="C232" s="13"/>
      <c r="D232" s="1">
        <f>SUM(OSRRefD22_20x_0)</f>
        <v>175.36</v>
      </c>
      <c r="E232" s="1"/>
      <c r="F232" s="5">
        <f t="shared" ref="F232:F234" si="92">IF(D$12=0,0,D232/D$12)</f>
        <v>2.3346595467006064E-4</v>
      </c>
      <c r="G232" s="1"/>
      <c r="H232" s="1">
        <f>SUM(OSRRefH22_20x_0)</f>
        <v>3758.63</v>
      </c>
      <c r="I232" s="1"/>
      <c r="J232" s="5">
        <f t="shared" ref="J232:J234" si="93">IF(H$12=0,0,H232/H$12)</f>
        <v>6.2457813146511963E-3</v>
      </c>
      <c r="K232" s="1"/>
      <c r="L232" s="1">
        <f t="shared" ref="L232:L234" si="94">+D232-H232</f>
        <v>-3583.27</v>
      </c>
      <c r="M232" s="1"/>
      <c r="N232" s="5">
        <f t="shared" ref="N232:N234" si="95">IF(H232=0,0,L232/H232)</f>
        <v>-0.95334470272413085</v>
      </c>
      <c r="O232" s="13"/>
      <c r="P232" s="1">
        <f>SUM(OSRRefP22_20x_0)</f>
        <v>2923.36</v>
      </c>
      <c r="Q232" s="1"/>
      <c r="R232" s="5">
        <f t="shared" ref="R232:R234" si="96">IF(P$12=0,0,P232/P$12)</f>
        <v>4.5044036911253603E-4</v>
      </c>
      <c r="S232" s="1"/>
      <c r="T232" s="1">
        <f>SUM(OSRRefT22_20x_0)</f>
        <v>7181.7199999999993</v>
      </c>
      <c r="U232" s="1"/>
      <c r="V232" s="5">
        <f t="shared" ref="V232:V234" si="97">IF(T$12=0,0,T232/T$12)</f>
        <v>1.0732081545863506E-3</v>
      </c>
      <c r="W232" s="1"/>
      <c r="X232" s="1">
        <f t="shared" ref="X232:X234" si="98">+P232-T232</f>
        <v>-4258.3599999999988</v>
      </c>
      <c r="Y232" s="1"/>
      <c r="Z232" s="5">
        <f t="shared" ref="Z232:Z234" si="99">IF(T232=0,0,X232/T232)</f>
        <v>-0.59294430860573777</v>
      </c>
    </row>
    <row r="233" spans="1:26" s="24" customFormat="1" hidden="1" outlineLevel="2" x14ac:dyDescent="0.25">
      <c r="A233" s="26"/>
      <c r="B233" s="11" t="str">
        <f>CONCATENATE("          ", "6258", " - ", "MEMBERSHIP DUES")</f>
        <v xml:space="preserve">          6258 - MEMBERSHIP DUES</v>
      </c>
      <c r="C233" s="11"/>
      <c r="D233" s="6">
        <v>250</v>
      </c>
      <c r="E233" s="2"/>
      <c r="F233" s="7">
        <f t="shared" si="92"/>
        <v>3.3283809687223518E-4</v>
      </c>
      <c r="G233" s="2"/>
      <c r="H233" s="6">
        <v>3307.27</v>
      </c>
      <c r="I233" s="2"/>
      <c r="J233" s="7">
        <f t="shared" si="93"/>
        <v>5.4957484957302155E-3</v>
      </c>
      <c r="K233" s="2"/>
      <c r="L233" s="6">
        <f t="shared" si="94"/>
        <v>-3057.27</v>
      </c>
      <c r="M233" s="2"/>
      <c r="N233" s="7">
        <f t="shared" si="95"/>
        <v>-0.92440895360826303</v>
      </c>
      <c r="O233" s="11"/>
      <c r="P233" s="6">
        <v>1427.4</v>
      </c>
      <c r="Q233" s="2"/>
      <c r="R233" s="7">
        <f t="shared" si="96"/>
        <v>2.1993821591293373E-4</v>
      </c>
      <c r="S233" s="2"/>
      <c r="T233" s="6">
        <v>5023.1899999999996</v>
      </c>
      <c r="U233" s="2"/>
      <c r="V233" s="7">
        <f t="shared" si="97"/>
        <v>7.5064587174612926E-4</v>
      </c>
      <c r="W233" s="2"/>
      <c r="X233" s="6">
        <f t="shared" si="98"/>
        <v>-3595.7899999999995</v>
      </c>
      <c r="Y233" s="2"/>
      <c r="Z233" s="7">
        <f t="shared" si="99"/>
        <v>-0.71583794361750197</v>
      </c>
    </row>
    <row r="234" spans="1:26" s="24" customFormat="1" hidden="1" outlineLevel="2" x14ac:dyDescent="0.25">
      <c r="A234" s="26"/>
      <c r="B234" s="11" t="str">
        <f>CONCATENATE("          ", "6275", " - ", "SUBSCRIPTIONS")</f>
        <v xml:space="preserve">          6275 - SUBSCRIPTIONS</v>
      </c>
      <c r="C234" s="11"/>
      <c r="D234" s="6">
        <v>-74.64</v>
      </c>
      <c r="E234" s="2"/>
      <c r="F234" s="7">
        <f t="shared" si="92"/>
        <v>-9.9372142202174539E-5</v>
      </c>
      <c r="G234" s="2"/>
      <c r="H234" s="6">
        <v>451.36</v>
      </c>
      <c r="I234" s="2"/>
      <c r="J234" s="7">
        <f t="shared" si="93"/>
        <v>7.5003281892098027E-4</v>
      </c>
      <c r="K234" s="2"/>
      <c r="L234" s="6">
        <f t="shared" si="94"/>
        <v>-526</v>
      </c>
      <c r="M234" s="2"/>
      <c r="N234" s="7">
        <f t="shared" si="95"/>
        <v>-1.1653668911733428</v>
      </c>
      <c r="O234" s="11"/>
      <c r="P234" s="6">
        <v>1495.96</v>
      </c>
      <c r="Q234" s="2"/>
      <c r="R234" s="7">
        <f t="shared" si="96"/>
        <v>2.3050215319960231E-4</v>
      </c>
      <c r="S234" s="2"/>
      <c r="T234" s="6">
        <v>2158.5300000000002</v>
      </c>
      <c r="U234" s="2"/>
      <c r="V234" s="7">
        <f t="shared" si="97"/>
        <v>3.2256228284022155E-4</v>
      </c>
      <c r="W234" s="2"/>
      <c r="X234" s="6">
        <f t="shared" si="98"/>
        <v>-662.57000000000016</v>
      </c>
      <c r="Y234" s="2"/>
      <c r="Z234" s="7">
        <f t="shared" si="99"/>
        <v>-0.30695426980398705</v>
      </c>
    </row>
    <row r="235" spans="1:26" s="25" customFormat="1" outlineLevel="1" collapsed="1" x14ac:dyDescent="0.25">
      <c r="A235" s="27"/>
      <c r="B235" s="13" t="str">
        <f>CONCATENATE("     ","Supplies                                          ")</f>
        <v xml:space="preserve">     Supplies                                          </v>
      </c>
      <c r="C235" s="13"/>
      <c r="D235" s="1">
        <f>SUM(OSRRefD22_21x_0)</f>
        <v>7560.7699999999995</v>
      </c>
      <c r="E235" s="1"/>
      <c r="F235" s="5">
        <f t="shared" ref="F235:F242" si="100">IF(D$12=0,0,D235/D$12)</f>
        <v>1.0066049190754758E-2</v>
      </c>
      <c r="G235" s="1"/>
      <c r="H235" s="1">
        <f>SUM(OSRRefH22_21x_0)</f>
        <v>9189.35</v>
      </c>
      <c r="I235" s="1"/>
      <c r="J235" s="5">
        <f t="shared" ref="J235:J242" si="101">IF(H$12=0,0,H235/H$12)</f>
        <v>1.5270103873962047E-2</v>
      </c>
      <c r="K235" s="1"/>
      <c r="L235" s="1">
        <f t="shared" ref="L235:L242" si="102">+D235-H235</f>
        <v>-1628.5800000000008</v>
      </c>
      <c r="M235" s="1"/>
      <c r="N235" s="5">
        <f t="shared" ref="N235:N242" si="103">IF(H235=0,0,L235/H235)</f>
        <v>-0.17722472209677514</v>
      </c>
      <c r="O235" s="13"/>
      <c r="P235" s="1">
        <f>SUM(OSRRefP22_21x_0)</f>
        <v>78273.01999999999</v>
      </c>
      <c r="Q235" s="1"/>
      <c r="R235" s="5">
        <f t="shared" ref="R235:R242" si="104">IF(P$12=0,0,P235/P$12)</f>
        <v>1.206054951164171E-2</v>
      </c>
      <c r="S235" s="1"/>
      <c r="T235" s="1">
        <f>SUM(OSRRefT22_21x_0)</f>
        <v>110897.95999999999</v>
      </c>
      <c r="U235" s="1"/>
      <c r="V235" s="5">
        <f t="shared" ref="V235:V242" si="105">IF(T$12=0,0,T235/T$12)</f>
        <v>1.6572157505303876E-2</v>
      </c>
      <c r="W235" s="1"/>
      <c r="X235" s="1">
        <f t="shared" ref="X235:X242" si="106">+P235-T235</f>
        <v>-32624.940000000002</v>
      </c>
      <c r="Y235" s="1"/>
      <c r="Z235" s="5">
        <f t="shared" ref="Z235:Z242" si="107">IF(T235=0,0,X235/T235)</f>
        <v>-0.29418882006485969</v>
      </c>
    </row>
    <row r="236" spans="1:26" s="24" customFormat="1" hidden="1" outlineLevel="2" x14ac:dyDescent="0.25">
      <c r="A236" s="26"/>
      <c r="B236" s="11" t="str">
        <f>CONCATENATE("          ", "6234", " - ", "EXPENDABLE SUPPLIES &amp; EQUIPMEN")</f>
        <v xml:space="preserve">          6234 - EXPENDABLE SUPPLIES &amp; EQUIPMEN</v>
      </c>
      <c r="C236" s="11"/>
      <c r="D236" s="6">
        <v>134.87</v>
      </c>
      <c r="E236" s="2"/>
      <c r="F236" s="7">
        <f t="shared" si="100"/>
        <v>1.7955949650063345E-4</v>
      </c>
      <c r="G236" s="2"/>
      <c r="H236" s="6">
        <v>7.72</v>
      </c>
      <c r="I236" s="2"/>
      <c r="J236" s="7">
        <f t="shared" si="101"/>
        <v>1.2828459238900139E-5</v>
      </c>
      <c r="K236" s="2"/>
      <c r="L236" s="6">
        <f t="shared" si="102"/>
        <v>127.15</v>
      </c>
      <c r="M236" s="2"/>
      <c r="N236" s="7">
        <f t="shared" si="103"/>
        <v>16.470207253886013</v>
      </c>
      <c r="O236" s="11"/>
      <c r="P236" s="6">
        <v>2915.21</v>
      </c>
      <c r="Q236" s="2"/>
      <c r="R236" s="7">
        <f t="shared" si="104"/>
        <v>4.4918459185340021E-4</v>
      </c>
      <c r="S236" s="2"/>
      <c r="T236" s="6">
        <v>4398.67</v>
      </c>
      <c r="U236" s="2"/>
      <c r="V236" s="7">
        <f t="shared" si="105"/>
        <v>6.5732004496615632E-4</v>
      </c>
      <c r="W236" s="2"/>
      <c r="X236" s="6">
        <f t="shared" si="106"/>
        <v>-1483.46</v>
      </c>
      <c r="Y236" s="2"/>
      <c r="Z236" s="7">
        <f t="shared" si="107"/>
        <v>-0.33725194206430581</v>
      </c>
    </row>
    <row r="237" spans="1:26" s="24" customFormat="1" hidden="1" outlineLevel="2" x14ac:dyDescent="0.25">
      <c r="A237" s="26"/>
      <c r="B237" s="11" t="str">
        <f>CONCATENATE("          ", "6237", " - ", "JANITORIAL SUPPLIES")</f>
        <v xml:space="preserve">          6237 - JANITORIAL SUPPLIES</v>
      </c>
      <c r="C237" s="11"/>
      <c r="D237" s="6">
        <v>1505.75</v>
      </c>
      <c r="E237" s="2"/>
      <c r="F237" s="7">
        <f t="shared" si="100"/>
        <v>2.0046838574614726E-3</v>
      </c>
      <c r="G237" s="2"/>
      <c r="H237" s="6">
        <v>1822.97</v>
      </c>
      <c r="I237" s="2"/>
      <c r="J237" s="7">
        <f t="shared" si="101"/>
        <v>3.0292611837743249E-3</v>
      </c>
      <c r="K237" s="2"/>
      <c r="L237" s="6">
        <f t="shared" si="102"/>
        <v>-317.22000000000003</v>
      </c>
      <c r="M237" s="2"/>
      <c r="N237" s="7">
        <f t="shared" si="103"/>
        <v>-0.17401273745590987</v>
      </c>
      <c r="O237" s="11"/>
      <c r="P237" s="6">
        <v>5681.61</v>
      </c>
      <c r="Q237" s="2"/>
      <c r="R237" s="7">
        <f t="shared" si="104"/>
        <v>8.7544007770287463E-4</v>
      </c>
      <c r="S237" s="2"/>
      <c r="T237" s="6">
        <v>6708.45</v>
      </c>
      <c r="U237" s="2"/>
      <c r="V237" s="7">
        <f t="shared" si="105"/>
        <v>1.0024845363833183E-3</v>
      </c>
      <c r="W237" s="2"/>
      <c r="X237" s="6">
        <f t="shared" si="106"/>
        <v>-1026.8400000000001</v>
      </c>
      <c r="Y237" s="2"/>
      <c r="Z237" s="7">
        <f t="shared" si="107"/>
        <v>-0.15306665474140824</v>
      </c>
    </row>
    <row r="238" spans="1:26" s="24" customFormat="1" hidden="1" outlineLevel="2" x14ac:dyDescent="0.25">
      <c r="A238" s="26"/>
      <c r="B238" s="11" t="str">
        <f>CONCATENATE("          ", "6241", " - ", "OFFICE EXPENSE")</f>
        <v xml:space="preserve">          6241 - OFFICE EXPENSE</v>
      </c>
      <c r="C238" s="11"/>
      <c r="D238" s="6">
        <v>2466.59</v>
      </c>
      <c r="E238" s="2"/>
      <c r="F238" s="7">
        <f t="shared" si="100"/>
        <v>3.2839004854563463E-3</v>
      </c>
      <c r="G238" s="2"/>
      <c r="H238" s="6">
        <v>2185.1999999999998</v>
      </c>
      <c r="I238" s="2"/>
      <c r="J238" s="7">
        <f t="shared" si="101"/>
        <v>3.6311851203166558E-3</v>
      </c>
      <c r="K238" s="2"/>
      <c r="L238" s="6">
        <f t="shared" si="102"/>
        <v>281.39000000000033</v>
      </c>
      <c r="M238" s="2"/>
      <c r="N238" s="7">
        <f t="shared" si="103"/>
        <v>0.12877082189273309</v>
      </c>
      <c r="O238" s="11"/>
      <c r="P238" s="6">
        <v>16227.409999999998</v>
      </c>
      <c r="Q238" s="2"/>
      <c r="R238" s="7">
        <f t="shared" si="104"/>
        <v>2.5003696260947872E-3</v>
      </c>
      <c r="S238" s="2"/>
      <c r="T238" s="6">
        <v>15226.249999999998</v>
      </c>
      <c r="U238" s="2"/>
      <c r="V238" s="7">
        <f t="shared" si="105"/>
        <v>2.2753512617827514E-3</v>
      </c>
      <c r="W238" s="2"/>
      <c r="X238" s="6">
        <f t="shared" si="106"/>
        <v>1001.1599999999999</v>
      </c>
      <c r="Y238" s="2"/>
      <c r="Z238" s="7">
        <f t="shared" si="107"/>
        <v>6.575223709055085E-2</v>
      </c>
    </row>
    <row r="239" spans="1:26" s="24" customFormat="1" hidden="1" outlineLevel="2" x14ac:dyDescent="0.25">
      <c r="A239" s="26"/>
      <c r="B239" s="11" t="str">
        <f>CONCATENATE("          ", "6243", " - ", "PAPER SUPPLIES")</f>
        <v xml:space="preserve">          6243 - PAPER SUPPLIES</v>
      </c>
      <c r="C239" s="11"/>
      <c r="D239" s="6">
        <v>1743.37</v>
      </c>
      <c r="E239" s="2"/>
      <c r="F239" s="7">
        <f t="shared" si="100"/>
        <v>2.3210398117765943E-3</v>
      </c>
      <c r="G239" s="2"/>
      <c r="H239" s="6">
        <v>2743.46</v>
      </c>
      <c r="I239" s="2"/>
      <c r="J239" s="7">
        <f t="shared" si="101"/>
        <v>4.5588555419110079E-3</v>
      </c>
      <c r="K239" s="2"/>
      <c r="L239" s="6">
        <f t="shared" si="102"/>
        <v>-1000.0900000000001</v>
      </c>
      <c r="M239" s="2"/>
      <c r="N239" s="7">
        <f t="shared" si="103"/>
        <v>-0.3645360238530907</v>
      </c>
      <c r="O239" s="11"/>
      <c r="P239" s="6">
        <v>9347.33</v>
      </c>
      <c r="Q239" s="2"/>
      <c r="R239" s="7">
        <f t="shared" si="104"/>
        <v>1.4402655763972555E-3</v>
      </c>
      <c r="S239" s="2"/>
      <c r="T239" s="6">
        <v>23775.24</v>
      </c>
      <c r="U239" s="2"/>
      <c r="V239" s="7">
        <f t="shared" si="105"/>
        <v>3.5528788988219524E-3</v>
      </c>
      <c r="W239" s="2"/>
      <c r="X239" s="6">
        <f t="shared" si="106"/>
        <v>-14427.910000000002</v>
      </c>
      <c r="Y239" s="2"/>
      <c r="Z239" s="7">
        <f t="shared" si="107"/>
        <v>-0.60684602973513624</v>
      </c>
    </row>
    <row r="240" spans="1:26" s="24" customFormat="1" hidden="1" outlineLevel="2" x14ac:dyDescent="0.25">
      <c r="A240" s="26"/>
      <c r="B240" s="11" t="str">
        <f>CONCATENATE("          ", "6245", " - ", "PRINTING")</f>
        <v xml:space="preserve">          6245 - PRINTING</v>
      </c>
      <c r="C240" s="11"/>
      <c r="D240" s="6">
        <v>-364.76</v>
      </c>
      <c r="E240" s="2"/>
      <c r="F240" s="7">
        <f t="shared" si="100"/>
        <v>-4.8562409686046598E-4</v>
      </c>
      <c r="G240" s="2"/>
      <c r="H240" s="6">
        <v>182.57</v>
      </c>
      <c r="I240" s="2"/>
      <c r="J240" s="7">
        <f t="shared" si="101"/>
        <v>3.0337976725984436E-4</v>
      </c>
      <c r="K240" s="2"/>
      <c r="L240" s="6">
        <f t="shared" si="102"/>
        <v>-547.32999999999993</v>
      </c>
      <c r="M240" s="2"/>
      <c r="N240" s="7">
        <f t="shared" si="103"/>
        <v>-2.9979186065618664</v>
      </c>
      <c r="O240" s="11"/>
      <c r="P240" s="6">
        <v>4926.79</v>
      </c>
      <c r="Q240" s="2"/>
      <c r="R240" s="7">
        <f t="shared" si="104"/>
        <v>7.5913507270399514E-4</v>
      </c>
      <c r="S240" s="2"/>
      <c r="T240" s="6">
        <v>6674.78</v>
      </c>
      <c r="U240" s="2"/>
      <c r="V240" s="7">
        <f t="shared" si="105"/>
        <v>9.9745302324093428E-4</v>
      </c>
      <c r="W240" s="2"/>
      <c r="X240" s="6">
        <f t="shared" si="106"/>
        <v>-1747.9899999999998</v>
      </c>
      <c r="Y240" s="2"/>
      <c r="Z240" s="7">
        <f t="shared" si="107"/>
        <v>-0.26187979229277969</v>
      </c>
    </row>
    <row r="241" spans="1:26" s="24" customFormat="1" hidden="1" outlineLevel="2" x14ac:dyDescent="0.25">
      <c r="A241" s="26"/>
      <c r="B241" s="11" t="str">
        <f>CONCATENATE("          ", "6247", " - ", "STORE SUPPLIES")</f>
        <v xml:space="preserve">          6247 - STORE SUPPLIES</v>
      </c>
      <c r="C241" s="11"/>
      <c r="D241" s="6">
        <v>2074.9499999999998</v>
      </c>
      <c r="E241" s="2"/>
      <c r="F241" s="7">
        <f t="shared" si="100"/>
        <v>2.7624896364201773E-3</v>
      </c>
      <c r="G241" s="2"/>
      <c r="H241" s="6">
        <v>2148.4299999999998</v>
      </c>
      <c r="I241" s="2"/>
      <c r="J241" s="7">
        <f t="shared" si="101"/>
        <v>3.5700837671800811E-3</v>
      </c>
      <c r="K241" s="2"/>
      <c r="L241" s="6">
        <f t="shared" si="102"/>
        <v>-73.480000000000018</v>
      </c>
      <c r="M241" s="2"/>
      <c r="N241" s="7">
        <f t="shared" si="103"/>
        <v>-3.4201719395093172E-2</v>
      </c>
      <c r="O241" s="11"/>
      <c r="P241" s="6">
        <v>39174.67</v>
      </c>
      <c r="Q241" s="2"/>
      <c r="R241" s="7">
        <f t="shared" si="104"/>
        <v>6.0361545668893976E-3</v>
      </c>
      <c r="S241" s="2"/>
      <c r="T241" s="6">
        <v>52864.39</v>
      </c>
      <c r="U241" s="2"/>
      <c r="V241" s="7">
        <f t="shared" si="105"/>
        <v>7.8998477294064846E-3</v>
      </c>
      <c r="W241" s="2"/>
      <c r="X241" s="6">
        <f t="shared" si="106"/>
        <v>-13689.720000000001</v>
      </c>
      <c r="Y241" s="2"/>
      <c r="Z241" s="7">
        <f t="shared" si="107"/>
        <v>-0.25895919729708411</v>
      </c>
    </row>
    <row r="242" spans="1:26" s="24" customFormat="1" hidden="1" outlineLevel="2" x14ac:dyDescent="0.25">
      <c r="A242" s="26"/>
      <c r="B242" s="11" t="str">
        <f>CONCATENATE("          ", "6248", " - ", "UNIFORMS")</f>
        <v xml:space="preserve">          6248 - UNIFORMS</v>
      </c>
      <c r="C242" s="11"/>
      <c r="D242" s="6"/>
      <c r="E242" s="2"/>
      <c r="F242" s="7">
        <f t="shared" si="100"/>
        <v>0</v>
      </c>
      <c r="G242" s="2"/>
      <c r="H242" s="6">
        <v>99</v>
      </c>
      <c r="I242" s="2"/>
      <c r="J242" s="7">
        <f t="shared" si="101"/>
        <v>1.6451003428123238E-4</v>
      </c>
      <c r="K242" s="2"/>
      <c r="L242" s="6">
        <f t="shared" si="102"/>
        <v>-99</v>
      </c>
      <c r="M242" s="2"/>
      <c r="N242" s="7">
        <f t="shared" si="103"/>
        <v>-1</v>
      </c>
      <c r="O242" s="11"/>
      <c r="P242" s="6"/>
      <c r="Q242" s="2"/>
      <c r="R242" s="7">
        <f t="shared" si="104"/>
        <v>0</v>
      </c>
      <c r="S242" s="2"/>
      <c r="T242" s="6">
        <v>1250.18</v>
      </c>
      <c r="U242" s="2"/>
      <c r="V242" s="7">
        <f t="shared" si="105"/>
        <v>1.8682201070227802E-4</v>
      </c>
      <c r="W242" s="2"/>
      <c r="X242" s="6">
        <f t="shared" si="106"/>
        <v>-1250.18</v>
      </c>
      <c r="Y242" s="2"/>
      <c r="Z242" s="7">
        <f t="shared" si="107"/>
        <v>-1</v>
      </c>
    </row>
    <row r="243" spans="1:26" s="25" customFormat="1" outlineLevel="1" collapsed="1" x14ac:dyDescent="0.25">
      <c r="A243" s="27"/>
      <c r="B243" s="13" t="str">
        <f>CONCATENATE("     ","Telephone/Data Lines                              ")</f>
        <v xml:space="preserve">     Telephone/Data Lines                              </v>
      </c>
      <c r="C243" s="13"/>
      <c r="D243" s="1">
        <f>SUM(OSRRefD22_22x_0)</f>
        <v>2713.31</v>
      </c>
      <c r="E243" s="1"/>
      <c r="F243" s="5">
        <f t="shared" ref="F243:F245" si="108">IF(D$12=0,0,D243/D$12)</f>
        <v>3.6123717464976177E-3</v>
      </c>
      <c r="G243" s="1"/>
      <c r="H243" s="1">
        <f>SUM(OSRRefH22_22x_0)</f>
        <v>3230.82</v>
      </c>
      <c r="I243" s="1"/>
      <c r="J243" s="5">
        <f t="shared" ref="J243:J245" si="109">IF(H$12=0,0,H243/H$12)</f>
        <v>5.3687101914797085E-3</v>
      </c>
      <c r="K243" s="1"/>
      <c r="L243" s="1">
        <f t="shared" ref="L243:L245" si="110">+D243-H243</f>
        <v>-517.51000000000022</v>
      </c>
      <c r="M243" s="1"/>
      <c r="N243" s="5">
        <f t="shared" ref="N243:N245" si="111">IF(H243=0,0,L243/H243)</f>
        <v>-0.16017914956574497</v>
      </c>
      <c r="O243" s="13"/>
      <c r="P243" s="1">
        <f>SUM(OSRRefP22_22x_0)</f>
        <v>15152.07</v>
      </c>
      <c r="Q243" s="1"/>
      <c r="R243" s="5">
        <f t="shared" ref="R243:R245" si="112">IF(P$12=0,0,P243/P$12)</f>
        <v>2.3346779061145335E-3</v>
      </c>
      <c r="S243" s="1"/>
      <c r="T243" s="1">
        <f>SUM(OSRRefT22_22x_0)</f>
        <v>15522.42</v>
      </c>
      <c r="U243" s="1"/>
      <c r="V243" s="5">
        <f t="shared" ref="V243:V245" si="113">IF(T$12=0,0,T243/T$12)</f>
        <v>2.3196097484884212E-3</v>
      </c>
      <c r="W243" s="1"/>
      <c r="X243" s="1">
        <f t="shared" ref="X243:X245" si="114">+P243-T243</f>
        <v>-370.35000000000036</v>
      </c>
      <c r="Y243" s="1"/>
      <c r="Z243" s="5">
        <f t="shared" ref="Z243:Z245" si="115">IF(T243=0,0,X243/T243)</f>
        <v>-2.3859037443903743E-2</v>
      </c>
    </row>
    <row r="244" spans="1:26" s="24" customFormat="1" hidden="1" outlineLevel="2" x14ac:dyDescent="0.25">
      <c r="A244" s="26"/>
      <c r="B244" s="11" t="str">
        <f>CONCATENATE("          ", "6303", " - ", "DATA PHONE LINES")</f>
        <v xml:space="preserve">          6303 - DATA PHONE LINES</v>
      </c>
      <c r="C244" s="11"/>
      <c r="D244" s="6">
        <v>295</v>
      </c>
      <c r="E244" s="2"/>
      <c r="F244" s="7">
        <f t="shared" si="108"/>
        <v>3.9274895430923748E-4</v>
      </c>
      <c r="G244" s="2"/>
      <c r="H244" s="6">
        <v>295</v>
      </c>
      <c r="I244" s="2"/>
      <c r="J244" s="7">
        <f t="shared" si="109"/>
        <v>4.9020666780771264E-4</v>
      </c>
      <c r="K244" s="2"/>
      <c r="L244" s="6">
        <f t="shared" si="110"/>
        <v>0</v>
      </c>
      <c r="M244" s="2"/>
      <c r="N244" s="7">
        <f t="shared" si="111"/>
        <v>0</v>
      </c>
      <c r="O244" s="11"/>
      <c r="P244" s="6">
        <v>1475</v>
      </c>
      <c r="Q244" s="2"/>
      <c r="R244" s="7">
        <f t="shared" si="112"/>
        <v>2.2727257143868377E-4</v>
      </c>
      <c r="S244" s="2"/>
      <c r="T244" s="6">
        <v>885</v>
      </c>
      <c r="U244" s="2"/>
      <c r="V244" s="7">
        <f t="shared" si="113"/>
        <v>1.322509394419332E-4</v>
      </c>
      <c r="W244" s="2"/>
      <c r="X244" s="6">
        <f t="shared" si="114"/>
        <v>590</v>
      </c>
      <c r="Y244" s="2"/>
      <c r="Z244" s="7">
        <f t="shared" si="115"/>
        <v>0.66666666666666663</v>
      </c>
    </row>
    <row r="245" spans="1:26" s="24" customFormat="1" hidden="1" outlineLevel="2" x14ac:dyDescent="0.25">
      <c r="A245" s="26"/>
      <c r="B245" s="11" t="str">
        <f>CONCATENATE("          ", "6309", " - ", "TELEPHONE")</f>
        <v xml:space="preserve">          6309 - TELEPHONE</v>
      </c>
      <c r="C245" s="11"/>
      <c r="D245" s="6">
        <v>2418.31</v>
      </c>
      <c r="E245" s="2"/>
      <c r="F245" s="7">
        <f t="shared" si="108"/>
        <v>3.2196227921883801E-3</v>
      </c>
      <c r="G245" s="2"/>
      <c r="H245" s="6">
        <v>2935.82</v>
      </c>
      <c r="I245" s="2"/>
      <c r="J245" s="7">
        <f t="shared" si="109"/>
        <v>4.8785035236719966E-3</v>
      </c>
      <c r="K245" s="2"/>
      <c r="L245" s="6">
        <f t="shared" si="110"/>
        <v>-517.51000000000022</v>
      </c>
      <c r="M245" s="2"/>
      <c r="N245" s="7">
        <f t="shared" si="111"/>
        <v>-0.17627443099372583</v>
      </c>
      <c r="O245" s="11"/>
      <c r="P245" s="6">
        <v>13677.07</v>
      </c>
      <c r="Q245" s="2"/>
      <c r="R245" s="7">
        <f t="shared" si="112"/>
        <v>2.1074053346758501E-3</v>
      </c>
      <c r="S245" s="2"/>
      <c r="T245" s="6">
        <v>14637.42</v>
      </c>
      <c r="U245" s="2"/>
      <c r="V245" s="7">
        <f t="shared" si="113"/>
        <v>2.1873588090464877E-3</v>
      </c>
      <c r="W245" s="2"/>
      <c r="X245" s="6">
        <f t="shared" si="114"/>
        <v>-960.35000000000036</v>
      </c>
      <c r="Y245" s="2"/>
      <c r="Z245" s="7">
        <f t="shared" si="115"/>
        <v>-6.56092398797056E-2</v>
      </c>
    </row>
    <row r="246" spans="1:26" s="25" customFormat="1" outlineLevel="1" collapsed="1" x14ac:dyDescent="0.25">
      <c r="A246" s="27"/>
      <c r="B246" s="13" t="str">
        <f>CONCATENATE("     ","Training                                          ")</f>
        <v xml:space="preserve">     Training                                          </v>
      </c>
      <c r="C246" s="13"/>
      <c r="D246" s="1">
        <f>SUM(OSRRefD22_23x_0)</f>
        <v>2143.04</v>
      </c>
      <c r="E246" s="1"/>
      <c r="F246" s="5">
        <f t="shared" ref="F246:F251" si="116">IF(D$12=0,0,D246/D$12)</f>
        <v>2.8531414204842993E-3</v>
      </c>
      <c r="G246" s="1"/>
      <c r="H246" s="1">
        <f>SUM(OSRRefH22_23x_0)</f>
        <v>1099.81</v>
      </c>
      <c r="I246" s="1"/>
      <c r="J246" s="5">
        <f t="shared" ref="J246:J251" si="117">IF(H$12=0,0,H246/H$12)</f>
        <v>1.827573543463052E-3</v>
      </c>
      <c r="K246" s="1"/>
      <c r="L246" s="1">
        <f t="shared" ref="L246:L251" si="118">+D246-H246</f>
        <v>1043.23</v>
      </c>
      <c r="M246" s="1"/>
      <c r="N246" s="5">
        <f t="shared" ref="N246:N251" si="119">IF(H246=0,0,L246/H246)</f>
        <v>0.94855475036597237</v>
      </c>
      <c r="O246" s="13"/>
      <c r="P246" s="1">
        <f>SUM(OSRRefP22_23x_0)</f>
        <v>7659.8</v>
      </c>
      <c r="Q246" s="1"/>
      <c r="R246" s="5">
        <f t="shared" ref="R246:R251" si="120">IF(P$12=0,0,P246/P$12)</f>
        <v>1.180245723868495E-3</v>
      </c>
      <c r="S246" s="1"/>
      <c r="T246" s="1">
        <f>SUM(OSRRefT22_23x_0)</f>
        <v>3429.53</v>
      </c>
      <c r="U246" s="1"/>
      <c r="V246" s="5">
        <f t="shared" ref="V246:V251" si="121">IF(T$12=0,0,T246/T$12)</f>
        <v>5.1249555293140473E-4</v>
      </c>
      <c r="W246" s="1"/>
      <c r="X246" s="1">
        <f t="shared" ref="X246:X251" si="122">+P246-T246</f>
        <v>4230.2700000000004</v>
      </c>
      <c r="Y246" s="1"/>
      <c r="Z246" s="5">
        <f t="shared" ref="Z246:Z251" si="123">IF(T246=0,0,X246/T246)</f>
        <v>1.2334838884628507</v>
      </c>
    </row>
    <row r="247" spans="1:26" s="24" customFormat="1" hidden="1" outlineLevel="2" x14ac:dyDescent="0.25">
      <c r="A247" s="26"/>
      <c r="B247" s="11" t="str">
        <f>CONCATENATE("          ", "6376", " - ", "TRAINING")</f>
        <v xml:space="preserve">          6376 - TRAINING</v>
      </c>
      <c r="C247" s="11"/>
      <c r="D247" s="6">
        <v>2143.04</v>
      </c>
      <c r="E247" s="2"/>
      <c r="F247" s="7">
        <f t="shared" si="116"/>
        <v>2.8531414204842993E-3</v>
      </c>
      <c r="G247" s="2"/>
      <c r="H247" s="6">
        <v>1099.81</v>
      </c>
      <c r="I247" s="2"/>
      <c r="J247" s="7">
        <f t="shared" si="117"/>
        <v>1.827573543463052E-3</v>
      </c>
      <c r="K247" s="2"/>
      <c r="L247" s="6">
        <f t="shared" si="118"/>
        <v>1043.23</v>
      </c>
      <c r="M247" s="2"/>
      <c r="N247" s="7">
        <f t="shared" si="119"/>
        <v>0.94855475036597237</v>
      </c>
      <c r="O247" s="11"/>
      <c r="P247" s="6">
        <v>7659.8</v>
      </c>
      <c r="Q247" s="2"/>
      <c r="R247" s="7">
        <f t="shared" si="120"/>
        <v>1.180245723868495E-3</v>
      </c>
      <c r="S247" s="2"/>
      <c r="T247" s="6">
        <v>3429.53</v>
      </c>
      <c r="U247" s="2"/>
      <c r="V247" s="7">
        <f t="shared" si="121"/>
        <v>5.1249555293140473E-4</v>
      </c>
      <c r="W247" s="2"/>
      <c r="X247" s="6">
        <f t="shared" si="122"/>
        <v>4230.2700000000004</v>
      </c>
      <c r="Y247" s="2"/>
      <c r="Z247" s="7">
        <f t="shared" si="123"/>
        <v>1.2334838884628507</v>
      </c>
    </row>
    <row r="248" spans="1:26" s="25" customFormat="1" outlineLevel="1" collapsed="1" x14ac:dyDescent="0.25">
      <c r="A248" s="27"/>
      <c r="B248" s="13" t="str">
        <f>CONCATENATE("     ","Travel                                            ")</f>
        <v xml:space="preserve">     Travel                                            </v>
      </c>
      <c r="C248" s="13"/>
      <c r="D248" s="1">
        <f>SUM(OSRRefD22_24x_0)</f>
        <v>354.64</v>
      </c>
      <c r="E248" s="1"/>
      <c r="F248" s="5">
        <f t="shared" si="116"/>
        <v>4.7215081069907792E-4</v>
      </c>
      <c r="G248" s="1"/>
      <c r="H248" s="1">
        <f>SUM(OSRRefH22_24x_0)</f>
        <v>212.25</v>
      </c>
      <c r="I248" s="1"/>
      <c r="J248" s="5">
        <f t="shared" si="117"/>
        <v>3.5269954319385426E-4</v>
      </c>
      <c r="K248" s="1"/>
      <c r="L248" s="1">
        <f t="shared" si="118"/>
        <v>142.38999999999999</v>
      </c>
      <c r="M248" s="1"/>
      <c r="N248" s="5">
        <f t="shared" si="119"/>
        <v>0.67085983510011771</v>
      </c>
      <c r="O248" s="13"/>
      <c r="P248" s="1">
        <f>SUM(OSRRefP22_24x_0)</f>
        <v>1601.7499999999998</v>
      </c>
      <c r="Q248" s="1"/>
      <c r="R248" s="5">
        <f t="shared" si="120"/>
        <v>2.4680260427248249E-4</v>
      </c>
      <c r="S248" s="1"/>
      <c r="T248" s="1">
        <f>SUM(OSRRefT22_24x_0)</f>
        <v>1183.52</v>
      </c>
      <c r="U248" s="1"/>
      <c r="V248" s="5">
        <f t="shared" si="121"/>
        <v>1.7686060095855002E-4</v>
      </c>
      <c r="W248" s="1"/>
      <c r="X248" s="1">
        <f t="shared" si="122"/>
        <v>418.22999999999979</v>
      </c>
      <c r="Y248" s="1"/>
      <c r="Z248" s="5">
        <f t="shared" si="123"/>
        <v>0.3533780586724346</v>
      </c>
    </row>
    <row r="249" spans="1:26" s="24" customFormat="1" hidden="1" outlineLevel="2" x14ac:dyDescent="0.25">
      <c r="A249" s="26"/>
      <c r="B249" s="11" t="str">
        <f>CONCATENATE("          ", "6292", " - ", "TRAVEL/CONFERENCE")</f>
        <v xml:space="preserve">          6292 - TRAVEL/CONFERENCE</v>
      </c>
      <c r="C249" s="11"/>
      <c r="D249" s="6">
        <v>47.96</v>
      </c>
      <c r="E249" s="2"/>
      <c r="F249" s="7">
        <f t="shared" si="116"/>
        <v>6.3851660503969602E-5</v>
      </c>
      <c r="G249" s="2"/>
      <c r="H249" s="6">
        <v>110.31</v>
      </c>
      <c r="I249" s="2"/>
      <c r="J249" s="7">
        <f t="shared" si="117"/>
        <v>1.8330405940972466E-4</v>
      </c>
      <c r="K249" s="2"/>
      <c r="L249" s="6">
        <f t="shared" si="118"/>
        <v>-62.35</v>
      </c>
      <c r="M249" s="2"/>
      <c r="N249" s="7">
        <f t="shared" si="119"/>
        <v>-0.56522527422717794</v>
      </c>
      <c r="O249" s="11"/>
      <c r="P249" s="6">
        <v>688.61</v>
      </c>
      <c r="Q249" s="2"/>
      <c r="R249" s="7">
        <f t="shared" si="120"/>
        <v>1.0610316299552002E-4</v>
      </c>
      <c r="S249" s="2"/>
      <c r="T249" s="6">
        <v>628.74</v>
      </c>
      <c r="U249" s="2"/>
      <c r="V249" s="7">
        <f t="shared" si="121"/>
        <v>9.3956447078780877E-5</v>
      </c>
      <c r="W249" s="2"/>
      <c r="X249" s="6">
        <f t="shared" si="122"/>
        <v>59.870000000000005</v>
      </c>
      <c r="Y249" s="2"/>
      <c r="Z249" s="7">
        <f t="shared" si="123"/>
        <v>9.5222190412571184E-2</v>
      </c>
    </row>
    <row r="250" spans="1:26" s="24" customFormat="1" hidden="1" outlineLevel="2" x14ac:dyDescent="0.25">
      <c r="A250" s="26"/>
      <c r="B250" s="11" t="str">
        <f>CONCATENATE("          ", "6294", " - ", "TRAVEL OPERATIONAL")</f>
        <v xml:space="preserve">          6294 - TRAVEL OPERATIONAL</v>
      </c>
      <c r="C250" s="11"/>
      <c r="D250" s="6">
        <v>257.33</v>
      </c>
      <c r="E250" s="2"/>
      <c r="F250" s="7">
        <f t="shared" si="116"/>
        <v>3.4259690987252907E-4</v>
      </c>
      <c r="G250" s="2"/>
      <c r="H250" s="6">
        <v>55.7</v>
      </c>
      <c r="I250" s="2"/>
      <c r="J250" s="7">
        <f t="shared" si="117"/>
        <v>9.2557665752168118E-5</v>
      </c>
      <c r="K250" s="2"/>
      <c r="L250" s="6">
        <f t="shared" si="118"/>
        <v>201.63</v>
      </c>
      <c r="M250" s="2"/>
      <c r="N250" s="7">
        <f t="shared" si="119"/>
        <v>3.6199281867145419</v>
      </c>
      <c r="O250" s="11"/>
      <c r="P250" s="6">
        <v>693.8</v>
      </c>
      <c r="Q250" s="2"/>
      <c r="R250" s="7">
        <f t="shared" si="120"/>
        <v>1.0690285428078563E-4</v>
      </c>
      <c r="S250" s="2"/>
      <c r="T250" s="6">
        <v>393.3</v>
      </c>
      <c r="U250" s="2"/>
      <c r="V250" s="7">
        <f t="shared" si="121"/>
        <v>5.8773214104533705E-5</v>
      </c>
      <c r="W250" s="2"/>
      <c r="X250" s="6">
        <f t="shared" si="122"/>
        <v>300.49999999999994</v>
      </c>
      <c r="Y250" s="2"/>
      <c r="Z250" s="7">
        <f t="shared" si="123"/>
        <v>0.76404780066107281</v>
      </c>
    </row>
    <row r="251" spans="1:26" s="24" customFormat="1" hidden="1" outlineLevel="2" x14ac:dyDescent="0.25">
      <c r="A251" s="26"/>
      <c r="B251" s="11" t="str">
        <f>CONCATENATE("          ", "6298", " - ", "VEHICLE MILEAGE")</f>
        <v xml:space="preserve">          6298 - VEHICLE MILEAGE</v>
      </c>
      <c r="C251" s="11"/>
      <c r="D251" s="6">
        <v>49.35</v>
      </c>
      <c r="E251" s="2"/>
      <c r="F251" s="7">
        <f t="shared" si="116"/>
        <v>6.5702240322579222E-5</v>
      </c>
      <c r="G251" s="2"/>
      <c r="H251" s="6">
        <v>46.24</v>
      </c>
      <c r="I251" s="2"/>
      <c r="J251" s="7">
        <f t="shared" si="117"/>
        <v>7.6837818031961461E-5</v>
      </c>
      <c r="K251" s="2"/>
      <c r="L251" s="6">
        <f t="shared" si="118"/>
        <v>3.1099999999999994</v>
      </c>
      <c r="M251" s="2"/>
      <c r="N251" s="7">
        <f t="shared" si="119"/>
        <v>6.7257785467128017E-2</v>
      </c>
      <c r="O251" s="11"/>
      <c r="P251" s="6">
        <v>219.34</v>
      </c>
      <c r="Q251" s="2"/>
      <c r="R251" s="7">
        <f t="shared" si="120"/>
        <v>3.3796586996176878E-5</v>
      </c>
      <c r="S251" s="2"/>
      <c r="T251" s="6">
        <v>161.47999999999999</v>
      </c>
      <c r="U251" s="2"/>
      <c r="V251" s="7">
        <f t="shared" si="121"/>
        <v>2.4130939775235446E-5</v>
      </c>
      <c r="W251" s="2"/>
      <c r="X251" s="6">
        <f t="shared" si="122"/>
        <v>57.860000000000014</v>
      </c>
      <c r="Y251" s="2"/>
      <c r="Z251" s="7">
        <f t="shared" si="123"/>
        <v>0.3583106267029974</v>
      </c>
    </row>
    <row r="252" spans="1:26" s="25" customFormat="1" outlineLevel="1" collapsed="1" x14ac:dyDescent="0.25">
      <c r="A252" s="27"/>
      <c r="B252" s="13" t="str">
        <f>CONCATENATE("     ","Utilities                                         ")</f>
        <v xml:space="preserve">     Utilities                                         </v>
      </c>
      <c r="C252" s="13"/>
      <c r="D252" s="1">
        <f>SUM(OSRRefD22_25x_0)</f>
        <v>6602.26</v>
      </c>
      <c r="E252" s="1"/>
      <c r="F252" s="5">
        <f t="shared" ref="F252:F253" si="124">IF(D$12=0,0,D252/D$12)</f>
        <v>8.7899346138227332E-3</v>
      </c>
      <c r="G252" s="1"/>
      <c r="H252" s="1">
        <f>SUM(OSRRefH22_25x_0)</f>
        <v>6397.88</v>
      </c>
      <c r="I252" s="1"/>
      <c r="J252" s="5">
        <f t="shared" ref="J252:J253" si="125">IF(H$12=0,0,H252/H$12)</f>
        <v>1.0631469274012232E-2</v>
      </c>
      <c r="K252" s="1"/>
      <c r="L252" s="1">
        <f t="shared" ref="L252:L253" si="126">+D252-H252</f>
        <v>204.38000000000011</v>
      </c>
      <c r="M252" s="1"/>
      <c r="N252" s="5">
        <f t="shared" ref="N252:N253" si="127">IF(H252=0,0,L252/H252)</f>
        <v>3.1944956766929059E-2</v>
      </c>
      <c r="O252" s="13"/>
      <c r="P252" s="1">
        <f>SUM(OSRRefP22_25x_0)</f>
        <v>25637.040000000001</v>
      </c>
      <c r="Q252" s="1"/>
      <c r="R252" s="5">
        <f t="shared" ref="R252:R253" si="128">IF(P$12=0,0,P252/P$12)</f>
        <v>3.9502345795772165E-3</v>
      </c>
      <c r="S252" s="1"/>
      <c r="T252" s="1">
        <f>SUM(OSRRefT22_25x_0)</f>
        <v>23946.73</v>
      </c>
      <c r="U252" s="1"/>
      <c r="V252" s="5">
        <f t="shared" ref="V252:V253" si="129">IF(T$12=0,0,T252/T$12)</f>
        <v>3.5785056938557342E-3</v>
      </c>
      <c r="W252" s="1"/>
      <c r="X252" s="1">
        <f t="shared" ref="X252:X253" si="130">+P252-T252</f>
        <v>1690.3100000000013</v>
      </c>
      <c r="Y252" s="1"/>
      <c r="Z252" s="5">
        <f t="shared" ref="Z252:Z253" si="131">IF(T252=0,0,X252/T252)</f>
        <v>7.0586255409402512E-2</v>
      </c>
    </row>
    <row r="253" spans="1:26" s="24" customFormat="1" hidden="1" outlineLevel="2" x14ac:dyDescent="0.25">
      <c r="A253" s="26"/>
      <c r="B253" s="11" t="str">
        <f>CONCATENATE("          ", "6274", " - ", "UTILITIES")</f>
        <v xml:space="preserve">          6274 - UTILITIES</v>
      </c>
      <c r="C253" s="11"/>
      <c r="D253" s="6">
        <v>6602.26</v>
      </c>
      <c r="E253" s="2"/>
      <c r="F253" s="7">
        <f t="shared" si="124"/>
        <v>8.7899346138227332E-3</v>
      </c>
      <c r="G253" s="2"/>
      <c r="H253" s="6">
        <v>6397.88</v>
      </c>
      <c r="I253" s="2"/>
      <c r="J253" s="7">
        <f t="shared" si="125"/>
        <v>1.0631469274012232E-2</v>
      </c>
      <c r="K253" s="2"/>
      <c r="L253" s="6">
        <f t="shared" si="126"/>
        <v>204.38000000000011</v>
      </c>
      <c r="M253" s="2"/>
      <c r="N253" s="7">
        <f t="shared" si="127"/>
        <v>3.1944956766929059E-2</v>
      </c>
      <c r="O253" s="11"/>
      <c r="P253" s="6">
        <v>25637.040000000001</v>
      </c>
      <c r="Q253" s="2"/>
      <c r="R253" s="7">
        <f t="shared" si="128"/>
        <v>3.9502345795772165E-3</v>
      </c>
      <c r="S253" s="2"/>
      <c r="T253" s="6">
        <v>23946.73</v>
      </c>
      <c r="U253" s="2"/>
      <c r="V253" s="7">
        <f t="shared" si="129"/>
        <v>3.5785056938557342E-3</v>
      </c>
      <c r="W253" s="2"/>
      <c r="X253" s="6">
        <f t="shared" si="130"/>
        <v>1690.3100000000013</v>
      </c>
      <c r="Y253" s="2"/>
      <c r="Z253" s="7">
        <f t="shared" si="131"/>
        <v>7.0586255409402512E-2</v>
      </c>
    </row>
    <row r="254" spans="1:26" s="53" customFormat="1" x14ac:dyDescent="0.25">
      <c r="A254" s="37"/>
      <c r="B254" s="37"/>
      <c r="C254" s="37"/>
      <c r="D254" s="1"/>
      <c r="E254" s="1"/>
      <c r="F254" s="5"/>
      <c r="G254" s="1"/>
      <c r="H254" s="1"/>
      <c r="I254" s="1"/>
      <c r="J254" s="5"/>
      <c r="K254" s="1"/>
      <c r="L254" s="1"/>
      <c r="M254" s="1"/>
      <c r="N254" s="5"/>
      <c r="O254" s="37"/>
      <c r="P254" s="1"/>
      <c r="Q254" s="1"/>
      <c r="R254" s="5"/>
      <c r="S254" s="1"/>
      <c r="T254" s="1"/>
      <c r="U254" s="1"/>
      <c r="V254" s="5"/>
      <c r="W254" s="1"/>
      <c r="X254" s="1"/>
      <c r="Y254" s="1"/>
      <c r="Z254" s="5"/>
    </row>
    <row r="255" spans="1:26" s="23" customFormat="1" collapsed="1" x14ac:dyDescent="0.25">
      <c r="A255" s="10"/>
      <c r="B255" s="28" t="s">
        <v>0</v>
      </c>
      <c r="C255" s="10"/>
      <c r="D255" s="4">
        <f>SUM(OSRRefD25x_0)</f>
        <v>21403.63</v>
      </c>
      <c r="E255" s="4"/>
      <c r="F255" s="12">
        <f t="shared" ref="F255:F264" si="132">IF(D$12=0,0,D255/D$12)</f>
        <v>2.8495773901429915E-2</v>
      </c>
      <c r="G255" s="4"/>
      <c r="H255" s="4">
        <f>SUM(OSRRefH25x_0)</f>
        <v>48633.38</v>
      </c>
      <c r="I255" s="4"/>
      <c r="J255" s="12">
        <f t="shared" ref="J255:J264" si="133">IF(H$12=0,0,H255/H$12)</f>
        <v>8.0814939505173738E-2</v>
      </c>
      <c r="K255" s="4"/>
      <c r="L255" s="4">
        <f t="shared" ref="L255:L264" si="134">+D255-H255</f>
        <v>-27229.749999999996</v>
      </c>
      <c r="M255" s="4"/>
      <c r="N255" s="12">
        <f t="shared" ref="N255:N264" si="135">IF(H255=0,0,L255/H255)</f>
        <v>-0.55989836610163635</v>
      </c>
      <c r="O255" s="10"/>
      <c r="P255" s="4">
        <f>SUM(OSRRefP25x_0)</f>
        <v>400400.64000000001</v>
      </c>
      <c r="Q255" s="4"/>
      <c r="R255" s="12">
        <f t="shared" ref="R255:R264" si="136">IF(P$12=0,0,P255/P$12)</f>
        <v>6.1694971565081157E-2</v>
      </c>
      <c r="S255" s="4"/>
      <c r="T255" s="4">
        <f>SUM(OSRRefT25x_0)</f>
        <v>367172.49</v>
      </c>
      <c r="U255" s="4"/>
      <c r="V255" s="12">
        <f t="shared" ref="V255:V264" si="137">IF(T$12=0,0,T255/T$12)</f>
        <v>5.4868821174840474E-2</v>
      </c>
      <c r="W255" s="4"/>
      <c r="X255" s="4">
        <f t="shared" ref="X255:X264" si="138">+P255-T255</f>
        <v>33228.150000000023</v>
      </c>
      <c r="Y255" s="4"/>
      <c r="Z255" s="12">
        <f t="shared" ref="Z255:Z264" si="139">IF(T255=0,0,X255/T255)</f>
        <v>9.0497384485422702E-2</v>
      </c>
    </row>
    <row r="256" spans="1:26" s="24" customFormat="1" hidden="1" outlineLevel="1" x14ac:dyDescent="0.25">
      <c r="A256" s="44"/>
      <c r="B256" s="11" t="str">
        <f>CONCATENATE("          ", "4098", " - ", "TAXABLE SALES-GRAD RENTALS")</f>
        <v xml:space="preserve">          4098 - TAXABLE SALES-GRAD RENTALS</v>
      </c>
      <c r="C256" s="11"/>
      <c r="D256" s="2">
        <f t="shared" ref="D256:D258" si="140">0</f>
        <v>0</v>
      </c>
      <c r="E256" s="2"/>
      <c r="F256" s="19">
        <f t="shared" si="132"/>
        <v>0</v>
      </c>
      <c r="G256" s="2"/>
      <c r="H256" s="2">
        <f>--980.5</f>
        <v>980.5</v>
      </c>
      <c r="I256" s="2"/>
      <c r="J256" s="19">
        <f t="shared" si="133"/>
        <v>1.6293140263913973E-3</v>
      </c>
      <c r="K256" s="2"/>
      <c r="L256" s="2">
        <f t="shared" si="134"/>
        <v>-980.5</v>
      </c>
      <c r="M256" s="2"/>
      <c r="N256" s="19">
        <f t="shared" si="135"/>
        <v>-1</v>
      </c>
      <c r="O256" s="11"/>
      <c r="P256" s="2">
        <f>--1626.85</f>
        <v>1626.85</v>
      </c>
      <c r="Q256" s="2"/>
      <c r="R256" s="19">
        <f t="shared" si="136"/>
        <v>2.5067009006442216E-4</v>
      </c>
      <c r="S256" s="2"/>
      <c r="T256" s="2">
        <f>--980.5</f>
        <v>980.5</v>
      </c>
      <c r="U256" s="2"/>
      <c r="V256" s="19">
        <f t="shared" si="137"/>
        <v>1.4652208601448078E-4</v>
      </c>
      <c r="W256" s="2"/>
      <c r="X256" s="2">
        <f t="shared" si="138"/>
        <v>646.34999999999991</v>
      </c>
      <c r="Y256" s="2"/>
      <c r="Z256" s="19">
        <f t="shared" si="139"/>
        <v>0.65920448750637417</v>
      </c>
    </row>
    <row r="257" spans="1:26" s="24" customFormat="1" hidden="1" outlineLevel="1" x14ac:dyDescent="0.25">
      <c r="A257" s="44"/>
      <c r="B257" s="11" t="str">
        <f>CONCATENATE("          ", "4197", " - ", "NON-TAXABLE SALES-RETURNED CHE")</f>
        <v xml:space="preserve">          4197 - NON-TAXABLE SALES-RETURNED CHE</v>
      </c>
      <c r="C257" s="11"/>
      <c r="D257" s="2">
        <f t="shared" si="140"/>
        <v>0</v>
      </c>
      <c r="E257" s="2"/>
      <c r="F257" s="19">
        <f t="shared" si="132"/>
        <v>0</v>
      </c>
      <c r="G257" s="2"/>
      <c r="H257" s="2">
        <f>0</f>
        <v>0</v>
      </c>
      <c r="I257" s="2"/>
      <c r="J257" s="19">
        <f t="shared" si="133"/>
        <v>0</v>
      </c>
      <c r="K257" s="2"/>
      <c r="L257" s="2">
        <f t="shared" si="134"/>
        <v>0</v>
      </c>
      <c r="M257" s="2"/>
      <c r="N257" s="19">
        <f t="shared" si="135"/>
        <v>0</v>
      </c>
      <c r="O257" s="11"/>
      <c r="P257" s="2">
        <f>--30</f>
        <v>30</v>
      </c>
      <c r="Q257" s="2"/>
      <c r="R257" s="19">
        <f t="shared" si="136"/>
        <v>4.6224929784139077E-6</v>
      </c>
      <c r="S257" s="2"/>
      <c r="T257" s="2">
        <f>--260</f>
        <v>260</v>
      </c>
      <c r="U257" s="2"/>
      <c r="V257" s="19">
        <f t="shared" si="137"/>
        <v>3.885338333887303E-5</v>
      </c>
      <c r="W257" s="2"/>
      <c r="X257" s="2">
        <f t="shared" si="138"/>
        <v>-230</v>
      </c>
      <c r="Y257" s="2"/>
      <c r="Z257" s="19">
        <f t="shared" si="139"/>
        <v>-0.88461538461538458</v>
      </c>
    </row>
    <row r="258" spans="1:26" s="24" customFormat="1" hidden="1" outlineLevel="1" x14ac:dyDescent="0.25">
      <c r="A258" s="44"/>
      <c r="B258" s="11" t="str">
        <f>CONCATENATE("          ", "4198", " - ", "NON-TAXABLE SALES-GRAD RENTALS")</f>
        <v xml:space="preserve">          4198 - NON-TAXABLE SALES-GRAD RENTALS</v>
      </c>
      <c r="C258" s="11"/>
      <c r="D258" s="2">
        <f t="shared" si="140"/>
        <v>0</v>
      </c>
      <c r="E258" s="2"/>
      <c r="F258" s="19">
        <f t="shared" si="132"/>
        <v>0</v>
      </c>
      <c r="G258" s="2"/>
      <c r="H258" s="2">
        <f>--15</f>
        <v>15</v>
      </c>
      <c r="I258" s="2"/>
      <c r="J258" s="19">
        <f t="shared" si="133"/>
        <v>2.4925762769883693E-5</v>
      </c>
      <c r="K258" s="2"/>
      <c r="L258" s="2">
        <f t="shared" si="134"/>
        <v>-15</v>
      </c>
      <c r="M258" s="2"/>
      <c r="N258" s="19">
        <f t="shared" si="135"/>
        <v>-1</v>
      </c>
      <c r="O258" s="11"/>
      <c r="P258" s="2">
        <f>--495</f>
        <v>495</v>
      </c>
      <c r="Q258" s="2"/>
      <c r="R258" s="19">
        <f t="shared" si="136"/>
        <v>7.6271134143829469E-5</v>
      </c>
      <c r="S258" s="2"/>
      <c r="T258" s="2">
        <f>--450</f>
        <v>450</v>
      </c>
      <c r="U258" s="2"/>
      <c r="V258" s="19">
        <f t="shared" si="137"/>
        <v>6.7246240394203322E-5</v>
      </c>
      <c r="W258" s="2"/>
      <c r="X258" s="2">
        <f t="shared" si="138"/>
        <v>45</v>
      </c>
      <c r="Y258" s="2"/>
      <c r="Z258" s="19">
        <f t="shared" si="139"/>
        <v>0.1</v>
      </c>
    </row>
    <row r="259" spans="1:26" s="24" customFormat="1" hidden="1" outlineLevel="1" x14ac:dyDescent="0.25">
      <c r="A259" s="44"/>
      <c r="B259" s="11" t="str">
        <f>CONCATENATE("          ", "9150", " - ", "MISC. INCOME")</f>
        <v xml:space="preserve">          9150 - MISC. INCOME</v>
      </c>
      <c r="C259" s="11"/>
      <c r="D259" s="2">
        <f>--19494.41</f>
        <v>19494.41</v>
      </c>
      <c r="E259" s="2"/>
      <c r="F259" s="19">
        <f t="shared" si="132"/>
        <v>2.5953929296188279E-2</v>
      </c>
      <c r="G259" s="2"/>
      <c r="H259" s="2">
        <f>--47600.09</f>
        <v>47600.09</v>
      </c>
      <c r="I259" s="2"/>
      <c r="J259" s="19">
        <f t="shared" si="133"/>
        <v>7.9097903411007531E-2</v>
      </c>
      <c r="K259" s="2"/>
      <c r="L259" s="2">
        <f t="shared" si="134"/>
        <v>-28105.679999999997</v>
      </c>
      <c r="M259" s="2"/>
      <c r="N259" s="19">
        <f t="shared" si="135"/>
        <v>-0.59045434577959832</v>
      </c>
      <c r="O259" s="11"/>
      <c r="P259" s="2">
        <f>--226144.65</f>
        <v>226144.65</v>
      </c>
      <c r="Q259" s="2"/>
      <c r="R259" s="19">
        <f t="shared" si="136"/>
        <v>3.4845068557695688E-2</v>
      </c>
      <c r="S259" s="2"/>
      <c r="T259" s="2">
        <f>--361287.31</f>
        <v>361287.31</v>
      </c>
      <c r="U259" s="2"/>
      <c r="V259" s="19">
        <f t="shared" si="137"/>
        <v>5.3989362888077902E-2</v>
      </c>
      <c r="W259" s="2"/>
      <c r="X259" s="2">
        <f t="shared" si="138"/>
        <v>-135142.66</v>
      </c>
      <c r="Y259" s="2"/>
      <c r="Z259" s="19">
        <f t="shared" si="139"/>
        <v>-0.37405869583407181</v>
      </c>
    </row>
    <row r="260" spans="1:26" s="24" customFormat="1" hidden="1" outlineLevel="1" x14ac:dyDescent="0.25">
      <c r="A260" s="44"/>
      <c r="B260" s="11" t="str">
        <f>CONCATENATE("          ", "9151", " - ", "MISC. INCOME")</f>
        <v xml:space="preserve">          9151 - MISC. INCOME</v>
      </c>
      <c r="C260" s="11"/>
      <c r="D260" s="2">
        <f>0</f>
        <v>0</v>
      </c>
      <c r="E260" s="2"/>
      <c r="F260" s="19">
        <f t="shared" si="132"/>
        <v>0</v>
      </c>
      <c r="G260" s="2"/>
      <c r="H260" s="2">
        <f>0</f>
        <v>0</v>
      </c>
      <c r="I260" s="2"/>
      <c r="J260" s="19">
        <f t="shared" si="133"/>
        <v>0</v>
      </c>
      <c r="K260" s="2"/>
      <c r="L260" s="2">
        <f t="shared" si="134"/>
        <v>0</v>
      </c>
      <c r="M260" s="2"/>
      <c r="N260" s="19">
        <f t="shared" si="135"/>
        <v>0</v>
      </c>
      <c r="O260" s="11"/>
      <c r="P260" s="2">
        <f>--87224.27</f>
        <v>87224.27</v>
      </c>
      <c r="Q260" s="2"/>
      <c r="R260" s="19">
        <f t="shared" si="136"/>
        <v>1.3439785854075962E-2</v>
      </c>
      <c r="S260" s="2"/>
      <c r="T260" s="2">
        <f>--649.77</f>
        <v>649.77</v>
      </c>
      <c r="U260" s="2"/>
      <c r="V260" s="19">
        <f t="shared" si="137"/>
        <v>9.7099088046536641E-5</v>
      </c>
      <c r="W260" s="2"/>
      <c r="X260" s="2">
        <f t="shared" si="138"/>
        <v>86574.5</v>
      </c>
      <c r="Y260" s="2"/>
      <c r="Z260" s="19">
        <f t="shared" si="139"/>
        <v>133.23868445757731</v>
      </c>
    </row>
    <row r="261" spans="1:26" s="24" customFormat="1" hidden="1" outlineLevel="1" x14ac:dyDescent="0.25">
      <c r="A261" s="44"/>
      <c r="B261" s="11" t="str">
        <f>CONCATENATE("          ", "9152", " - ", "MISC. INCOME")</f>
        <v xml:space="preserve">          9152 - MISC. INCOME</v>
      </c>
      <c r="C261" s="11"/>
      <c r="D261" s="2">
        <f>--154.22</f>
        <v>154.22</v>
      </c>
      <c r="E261" s="2"/>
      <c r="F261" s="19">
        <f t="shared" si="132"/>
        <v>2.0532116519854444E-4</v>
      </c>
      <c r="G261" s="2"/>
      <c r="H261" s="2">
        <f>--37.79</f>
        <v>37.79</v>
      </c>
      <c r="I261" s="2"/>
      <c r="J261" s="19">
        <f t="shared" si="133"/>
        <v>6.2796305004926981E-5</v>
      </c>
      <c r="K261" s="2"/>
      <c r="L261" s="2">
        <f t="shared" si="134"/>
        <v>116.43</v>
      </c>
      <c r="M261" s="2"/>
      <c r="N261" s="19">
        <f t="shared" si="135"/>
        <v>3.0809738025932787</v>
      </c>
      <c r="O261" s="11"/>
      <c r="P261" s="2">
        <f>--848.32</f>
        <v>848.32</v>
      </c>
      <c r="Q261" s="2"/>
      <c r="R261" s="19">
        <f t="shared" si="136"/>
        <v>1.3071177478160288E-4</v>
      </c>
      <c r="S261" s="2"/>
      <c r="T261" s="2">
        <f>--3254.91</f>
        <v>3254.91</v>
      </c>
      <c r="U261" s="2"/>
      <c r="V261" s="19">
        <f t="shared" si="137"/>
        <v>4.8640102293665851E-4</v>
      </c>
      <c r="W261" s="2"/>
      <c r="X261" s="2">
        <f t="shared" si="138"/>
        <v>-2406.5899999999997</v>
      </c>
      <c r="Y261" s="2"/>
      <c r="Z261" s="19">
        <f t="shared" si="139"/>
        <v>-0.73937220998430053</v>
      </c>
    </row>
    <row r="262" spans="1:26" s="24" customFormat="1" hidden="1" outlineLevel="1" x14ac:dyDescent="0.25">
      <c r="A262" s="44"/>
      <c r="B262" s="11" t="str">
        <f>CONCATENATE("          ", "9153", " - ", "MISC. INCOME")</f>
        <v xml:space="preserve">          9153 - MISC. INCOME</v>
      </c>
      <c r="C262" s="11"/>
      <c r="D262" s="2">
        <f>--450</f>
        <v>450</v>
      </c>
      <c r="E262" s="2"/>
      <c r="F262" s="19">
        <f t="shared" si="132"/>
        <v>5.9910857437002333E-4</v>
      </c>
      <c r="G262" s="2"/>
      <c r="H262" s="2">
        <f t="shared" ref="H262:H264" si="141">0</f>
        <v>0</v>
      </c>
      <c r="I262" s="2"/>
      <c r="J262" s="19">
        <f t="shared" si="133"/>
        <v>0</v>
      </c>
      <c r="K262" s="2"/>
      <c r="L262" s="2">
        <f t="shared" si="134"/>
        <v>450</v>
      </c>
      <c r="M262" s="2"/>
      <c r="N262" s="19">
        <f t="shared" si="135"/>
        <v>0</v>
      </c>
      <c r="O262" s="11"/>
      <c r="P262" s="2">
        <f>--450</f>
        <v>450</v>
      </c>
      <c r="Q262" s="2"/>
      <c r="R262" s="19">
        <f t="shared" si="136"/>
        <v>6.9337394676208602E-5</v>
      </c>
      <c r="S262" s="2"/>
      <c r="T262" s="2">
        <f>0</f>
        <v>0</v>
      </c>
      <c r="U262" s="2"/>
      <c r="V262" s="19">
        <f t="shared" si="137"/>
        <v>0</v>
      </c>
      <c r="W262" s="2"/>
      <c r="X262" s="2">
        <f t="shared" si="138"/>
        <v>450</v>
      </c>
      <c r="Y262" s="2"/>
      <c r="Z262" s="19">
        <f t="shared" si="139"/>
        <v>0</v>
      </c>
    </row>
    <row r="263" spans="1:26" s="24" customFormat="1" hidden="1" outlineLevel="1" x14ac:dyDescent="0.25">
      <c r="A263" s="44"/>
      <c r="B263" s="11" t="str">
        <f>CONCATENATE("          ", "9160", " - ", "MISC. INCOME")</f>
        <v xml:space="preserve">          9160 - MISC. INCOME</v>
      </c>
      <c r="C263" s="11"/>
      <c r="D263" s="2">
        <f>--1305</f>
        <v>1305</v>
      </c>
      <c r="E263" s="2"/>
      <c r="F263" s="19">
        <f t="shared" si="132"/>
        <v>1.7374148656730676E-3</v>
      </c>
      <c r="G263" s="2"/>
      <c r="H263" s="2">
        <f t="shared" si="141"/>
        <v>0</v>
      </c>
      <c r="I263" s="2"/>
      <c r="J263" s="19">
        <f t="shared" si="133"/>
        <v>0</v>
      </c>
      <c r="K263" s="2"/>
      <c r="L263" s="2">
        <f t="shared" si="134"/>
        <v>1305</v>
      </c>
      <c r="M263" s="2"/>
      <c r="N263" s="19">
        <f t="shared" si="135"/>
        <v>0</v>
      </c>
      <c r="O263" s="11"/>
      <c r="P263" s="2">
        <f>--22475</f>
        <v>22475</v>
      </c>
      <c r="Q263" s="2"/>
      <c r="R263" s="19">
        <f t="shared" si="136"/>
        <v>3.4630176563284188E-3</v>
      </c>
      <c r="S263" s="2"/>
      <c r="T263" s="2">
        <f>--290</f>
        <v>290</v>
      </c>
      <c r="U263" s="2"/>
      <c r="V263" s="19">
        <f t="shared" si="137"/>
        <v>4.3336466031819919E-5</v>
      </c>
      <c r="W263" s="2"/>
      <c r="X263" s="2">
        <f t="shared" si="138"/>
        <v>22185</v>
      </c>
      <c r="Y263" s="2"/>
      <c r="Z263" s="19">
        <f t="shared" si="139"/>
        <v>76.5</v>
      </c>
    </row>
    <row r="264" spans="1:26" s="24" customFormat="1" hidden="1" outlineLevel="1" x14ac:dyDescent="0.25">
      <c r="A264" s="44"/>
      <c r="B264" s="11" t="str">
        <f>CONCATENATE("          ", "9163", " - ", "MISC. INCOME")</f>
        <v xml:space="preserve">          9163 - MISC. INCOME</v>
      </c>
      <c r="C264" s="11"/>
      <c r="D264" s="2">
        <f>0</f>
        <v>0</v>
      </c>
      <c r="E264" s="2"/>
      <c r="F264" s="19">
        <f t="shared" si="132"/>
        <v>0</v>
      </c>
      <c r="G264" s="2"/>
      <c r="H264" s="2">
        <f t="shared" si="141"/>
        <v>0</v>
      </c>
      <c r="I264" s="2"/>
      <c r="J264" s="19">
        <f t="shared" si="133"/>
        <v>0</v>
      </c>
      <c r="K264" s="2"/>
      <c r="L264" s="2">
        <f t="shared" si="134"/>
        <v>0</v>
      </c>
      <c r="M264" s="2"/>
      <c r="N264" s="19">
        <f t="shared" si="135"/>
        <v>0</v>
      </c>
      <c r="O264" s="11"/>
      <c r="P264" s="2">
        <f>--61106.55</f>
        <v>61106.55</v>
      </c>
      <c r="Q264" s="2"/>
      <c r="R264" s="19">
        <f t="shared" si="136"/>
        <v>9.4154866103366118E-3</v>
      </c>
      <c r="S264" s="2"/>
      <c r="T264" s="2">
        <f>0</f>
        <v>0</v>
      </c>
      <c r="U264" s="2"/>
      <c r="V264" s="19">
        <f t="shared" si="137"/>
        <v>0</v>
      </c>
      <c r="W264" s="2"/>
      <c r="X264" s="2">
        <f t="shared" si="138"/>
        <v>61106.55</v>
      </c>
      <c r="Y264" s="2"/>
      <c r="Z264" s="19">
        <f t="shared" si="139"/>
        <v>0</v>
      </c>
    </row>
    <row r="265" spans="1:26" x14ac:dyDescent="0.25">
      <c r="A265" s="9"/>
      <c r="B265" s="10"/>
      <c r="C265" s="10"/>
      <c r="D265" s="3"/>
      <c r="E265" s="3"/>
      <c r="F265" s="8"/>
      <c r="G265" s="3"/>
      <c r="H265" s="3"/>
      <c r="I265" s="3"/>
      <c r="J265" s="8"/>
      <c r="K265" s="3"/>
      <c r="L265" s="3"/>
      <c r="M265" s="3"/>
      <c r="N265" s="8"/>
      <c r="O265" s="10"/>
      <c r="P265" s="3"/>
      <c r="Q265" s="3"/>
      <c r="R265" s="8"/>
      <c r="S265" s="3"/>
      <c r="T265" s="3"/>
      <c r="U265" s="3"/>
      <c r="V265" s="8"/>
      <c r="W265" s="3"/>
      <c r="X265" s="3"/>
      <c r="Y265" s="3"/>
      <c r="Z265" s="8"/>
    </row>
    <row r="266" spans="1:26" s="23" customFormat="1" x14ac:dyDescent="0.25">
      <c r="A266" s="10"/>
      <c r="B266" s="29" t="s">
        <v>3</v>
      </c>
      <c r="C266" s="29"/>
      <c r="D266" s="21">
        <f>+D163-D165+D255</f>
        <v>-58603.350000000093</v>
      </c>
      <c r="E266" s="14"/>
      <c r="F266" s="20">
        <f>IF(D$12=0,0,D266/D$12)</f>
        <v>-7.8021709937350137E-2</v>
      </c>
      <c r="G266" s="14"/>
      <c r="H266" s="21">
        <f>+H163-H165+H255</f>
        <v>-81456.919999999925</v>
      </c>
      <c r="I266" s="14"/>
      <c r="J266" s="20">
        <f>IF(H$12=0,0,H266/H$12)</f>
        <v>-0.13535839092569282</v>
      </c>
      <c r="K266" s="15"/>
      <c r="L266" s="21">
        <f>+D266-H266</f>
        <v>22853.569999999832</v>
      </c>
      <c r="M266" s="15"/>
      <c r="N266" s="20">
        <f>IF(H266=0,0,L266/H266)</f>
        <v>-0.28056020286551286</v>
      </c>
      <c r="O266" s="28"/>
      <c r="P266" s="21">
        <f>+P163-P165+P255</f>
        <v>750350.49999999662</v>
      </c>
      <c r="Q266" s="14"/>
      <c r="R266" s="20">
        <f>IF(P$12=0,0,P266/P$12)</f>
        <v>0.11561633058664496</v>
      </c>
      <c r="S266" s="14"/>
      <c r="T266" s="21">
        <f>+T163-T165+T255</f>
        <v>633414.52000000211</v>
      </c>
      <c r="U266" s="14"/>
      <c r="V266" s="20">
        <f>IF(T$12=0,0,T266/T$12)</f>
        <v>9.4654989069108991E-2</v>
      </c>
      <c r="W266" s="15"/>
      <c r="X266" s="21">
        <f>+P266-T266</f>
        <v>116935.97999999451</v>
      </c>
      <c r="Y266" s="15"/>
      <c r="Z266" s="20">
        <f>IF(T266=0,0,X266/T266)</f>
        <v>0.18461209256774555</v>
      </c>
    </row>
    <row r="267" spans="1:26" x14ac:dyDescent="0.25">
      <c r="A267" s="9"/>
      <c r="B267" s="10"/>
      <c r="C267" s="9"/>
      <c r="D267" s="3"/>
      <c r="E267" s="3"/>
      <c r="F267" s="8"/>
      <c r="G267" s="3"/>
      <c r="H267" s="3"/>
      <c r="I267" s="3"/>
      <c r="J267" s="8"/>
      <c r="K267" s="3"/>
      <c r="L267" s="3"/>
      <c r="M267" s="3"/>
      <c r="N267" s="8"/>
      <c r="P267" s="3"/>
      <c r="Q267" s="3"/>
      <c r="R267" s="8"/>
      <c r="S267" s="3"/>
      <c r="T267" s="3"/>
      <c r="U267" s="3"/>
      <c r="V267" s="8"/>
      <c r="W267" s="3"/>
      <c r="X267" s="3"/>
      <c r="Y267" s="3"/>
      <c r="Z267" s="8"/>
    </row>
    <row r="268" spans="1:26" s="23" customFormat="1" x14ac:dyDescent="0.25">
      <c r="A268" s="51"/>
      <c r="B268" s="10" t="s">
        <v>13</v>
      </c>
      <c r="C268" s="10"/>
      <c r="D268" s="4">
        <v>109556.4</v>
      </c>
      <c r="E268" s="4"/>
      <c r="F268" s="12">
        <f>IF(D$12=0,0,D268/D$12)</f>
        <v>0.14585817470469337</v>
      </c>
      <c r="G268" s="4"/>
      <c r="H268" s="4">
        <v>144822.03</v>
      </c>
      <c r="I268" s="4"/>
      <c r="J268" s="12">
        <f>IF(H$12=0,0,H268/H$12)</f>
        <v>0.24065330424219861</v>
      </c>
      <c r="K268" s="4"/>
      <c r="L268" s="4">
        <f>+D268-H268</f>
        <v>-35265.630000000005</v>
      </c>
      <c r="M268" s="4"/>
      <c r="N268" s="12">
        <f>IF(H268=0,0,L268/H268)</f>
        <v>-0.24351012066327204</v>
      </c>
      <c r="O268" s="10"/>
      <c r="P268" s="4">
        <v>687247.57</v>
      </c>
      <c r="Q268" s="4"/>
      <c r="R268" s="12">
        <f>IF(P$12=0,0,P268/P$12)</f>
        <v>0.10589323555856733</v>
      </c>
      <c r="S268" s="4"/>
      <c r="T268" s="4">
        <v>704129.72</v>
      </c>
      <c r="U268" s="4"/>
      <c r="V268" s="12">
        <f>IF(T$12=0,0,T268/T$12)</f>
        <v>0.10522239204405127</v>
      </c>
      <c r="W268" s="4"/>
      <c r="X268" s="4">
        <f>+P268-T268</f>
        <v>-16882.150000000023</v>
      </c>
      <c r="Y268" s="4"/>
      <c r="Z268" s="12">
        <f>IF(T268=0,0,X268/T268)</f>
        <v>-2.397590887088252E-2</v>
      </c>
    </row>
    <row r="269" spans="1:26" x14ac:dyDescent="0.25">
      <c r="A269" s="9"/>
      <c r="B269" s="10"/>
      <c r="C269" s="10"/>
      <c r="D269" s="3"/>
      <c r="E269" s="3"/>
      <c r="F269" s="8"/>
      <c r="G269" s="3"/>
      <c r="H269" s="3"/>
      <c r="I269" s="3"/>
      <c r="J269" s="8"/>
      <c r="K269" s="3"/>
      <c r="L269" s="3"/>
      <c r="M269" s="3"/>
      <c r="N269" s="8"/>
      <c r="O269" s="10"/>
      <c r="P269" s="3"/>
      <c r="Q269" s="3"/>
      <c r="R269" s="8"/>
      <c r="S269" s="3"/>
      <c r="T269" s="3"/>
      <c r="U269" s="3"/>
      <c r="V269" s="8"/>
      <c r="W269" s="3"/>
      <c r="X269" s="3"/>
      <c r="Y269" s="3"/>
      <c r="Z269" s="8"/>
    </row>
    <row r="270" spans="1:26" s="23" customFormat="1" ht="15.75" thickBot="1" x14ac:dyDescent="0.3">
      <c r="A270" s="10"/>
      <c r="B270" s="29" t="s">
        <v>4</v>
      </c>
      <c r="C270" s="29"/>
      <c r="D270" s="31">
        <f>+D266-D268</f>
        <v>-168159.75000000009</v>
      </c>
      <c r="E270" s="14"/>
      <c r="F270" s="32">
        <f>IF(D$12=0,0,D270/D$12)</f>
        <v>-0.2238798846420435</v>
      </c>
      <c r="G270" s="14"/>
      <c r="H270" s="31">
        <f>+H266-H268</f>
        <v>-226278.94999999992</v>
      </c>
      <c r="I270" s="14"/>
      <c r="J270" s="32">
        <f>IF(H$12=0,0,H270/H$12)</f>
        <v>-0.37601169516789146</v>
      </c>
      <c r="K270" s="15"/>
      <c r="L270" s="31">
        <f>D270-H270</f>
        <v>58119.199999999837</v>
      </c>
      <c r="M270" s="15"/>
      <c r="N270" s="32">
        <f>IF(H270=0,0,L270/H270)</f>
        <v>-0.25684757685149173</v>
      </c>
      <c r="O270" s="28"/>
      <c r="P270" s="31">
        <f>+P266-P268</f>
        <v>63102.929999996675</v>
      </c>
      <c r="Q270" s="14"/>
      <c r="R270" s="32">
        <f>IF(P$12=0,0,P270/P$12)</f>
        <v>9.7230950280776315E-3</v>
      </c>
      <c r="S270" s="14"/>
      <c r="T270" s="31">
        <f>+T266-T268</f>
        <v>-70715.199999997858</v>
      </c>
      <c r="U270" s="14"/>
      <c r="V270" s="32">
        <f>IF(T$12=0,0,T270/T$12)</f>
        <v>-1.0567402974942273E-2</v>
      </c>
      <c r="W270" s="15"/>
      <c r="X270" s="31">
        <f>P270-T270</f>
        <v>133818.12999999453</v>
      </c>
      <c r="Y270" s="15"/>
      <c r="Z270" s="32">
        <f>IF(T270=0,0,X270/T270)</f>
        <v>-1.8923531291716433</v>
      </c>
    </row>
    <row r="271" spans="1:26" ht="15.75" thickTop="1" x14ac:dyDescent="0.25">
      <c r="A271" s="9"/>
      <c r="B271" s="9"/>
      <c r="C271" s="9"/>
      <c r="D271" s="3"/>
      <c r="E271" s="3"/>
      <c r="F271" s="8"/>
      <c r="G271" s="3"/>
      <c r="H271" s="3"/>
      <c r="I271" s="3"/>
      <c r="J271" s="8"/>
      <c r="K271" s="3"/>
      <c r="L271" s="3"/>
      <c r="M271" s="3"/>
      <c r="N271" s="8"/>
      <c r="P271" s="3"/>
      <c r="Q271" s="3"/>
      <c r="R271" s="8"/>
      <c r="S271" s="3"/>
      <c r="T271" s="3"/>
      <c r="U271" s="3"/>
      <c r="V271" s="8"/>
      <c r="W271" s="3"/>
      <c r="X271" s="3"/>
      <c r="Y271" s="3"/>
      <c r="Z271" s="8"/>
    </row>
    <row r="272" spans="1:26" x14ac:dyDescent="0.25">
      <c r="A272" s="9"/>
      <c r="B272" s="9"/>
      <c r="C272" s="9"/>
      <c r="D272" s="3"/>
      <c r="E272" s="3"/>
      <c r="F272" s="8"/>
      <c r="G272" s="3"/>
      <c r="H272" s="3"/>
      <c r="I272" s="3"/>
      <c r="J272" s="8"/>
      <c r="K272" s="3"/>
      <c r="L272" s="3"/>
      <c r="M272" s="3"/>
      <c r="N272" s="8"/>
      <c r="P272" s="3"/>
      <c r="Q272" s="3"/>
      <c r="R272" s="8"/>
      <c r="S272" s="3"/>
      <c r="T272" s="3"/>
      <c r="U272" s="3"/>
      <c r="V272" s="8"/>
      <c r="W272" s="3"/>
      <c r="X272" s="3"/>
      <c r="Y272" s="3"/>
      <c r="Z272" s="8"/>
    </row>
    <row r="273" spans="1:26" s="23" customFormat="1" ht="15.75" thickBot="1" x14ac:dyDescent="0.3">
      <c r="A273" s="10"/>
      <c r="B273" s="29" t="s">
        <v>5</v>
      </c>
      <c r="C273" s="29"/>
      <c r="D273" s="34">
        <f>SUM(D270:D272)</f>
        <v>-168159.75000000009</v>
      </c>
      <c r="E273" s="14"/>
      <c r="F273" s="30">
        <f>IF(D$12=0,0,D273/D$12)</f>
        <v>-0.2238798846420435</v>
      </c>
      <c r="G273" s="14"/>
      <c r="H273" s="34">
        <f>SUM(H270:H272)</f>
        <v>-226278.94999999992</v>
      </c>
      <c r="I273" s="14"/>
      <c r="J273" s="30">
        <f>IF(H$12=0,0,H273/H$12)</f>
        <v>-0.37601169516789146</v>
      </c>
      <c r="K273" s="15"/>
      <c r="L273" s="34">
        <f>+D273-H273</f>
        <v>58119.199999999837</v>
      </c>
      <c r="M273" s="15"/>
      <c r="N273" s="30">
        <f>IF(H273=0,0,L273/H273)</f>
        <v>-0.25684757685149173</v>
      </c>
      <c r="O273" s="28"/>
      <c r="P273" s="34">
        <f>SUM(P270:P272)</f>
        <v>63102.929999996675</v>
      </c>
      <c r="Q273" s="14"/>
      <c r="R273" s="30">
        <f>IF(P$12=0,0,P273/P$12)</f>
        <v>9.7230950280776315E-3</v>
      </c>
      <c r="S273" s="14"/>
      <c r="T273" s="34">
        <f>SUM(T270:T272)</f>
        <v>-70715.199999997858</v>
      </c>
      <c r="U273" s="14"/>
      <c r="V273" s="30">
        <f>IF(T$12=0,0,T273/T$12)</f>
        <v>-1.0567402974942273E-2</v>
      </c>
      <c r="W273" s="15"/>
      <c r="X273" s="34">
        <f>+P273-T273</f>
        <v>133818.12999999453</v>
      </c>
      <c r="Y273" s="15"/>
      <c r="Z273" s="30">
        <f>IF(T273=0,0,X273/T273)</f>
        <v>-1.8923531291716433</v>
      </c>
    </row>
    <row r="274" spans="1:26" ht="15.75" thickTop="1" x14ac:dyDescent="0.25">
      <c r="A274" s="9"/>
      <c r="C274" s="9"/>
      <c r="D274" s="18"/>
      <c r="E274" s="18"/>
      <c r="G274" s="18"/>
      <c r="H274" s="18"/>
      <c r="I274" s="18"/>
      <c r="J274" s="43"/>
      <c r="K274" s="18"/>
      <c r="L274" s="18"/>
      <c r="M274" s="18"/>
      <c r="P274" s="18"/>
      <c r="Q274" s="18"/>
      <c r="R274" s="43"/>
      <c r="S274" s="18"/>
      <c r="T274" s="18"/>
      <c r="U274" s="18"/>
      <c r="V274" s="43"/>
      <c r="W274" s="18"/>
      <c r="X274" s="18"/>
    </row>
    <row r="275" spans="1:26" x14ac:dyDescent="0.25">
      <c r="A275" s="9"/>
      <c r="B275" s="59">
        <v>43815.491187465275</v>
      </c>
      <c r="D275" s="18"/>
      <c r="E275" s="18"/>
      <c r="G275" s="18"/>
      <c r="H275" s="18"/>
      <c r="I275" s="18"/>
      <c r="J275" s="43"/>
      <c r="K275" s="18"/>
      <c r="L275" s="18"/>
      <c r="M275" s="18"/>
      <c r="P275" s="18"/>
      <c r="Q275" s="18"/>
      <c r="R275" s="43"/>
      <c r="S275" s="18"/>
      <c r="T275" s="18"/>
      <c r="U275" s="18"/>
      <c r="V275" s="43"/>
      <c r="W275" s="18"/>
      <c r="X275" s="18"/>
    </row>
    <row r="276" spans="1:26" x14ac:dyDescent="0.25">
      <c r="A276" s="9"/>
      <c r="B276" s="62" t="s">
        <v>313</v>
      </c>
      <c r="D276" s="18"/>
      <c r="E276" s="18"/>
      <c r="G276" s="18"/>
      <c r="H276" s="18"/>
      <c r="I276" s="18"/>
      <c r="J276" s="43"/>
      <c r="K276" s="18"/>
      <c r="L276" s="18"/>
      <c r="M276" s="18"/>
      <c r="P276" s="18"/>
      <c r="Q276" s="18"/>
      <c r="R276" s="43"/>
      <c r="S276" s="18"/>
      <c r="T276" s="18"/>
      <c r="U276" s="18"/>
      <c r="V276" s="43"/>
      <c r="W276" s="18"/>
      <c r="X276" s="18"/>
    </row>
    <row r="277" spans="1:26" x14ac:dyDescent="0.25">
      <c r="A277" s="9"/>
      <c r="B277" s="61"/>
      <c r="D277" s="18"/>
      <c r="E277" s="18"/>
      <c r="G277" s="18"/>
      <c r="H277" s="18"/>
      <c r="I277" s="18"/>
      <c r="J277" s="43"/>
      <c r="K277" s="18"/>
      <c r="L277" s="18"/>
      <c r="M277" s="18"/>
      <c r="P277" s="18"/>
      <c r="Q277" s="18"/>
      <c r="R277" s="43"/>
      <c r="S277" s="18"/>
      <c r="T277" s="18"/>
      <c r="U277" s="18"/>
      <c r="V277" s="43"/>
      <c r="W277" s="18"/>
      <c r="X277" s="18"/>
    </row>
    <row r="278" spans="1:26" x14ac:dyDescent="0.25">
      <c r="D278" s="18"/>
      <c r="E278" s="18"/>
      <c r="G278" s="18"/>
      <c r="H278" s="18"/>
      <c r="I278" s="18"/>
      <c r="J278" s="43"/>
      <c r="K278" s="18"/>
      <c r="L278" s="18"/>
      <c r="M278" s="18"/>
      <c r="P278" s="18"/>
      <c r="Q278" s="18"/>
      <c r="R278" s="43"/>
      <c r="S278" s="18"/>
      <c r="T278" s="18"/>
      <c r="U278" s="18"/>
      <c r="V278" s="43"/>
      <c r="W278" s="18"/>
      <c r="X278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7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450362.85999999981</v>
      </c>
      <c r="E12" s="4"/>
      <c r="F12" s="12"/>
      <c r="G12" s="4"/>
      <c r="H12" s="4">
        <f>SUM(OSRRefH13x_0)</f>
        <v>351727.58999999997</v>
      </c>
      <c r="I12" s="4"/>
      <c r="J12" s="12"/>
      <c r="K12" s="4"/>
      <c r="L12" s="4">
        <f t="shared" ref="L12:L104" si="0">+D12-H12</f>
        <v>98635.269999999844</v>
      </c>
      <c r="M12" s="4"/>
      <c r="N12" s="12">
        <f t="shared" ref="N12:N104" si="1">IF(H12=0,0,L12/H12)</f>
        <v>0.28043085843791743</v>
      </c>
      <c r="O12" s="10"/>
      <c r="P12" s="4">
        <f>SUM(OSRRefP13x_0)</f>
        <v>5071178.9299999969</v>
      </c>
      <c r="Q12" s="4"/>
      <c r="R12" s="12"/>
      <c r="S12" s="4"/>
      <c r="T12" s="4">
        <f>SUM(OSRRefT13x_0)</f>
        <v>5370254.7200000025</v>
      </c>
      <c r="U12" s="4"/>
      <c r="V12" s="12"/>
      <c r="W12" s="4"/>
      <c r="X12" s="4">
        <f t="shared" ref="X12:X104" si="2">+P12-T12</f>
        <v>-299075.79000000563</v>
      </c>
      <c r="Y12" s="4"/>
      <c r="Z12" s="12">
        <f t="shared" ref="Z12:Z104" si="3">IF(T12=0,0,X12/T12)</f>
        <v>-5.5691173993326987E-2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--8184.69</f>
        <v>8184.69</v>
      </c>
      <c r="E13" s="2"/>
      <c r="F13" s="19"/>
      <c r="G13" s="2"/>
      <c r="H13" s="2">
        <f>--11453.82</f>
        <v>11453.82</v>
      </c>
      <c r="I13" s="2"/>
      <c r="J13" s="19"/>
      <c r="K13" s="2"/>
      <c r="L13" s="2">
        <f t="shared" si="0"/>
        <v>-3269.13</v>
      </c>
      <c r="M13" s="2"/>
      <c r="N13" s="19">
        <f t="shared" si="1"/>
        <v>-0.28541831458849537</v>
      </c>
      <c r="O13" s="11"/>
      <c r="P13" s="2">
        <f>--1503344.43</f>
        <v>1503344.43</v>
      </c>
      <c r="Q13" s="2"/>
      <c r="R13" s="19"/>
      <c r="S13" s="2"/>
      <c r="T13" s="2">
        <f>--1850269.85</f>
        <v>1850269.85</v>
      </c>
      <c r="U13" s="2"/>
      <c r="V13" s="19"/>
      <c r="W13" s="2"/>
      <c r="X13" s="2">
        <f t="shared" si="2"/>
        <v>-346925.42000000016</v>
      </c>
      <c r="Y13" s="2"/>
      <c r="Z13" s="19">
        <f t="shared" si="3"/>
        <v>-0.1874999044058358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--4182.93</f>
        <v>4182.93</v>
      </c>
      <c r="E14" s="2"/>
      <c r="F14" s="19"/>
      <c r="G14" s="2"/>
      <c r="H14" s="2">
        <f>--771.05</f>
        <v>771.05</v>
      </c>
      <c r="I14" s="2"/>
      <c r="J14" s="19"/>
      <c r="K14" s="2"/>
      <c r="L14" s="2">
        <f t="shared" si="0"/>
        <v>3411.88</v>
      </c>
      <c r="M14" s="2"/>
      <c r="N14" s="19">
        <f t="shared" si="1"/>
        <v>4.4249789248427476</v>
      </c>
      <c r="O14" s="11"/>
      <c r="P14" s="2">
        <f>--670479.29</f>
        <v>670479.29</v>
      </c>
      <c r="Q14" s="2"/>
      <c r="R14" s="19"/>
      <c r="S14" s="2"/>
      <c r="T14" s="2">
        <f>--741382.24</f>
        <v>741382.24</v>
      </c>
      <c r="U14" s="2"/>
      <c r="V14" s="19"/>
      <c r="W14" s="2"/>
      <c r="X14" s="2">
        <f t="shared" si="2"/>
        <v>-70902.949999999953</v>
      </c>
      <c r="Y14" s="2"/>
      <c r="Z14" s="19">
        <f t="shared" si="3"/>
        <v>-9.5636159290786296E-2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--15844.66</f>
        <v>15844.66</v>
      </c>
      <c r="Q15" s="2"/>
      <c r="R15" s="19"/>
      <c r="S15" s="2"/>
      <c r="T15" s="2">
        <f>--9944.25</f>
        <v>9944.25</v>
      </c>
      <c r="U15" s="2"/>
      <c r="V15" s="19"/>
      <c r="W15" s="2"/>
      <c r="X15" s="2">
        <f t="shared" si="2"/>
        <v>5900.41</v>
      </c>
      <c r="Y15" s="2"/>
      <c r="Z15" s="19">
        <f t="shared" si="3"/>
        <v>0.59334892023028385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--119.4</f>
        <v>119.4</v>
      </c>
      <c r="E16" s="2"/>
      <c r="F16" s="19"/>
      <c r="G16" s="2"/>
      <c r="H16" s="2">
        <f>--345.04</f>
        <v>345.04</v>
      </c>
      <c r="I16" s="2"/>
      <c r="J16" s="19"/>
      <c r="K16" s="2"/>
      <c r="L16" s="2">
        <f t="shared" si="0"/>
        <v>-225.64000000000001</v>
      </c>
      <c r="M16" s="2"/>
      <c r="N16" s="19">
        <f t="shared" si="1"/>
        <v>-0.65395316485045207</v>
      </c>
      <c r="O16" s="11"/>
      <c r="P16" s="2">
        <f>--30279.88</f>
        <v>30279.88</v>
      </c>
      <c r="Q16" s="2"/>
      <c r="R16" s="19"/>
      <c r="S16" s="2"/>
      <c r="T16" s="2">
        <f>--42625.32</f>
        <v>42625.32</v>
      </c>
      <c r="U16" s="2"/>
      <c r="V16" s="19"/>
      <c r="W16" s="2"/>
      <c r="X16" s="2">
        <f t="shared" si="2"/>
        <v>-12345.439999999999</v>
      </c>
      <c r="Y16" s="2"/>
      <c r="Z16" s="19">
        <f t="shared" si="3"/>
        <v>-0.28962691658385203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>
        <f>--0.08</f>
        <v>0.08</v>
      </c>
      <c r="I17" s="2"/>
      <c r="J17" s="19"/>
      <c r="K17" s="2"/>
      <c r="L17" s="2">
        <f t="shared" si="0"/>
        <v>-0.08</v>
      </c>
      <c r="M17" s="2"/>
      <c r="N17" s="19">
        <f t="shared" si="1"/>
        <v>-1</v>
      </c>
      <c r="O17" s="11"/>
      <c r="P17" s="2">
        <f>--9.6</f>
        <v>9.6</v>
      </c>
      <c r="Q17" s="2"/>
      <c r="R17" s="19"/>
      <c r="S17" s="2"/>
      <c r="T17" s="2">
        <f>--5.31</f>
        <v>5.31</v>
      </c>
      <c r="U17" s="2"/>
      <c r="V17" s="19"/>
      <c r="W17" s="2"/>
      <c r="X17" s="2">
        <f t="shared" si="2"/>
        <v>4.29</v>
      </c>
      <c r="Y17" s="2"/>
      <c r="Z17" s="19">
        <f t="shared" si="3"/>
        <v>0.80790960451977412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--285.33</f>
        <v>285.33</v>
      </c>
      <c r="E18" s="2"/>
      <c r="F18" s="19"/>
      <c r="G18" s="2"/>
      <c r="H18" s="2">
        <f>--647.84</f>
        <v>647.84</v>
      </c>
      <c r="I18" s="2"/>
      <c r="J18" s="19"/>
      <c r="K18" s="2"/>
      <c r="L18" s="2">
        <f t="shared" si="0"/>
        <v>-362.51000000000005</v>
      </c>
      <c r="M18" s="2"/>
      <c r="N18" s="19">
        <f t="shared" si="1"/>
        <v>-0.55956717708076076</v>
      </c>
      <c r="O18" s="11"/>
      <c r="P18" s="2">
        <f>--1112.72</f>
        <v>1112.72</v>
      </c>
      <c r="Q18" s="2"/>
      <c r="R18" s="19"/>
      <c r="S18" s="2"/>
      <c r="T18" s="2">
        <f>--2656.33</f>
        <v>2656.33</v>
      </c>
      <c r="U18" s="2"/>
      <c r="V18" s="19"/>
      <c r="W18" s="2"/>
      <c r="X18" s="2">
        <f t="shared" si="2"/>
        <v>-1543.61</v>
      </c>
      <c r="Y18" s="2"/>
      <c r="Z18" s="19">
        <f t="shared" si="3"/>
        <v>-0.58110626315254499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--189.13</f>
        <v>189.13</v>
      </c>
      <c r="E19" s="2"/>
      <c r="F19" s="19"/>
      <c r="G19" s="2"/>
      <c r="H19" s="2">
        <f>--327.3</f>
        <v>327.3</v>
      </c>
      <c r="I19" s="2"/>
      <c r="J19" s="19"/>
      <c r="K19" s="2"/>
      <c r="L19" s="2">
        <f t="shared" si="0"/>
        <v>-138.17000000000002</v>
      </c>
      <c r="M19" s="2"/>
      <c r="N19" s="19">
        <f t="shared" si="1"/>
        <v>-0.42215093186678893</v>
      </c>
      <c r="O19" s="11"/>
      <c r="P19" s="2">
        <f>--883.35</f>
        <v>883.35</v>
      </c>
      <c r="Q19" s="2"/>
      <c r="R19" s="19"/>
      <c r="S19" s="2"/>
      <c r="T19" s="2">
        <f>--1143.92</f>
        <v>1143.92</v>
      </c>
      <c r="U19" s="2"/>
      <c r="V19" s="19"/>
      <c r="W19" s="2"/>
      <c r="X19" s="2">
        <f t="shared" si="2"/>
        <v>-260.57000000000005</v>
      </c>
      <c r="Y19" s="2"/>
      <c r="Z19" s="19">
        <f t="shared" si="3"/>
        <v>-0.2277869081753969</v>
      </c>
    </row>
    <row r="20" spans="1:26" s="24" customFormat="1" hidden="1" outlineLevel="1" x14ac:dyDescent="0.25">
      <c r="A20" s="44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--5.49</f>
        <v>5.49</v>
      </c>
      <c r="E20" s="2"/>
      <c r="F20" s="19"/>
      <c r="G20" s="2"/>
      <c r="H20" s="2">
        <f>--10.44</f>
        <v>10.44</v>
      </c>
      <c r="I20" s="2"/>
      <c r="J20" s="19"/>
      <c r="K20" s="2"/>
      <c r="L20" s="2">
        <f t="shared" si="0"/>
        <v>-4.9499999999999993</v>
      </c>
      <c r="M20" s="2"/>
      <c r="N20" s="19">
        <f t="shared" si="1"/>
        <v>-0.47413793103448271</v>
      </c>
      <c r="O20" s="11"/>
      <c r="P20" s="2">
        <f>--231.16</f>
        <v>231.16</v>
      </c>
      <c r="Q20" s="2"/>
      <c r="R20" s="19"/>
      <c r="S20" s="2"/>
      <c r="T20" s="2">
        <f>--643.57</f>
        <v>643.57000000000005</v>
      </c>
      <c r="U20" s="2"/>
      <c r="V20" s="19"/>
      <c r="W20" s="2"/>
      <c r="X20" s="2">
        <f t="shared" si="2"/>
        <v>-412.41000000000008</v>
      </c>
      <c r="Y20" s="2"/>
      <c r="Z20" s="19">
        <f t="shared" si="3"/>
        <v>-0.64081607284366904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--277.82</f>
        <v>277.82</v>
      </c>
      <c r="E21" s="2"/>
      <c r="F21" s="19"/>
      <c r="G21" s="2"/>
      <c r="H21" s="2">
        <f>--289.77</f>
        <v>289.77</v>
      </c>
      <c r="I21" s="2"/>
      <c r="J21" s="19"/>
      <c r="K21" s="2"/>
      <c r="L21" s="2">
        <f t="shared" si="0"/>
        <v>-11.949999999999989</v>
      </c>
      <c r="M21" s="2"/>
      <c r="N21" s="19">
        <f t="shared" si="1"/>
        <v>-4.1239603823722229E-2</v>
      </c>
      <c r="O21" s="11"/>
      <c r="P21" s="2">
        <f>--2732.65</f>
        <v>2732.65</v>
      </c>
      <c r="Q21" s="2"/>
      <c r="R21" s="19"/>
      <c r="S21" s="2"/>
      <c r="T21" s="2">
        <f>--3719.55</f>
        <v>3719.55</v>
      </c>
      <c r="U21" s="2"/>
      <c r="V21" s="19"/>
      <c r="W21" s="2"/>
      <c r="X21" s="2">
        <f t="shared" si="2"/>
        <v>-986.90000000000009</v>
      </c>
      <c r="Y21" s="2"/>
      <c r="Z21" s="19">
        <f t="shared" si="3"/>
        <v>-0.26532779502896858</v>
      </c>
    </row>
    <row r="22" spans="1:26" s="24" customFormat="1" hidden="1" outlineLevel="1" x14ac:dyDescent="0.25">
      <c r="A22" s="44"/>
      <c r="B22" s="11" t="str">
        <f>CONCATENATE("          ", "4019", " - ", "TAXABLE SALES-BOOK RELATED")</f>
        <v xml:space="preserve">          4019 - TAXABLE SALES-BOOK RELATED</v>
      </c>
      <c r="C22" s="11"/>
      <c r="D22" s="2">
        <f>--3.98</f>
        <v>3.98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3.98</v>
      </c>
      <c r="M22" s="2"/>
      <c r="N22" s="19">
        <f t="shared" si="1"/>
        <v>0</v>
      </c>
      <c r="O22" s="11"/>
      <c r="P22" s="2">
        <f>--33.88</f>
        <v>33.880000000000003</v>
      </c>
      <c r="Q22" s="2"/>
      <c r="R22" s="19"/>
      <c r="S22" s="2"/>
      <c r="T22" s="2">
        <f>--54.48</f>
        <v>54.48</v>
      </c>
      <c r="U22" s="2"/>
      <c r="V22" s="19"/>
      <c r="W22" s="2"/>
      <c r="X22" s="2">
        <f t="shared" si="2"/>
        <v>-20.599999999999994</v>
      </c>
      <c r="Y22" s="2"/>
      <c r="Z22" s="19">
        <f t="shared" si="3"/>
        <v>-0.37812041116005868</v>
      </c>
    </row>
    <row r="23" spans="1:26" s="24" customFormat="1" hidden="1" outlineLevel="1" x14ac:dyDescent="0.25">
      <c r="A23" s="44"/>
      <c r="B23" s="11" t="str">
        <f>CONCATENATE("          ", "4025", " - ", "TAXABLE SALES-TEST FORMS")</f>
        <v xml:space="preserve">          4025 - TAXABLE SALES-TEST FORMS</v>
      </c>
      <c r="C23" s="11"/>
      <c r="D23" s="2">
        <f>--3212.68</f>
        <v>3212.68</v>
      </c>
      <c r="E23" s="2"/>
      <c r="F23" s="19"/>
      <c r="G23" s="2"/>
      <c r="H23" s="2">
        <f>--2857.44</f>
        <v>2857.44</v>
      </c>
      <c r="I23" s="2"/>
      <c r="J23" s="19"/>
      <c r="K23" s="2"/>
      <c r="L23" s="2">
        <f t="shared" si="0"/>
        <v>355.23999999999978</v>
      </c>
      <c r="M23" s="2"/>
      <c r="N23" s="19">
        <f t="shared" si="1"/>
        <v>0.12432107060865662</v>
      </c>
      <c r="O23" s="11"/>
      <c r="P23" s="2">
        <f>--29544.72</f>
        <v>29544.720000000001</v>
      </c>
      <c r="Q23" s="2"/>
      <c r="R23" s="19"/>
      <c r="S23" s="2"/>
      <c r="T23" s="2">
        <f>--28067.17</f>
        <v>28067.17</v>
      </c>
      <c r="U23" s="2"/>
      <c r="V23" s="19"/>
      <c r="W23" s="2"/>
      <c r="X23" s="2">
        <f t="shared" si="2"/>
        <v>1477.5500000000029</v>
      </c>
      <c r="Y23" s="2"/>
      <c r="Z23" s="19">
        <f t="shared" si="3"/>
        <v>5.2643355208238062E-2</v>
      </c>
    </row>
    <row r="24" spans="1:26" s="24" customFormat="1" hidden="1" outlineLevel="1" x14ac:dyDescent="0.25">
      <c r="A24" s="44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>--6609.41</f>
        <v>6609.41</v>
      </c>
      <c r="E24" s="2"/>
      <c r="F24" s="19"/>
      <c r="G24" s="2"/>
      <c r="H24" s="2">
        <f>--4736.5</f>
        <v>4736.5</v>
      </c>
      <c r="I24" s="2"/>
      <c r="J24" s="19"/>
      <c r="K24" s="2"/>
      <c r="L24" s="2">
        <f t="shared" si="0"/>
        <v>1872.9099999999999</v>
      </c>
      <c r="M24" s="2"/>
      <c r="N24" s="19">
        <f t="shared" si="1"/>
        <v>0.39542066927055841</v>
      </c>
      <c r="O24" s="11"/>
      <c r="P24" s="2">
        <f>--43673.95</f>
        <v>43673.95</v>
      </c>
      <c r="Q24" s="2"/>
      <c r="R24" s="19"/>
      <c r="S24" s="2"/>
      <c r="T24" s="2">
        <f>--37370.84</f>
        <v>37370.839999999997</v>
      </c>
      <c r="U24" s="2"/>
      <c r="V24" s="19"/>
      <c r="W24" s="2"/>
      <c r="X24" s="2">
        <f t="shared" si="2"/>
        <v>6303.1100000000006</v>
      </c>
      <c r="Y24" s="2"/>
      <c r="Z24" s="19">
        <f t="shared" si="3"/>
        <v>0.1686638566326045</v>
      </c>
    </row>
    <row r="25" spans="1:26" s="24" customFormat="1" hidden="1" outlineLevel="1" x14ac:dyDescent="0.25">
      <c r="A25" s="44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--10515.54</f>
        <v>10515.54</v>
      </c>
      <c r="E25" s="2"/>
      <c r="F25" s="19"/>
      <c r="G25" s="2"/>
      <c r="H25" s="2">
        <f>--9293.82</f>
        <v>9293.82</v>
      </c>
      <c r="I25" s="2"/>
      <c r="J25" s="19"/>
      <c r="K25" s="2"/>
      <c r="L25" s="2">
        <f t="shared" si="0"/>
        <v>1221.7200000000012</v>
      </c>
      <c r="M25" s="2"/>
      <c r="N25" s="19">
        <f t="shared" si="1"/>
        <v>0.13145509596699756</v>
      </c>
      <c r="O25" s="11"/>
      <c r="P25" s="2">
        <f>--154789.08</f>
        <v>154789.07999999999</v>
      </c>
      <c r="Q25" s="2"/>
      <c r="R25" s="19"/>
      <c r="S25" s="2"/>
      <c r="T25" s="2">
        <f>--142192.08</f>
        <v>142192.07999999999</v>
      </c>
      <c r="U25" s="2"/>
      <c r="V25" s="19"/>
      <c r="W25" s="2"/>
      <c r="X25" s="2">
        <f t="shared" si="2"/>
        <v>12597</v>
      </c>
      <c r="Y25" s="2"/>
      <c r="Z25" s="19">
        <f t="shared" si="3"/>
        <v>8.8591432096639985E-2</v>
      </c>
    </row>
    <row r="26" spans="1:26" s="24" customFormat="1" hidden="1" outlineLevel="1" x14ac:dyDescent="0.25">
      <c r="A26" s="44"/>
      <c r="B26" s="11" t="str">
        <f>CONCATENATE("          ", "4028", " - ", "TAXABLE SALES-ART/TECH")</f>
        <v xml:space="preserve">          4028 - TAXABLE SALES-ART/TECH</v>
      </c>
      <c r="C26" s="11"/>
      <c r="D26" s="2">
        <f>--29388.04</f>
        <v>29388.04</v>
      </c>
      <c r="E26" s="2"/>
      <c r="F26" s="19"/>
      <c r="G26" s="2"/>
      <c r="H26" s="2">
        <f>--23523.68</f>
        <v>23523.68</v>
      </c>
      <c r="I26" s="2"/>
      <c r="J26" s="19"/>
      <c r="K26" s="2"/>
      <c r="L26" s="2">
        <f t="shared" si="0"/>
        <v>5864.3600000000006</v>
      </c>
      <c r="M26" s="2"/>
      <c r="N26" s="19">
        <f t="shared" si="1"/>
        <v>0.24929602851254568</v>
      </c>
      <c r="O26" s="11"/>
      <c r="P26" s="2">
        <f>--175952.71</f>
        <v>175952.71</v>
      </c>
      <c r="Q26" s="2"/>
      <c r="R26" s="19"/>
      <c r="S26" s="2"/>
      <c r="T26" s="2">
        <f>--178368.48</f>
        <v>178368.48</v>
      </c>
      <c r="U26" s="2"/>
      <c r="V26" s="19"/>
      <c r="W26" s="2"/>
      <c r="X26" s="2">
        <f t="shared" si="2"/>
        <v>-2415.7700000000186</v>
      </c>
      <c r="Y26" s="2"/>
      <c r="Z26" s="19">
        <f t="shared" si="3"/>
        <v>-1.3543704582782892E-2</v>
      </c>
    </row>
    <row r="27" spans="1:26" s="24" customFormat="1" hidden="1" outlineLevel="1" x14ac:dyDescent="0.25">
      <c r="A27" s="44"/>
      <c r="B27" s="11" t="str">
        <f>CONCATENATE("          ", "4031", " - ", "TAXABLE SALES-FOOD")</f>
        <v xml:space="preserve">          4031 - TAXABLE SALES-FOOD</v>
      </c>
      <c r="C27" s="11"/>
      <c r="D27" s="2">
        <f>--58.77</f>
        <v>58.77</v>
      </c>
      <c r="E27" s="2"/>
      <c r="F27" s="19"/>
      <c r="G27" s="2"/>
      <c r="H27" s="2">
        <f>--42.39</f>
        <v>42.39</v>
      </c>
      <c r="I27" s="2"/>
      <c r="J27" s="19"/>
      <c r="K27" s="2"/>
      <c r="L27" s="2">
        <f t="shared" si="0"/>
        <v>16.380000000000003</v>
      </c>
      <c r="M27" s="2"/>
      <c r="N27" s="19">
        <f t="shared" si="1"/>
        <v>0.38641188959660305</v>
      </c>
      <c r="O27" s="11"/>
      <c r="P27" s="2">
        <f>--280.05</f>
        <v>280.05</v>
      </c>
      <c r="Q27" s="2"/>
      <c r="R27" s="19"/>
      <c r="S27" s="2"/>
      <c r="T27" s="2">
        <f>--288.29</f>
        <v>288.29000000000002</v>
      </c>
      <c r="U27" s="2"/>
      <c r="V27" s="19"/>
      <c r="W27" s="2"/>
      <c r="X27" s="2">
        <f t="shared" si="2"/>
        <v>-8.2400000000000091</v>
      </c>
      <c r="Y27" s="2"/>
      <c r="Z27" s="19">
        <f t="shared" si="3"/>
        <v>-2.8582330292413919E-2</v>
      </c>
    </row>
    <row r="28" spans="1:26" s="24" customFormat="1" hidden="1" outlineLevel="1" x14ac:dyDescent="0.25">
      <c r="A28" s="44"/>
      <c r="B28" s="11" t="str">
        <f>CONCATENATE("          ", "4032", " - ", "TAXABLE SALES-JUICE")</f>
        <v xml:space="preserve">          4032 - TAXABLE SALES-JUICE</v>
      </c>
      <c r="C28" s="11"/>
      <c r="D28" s="2">
        <f>--609.66</f>
        <v>609.66</v>
      </c>
      <c r="E28" s="2"/>
      <c r="F28" s="19"/>
      <c r="G28" s="2"/>
      <c r="H28" s="2">
        <f>--32.64</f>
        <v>32.64</v>
      </c>
      <c r="I28" s="2"/>
      <c r="J28" s="19"/>
      <c r="K28" s="2"/>
      <c r="L28" s="2">
        <f t="shared" si="0"/>
        <v>577.02</v>
      </c>
      <c r="M28" s="2"/>
      <c r="N28" s="19">
        <f t="shared" si="1"/>
        <v>17.678308823529409</v>
      </c>
      <c r="O28" s="11"/>
      <c r="P28" s="2">
        <f>--663.08</f>
        <v>663.08</v>
      </c>
      <c r="Q28" s="2"/>
      <c r="R28" s="19"/>
      <c r="S28" s="2"/>
      <c r="T28" s="2">
        <f>--215.94</f>
        <v>215.94</v>
      </c>
      <c r="U28" s="2"/>
      <c r="V28" s="19"/>
      <c r="W28" s="2"/>
      <c r="X28" s="2">
        <f t="shared" si="2"/>
        <v>447.14000000000004</v>
      </c>
      <c r="Y28" s="2"/>
      <c r="Z28" s="19">
        <f t="shared" si="3"/>
        <v>2.0706677780865057</v>
      </c>
    </row>
    <row r="29" spans="1:26" s="24" customFormat="1" hidden="1" outlineLevel="1" x14ac:dyDescent="0.25">
      <c r="A29" s="44"/>
      <c r="B29" s="11" t="str">
        <f>CONCATENATE("          ", "4033", " - ", "TAXABLE SALES-CANDY")</f>
        <v xml:space="preserve">          4033 - TAXABLE SALES-CANDY</v>
      </c>
      <c r="C29" s="11"/>
      <c r="D29" s="2">
        <f>--23.21</f>
        <v>23.21</v>
      </c>
      <c r="E29" s="2"/>
      <c r="F29" s="19"/>
      <c r="G29" s="2"/>
      <c r="H29" s="2">
        <f>--18.59</f>
        <v>18.59</v>
      </c>
      <c r="I29" s="2"/>
      <c r="J29" s="19"/>
      <c r="K29" s="2"/>
      <c r="L29" s="2">
        <f t="shared" si="0"/>
        <v>4.620000000000001</v>
      </c>
      <c r="M29" s="2"/>
      <c r="N29" s="19">
        <f t="shared" si="1"/>
        <v>0.24852071005917165</v>
      </c>
      <c r="O29" s="11"/>
      <c r="P29" s="2">
        <f>--108.61</f>
        <v>108.61</v>
      </c>
      <c r="Q29" s="2"/>
      <c r="R29" s="19"/>
      <c r="S29" s="2"/>
      <c r="T29" s="2">
        <f>--92.26</f>
        <v>92.26</v>
      </c>
      <c r="U29" s="2"/>
      <c r="V29" s="19"/>
      <c r="W29" s="2"/>
      <c r="X29" s="2">
        <f t="shared" si="2"/>
        <v>16.349999999999994</v>
      </c>
      <c r="Y29" s="2"/>
      <c r="Z29" s="19">
        <f t="shared" si="3"/>
        <v>0.17721656189030993</v>
      </c>
    </row>
    <row r="30" spans="1:26" s="24" customFormat="1" hidden="1" outlineLevel="1" x14ac:dyDescent="0.25">
      <c r="A30" s="44"/>
      <c r="B30" s="11" t="str">
        <f>CONCATENATE("          ", "4034", " - ", "TAXABLE SALES-SODA")</f>
        <v xml:space="preserve">          4034 - TAXABLE SALES-SODA</v>
      </c>
      <c r="C30" s="11"/>
      <c r="D30" s="2">
        <f>--1010.01</f>
        <v>1010.01</v>
      </c>
      <c r="E30" s="2"/>
      <c r="F30" s="19"/>
      <c r="G30" s="2"/>
      <c r="H30" s="2">
        <f>--734.85</f>
        <v>734.85</v>
      </c>
      <c r="I30" s="2"/>
      <c r="J30" s="19"/>
      <c r="K30" s="2"/>
      <c r="L30" s="2">
        <f t="shared" si="0"/>
        <v>275.15999999999997</v>
      </c>
      <c r="M30" s="2"/>
      <c r="N30" s="19">
        <f t="shared" si="1"/>
        <v>0.37444376403347618</v>
      </c>
      <c r="O30" s="11"/>
      <c r="P30" s="2">
        <f>--4724.25</f>
        <v>4724.25</v>
      </c>
      <c r="Q30" s="2"/>
      <c r="R30" s="19"/>
      <c r="S30" s="2"/>
      <c r="T30" s="2">
        <f>--3753.31</f>
        <v>3753.31</v>
      </c>
      <c r="U30" s="2"/>
      <c r="V30" s="19"/>
      <c r="W30" s="2"/>
      <c r="X30" s="2">
        <f t="shared" si="2"/>
        <v>970.94</v>
      </c>
      <c r="Y30" s="2"/>
      <c r="Z30" s="19">
        <f t="shared" si="3"/>
        <v>0.25868899717849048</v>
      </c>
    </row>
    <row r="31" spans="1:26" s="24" customFormat="1" hidden="1" outlineLevel="1" x14ac:dyDescent="0.25">
      <c r="A31" s="44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>--269.24</f>
        <v>269.24</v>
      </c>
      <c r="E31" s="2"/>
      <c r="F31" s="19"/>
      <c r="G31" s="2"/>
      <c r="H31" s="2">
        <f>--245.92</f>
        <v>245.92</v>
      </c>
      <c r="I31" s="2"/>
      <c r="J31" s="19"/>
      <c r="K31" s="2"/>
      <c r="L31" s="2">
        <f t="shared" si="0"/>
        <v>23.320000000000022</v>
      </c>
      <c r="M31" s="2"/>
      <c r="N31" s="19">
        <f t="shared" si="1"/>
        <v>9.4827586206896644E-2</v>
      </c>
      <c r="O31" s="11"/>
      <c r="P31" s="2">
        <f>--1133.6</f>
        <v>1133.5999999999999</v>
      </c>
      <c r="Q31" s="2"/>
      <c r="R31" s="19"/>
      <c r="S31" s="2"/>
      <c r="T31" s="2">
        <f>--1389.93</f>
        <v>1389.93</v>
      </c>
      <c r="U31" s="2"/>
      <c r="V31" s="19"/>
      <c r="W31" s="2"/>
      <c r="X31" s="2">
        <f t="shared" si="2"/>
        <v>-256.33000000000015</v>
      </c>
      <c r="Y31" s="2"/>
      <c r="Z31" s="19">
        <f t="shared" si="3"/>
        <v>-0.18441935924830757</v>
      </c>
    </row>
    <row r="32" spans="1:26" s="24" customFormat="1" hidden="1" outlineLevel="1" x14ac:dyDescent="0.25">
      <c r="A32" s="44"/>
      <c r="B32" s="11" t="str">
        <f>CONCATENATE("          ", "4037", " - ", "TAXABLE SALES-WATER")</f>
        <v xml:space="preserve">          4037 - TAXABLE SALES-WATER</v>
      </c>
      <c r="C32" s="11"/>
      <c r="D32" s="2">
        <f>--74.6</f>
        <v>74.599999999999994</v>
      </c>
      <c r="E32" s="2"/>
      <c r="F32" s="19"/>
      <c r="G32" s="2"/>
      <c r="H32" s="2">
        <f>--78.77</f>
        <v>78.77</v>
      </c>
      <c r="I32" s="2"/>
      <c r="J32" s="19"/>
      <c r="K32" s="2"/>
      <c r="L32" s="2">
        <f t="shared" si="0"/>
        <v>-4.1700000000000017</v>
      </c>
      <c r="M32" s="2"/>
      <c r="N32" s="19">
        <f t="shared" si="1"/>
        <v>-5.2938936143201748E-2</v>
      </c>
      <c r="O32" s="11"/>
      <c r="P32" s="2">
        <f>--377.17</f>
        <v>377.17</v>
      </c>
      <c r="Q32" s="2"/>
      <c r="R32" s="19"/>
      <c r="S32" s="2"/>
      <c r="T32" s="2">
        <f>--381.85</f>
        <v>381.85</v>
      </c>
      <c r="U32" s="2"/>
      <c r="V32" s="19"/>
      <c r="W32" s="2"/>
      <c r="X32" s="2">
        <f t="shared" si="2"/>
        <v>-4.6800000000000068</v>
      </c>
      <c r="Y32" s="2"/>
      <c r="Z32" s="19">
        <f t="shared" si="3"/>
        <v>-1.2256121513683401E-2</v>
      </c>
    </row>
    <row r="33" spans="1:26" s="24" customFormat="1" hidden="1" outlineLevel="1" x14ac:dyDescent="0.25">
      <c r="A33" s="44"/>
      <c r="B33" s="11" t="str">
        <f>CONCATENATE("          ", "4040", " - ", "TAXABLE SALES-LOGO CLOTHING")</f>
        <v xml:space="preserve">          4040 - TAXABLE SALES-LOGO CLOTHING</v>
      </c>
      <c r="C33" s="11"/>
      <c r="D33" s="2">
        <f>--249896.49</f>
        <v>249896.49</v>
      </c>
      <c r="E33" s="2"/>
      <c r="F33" s="19"/>
      <c r="G33" s="2"/>
      <c r="H33" s="2">
        <f>--194328.13</f>
        <v>194328.13</v>
      </c>
      <c r="I33" s="2"/>
      <c r="J33" s="19"/>
      <c r="K33" s="2"/>
      <c r="L33" s="2">
        <f t="shared" si="0"/>
        <v>55568.359999999986</v>
      </c>
      <c r="M33" s="2"/>
      <c r="N33" s="19">
        <f t="shared" si="1"/>
        <v>0.28595118987662765</v>
      </c>
      <c r="O33" s="11"/>
      <c r="P33" s="2">
        <f>--1098136.94</f>
        <v>1098136.94</v>
      </c>
      <c r="Q33" s="2"/>
      <c r="R33" s="19"/>
      <c r="S33" s="2"/>
      <c r="T33" s="2">
        <f>--912468.46</f>
        <v>912468.46</v>
      </c>
      <c r="U33" s="2"/>
      <c r="V33" s="19"/>
      <c r="W33" s="2"/>
      <c r="X33" s="2">
        <f t="shared" si="2"/>
        <v>185668.47999999998</v>
      </c>
      <c r="Y33" s="2"/>
      <c r="Z33" s="19">
        <f t="shared" si="3"/>
        <v>0.20347933998726925</v>
      </c>
    </row>
    <row r="34" spans="1:26" s="24" customFormat="1" hidden="1" outlineLevel="1" x14ac:dyDescent="0.25">
      <c r="A34" s="44"/>
      <c r="B34" s="11" t="str">
        <f>CONCATENATE("          ", "4041", " - ", "TAXABLE SALES-LOGO GIFTS")</f>
        <v xml:space="preserve">          4041 - TAXABLE SALES-LOGO GIFTS</v>
      </c>
      <c r="C34" s="11"/>
      <c r="D34" s="2">
        <f>--29333.75</f>
        <v>29333.75</v>
      </c>
      <c r="E34" s="2"/>
      <c r="F34" s="19"/>
      <c r="G34" s="2"/>
      <c r="H34" s="2">
        <f>--30125.18</f>
        <v>30125.18</v>
      </c>
      <c r="I34" s="2"/>
      <c r="J34" s="19"/>
      <c r="K34" s="2"/>
      <c r="L34" s="2">
        <f t="shared" si="0"/>
        <v>-791.43000000000029</v>
      </c>
      <c r="M34" s="2"/>
      <c r="N34" s="19">
        <f t="shared" si="1"/>
        <v>-2.6271378295498991E-2</v>
      </c>
      <c r="O34" s="11"/>
      <c r="P34" s="2">
        <f>--258147.65</f>
        <v>258147.65</v>
      </c>
      <c r="Q34" s="2"/>
      <c r="R34" s="19"/>
      <c r="S34" s="2"/>
      <c r="T34" s="2">
        <f>--267149.71</f>
        <v>267149.71000000002</v>
      </c>
      <c r="U34" s="2"/>
      <c r="V34" s="19"/>
      <c r="W34" s="2"/>
      <c r="X34" s="2">
        <f t="shared" si="2"/>
        <v>-9002.0600000000268</v>
      </c>
      <c r="Y34" s="2"/>
      <c r="Z34" s="19">
        <f t="shared" si="3"/>
        <v>-3.3696686401044666E-2</v>
      </c>
    </row>
    <row r="35" spans="1:26" s="24" customFormat="1" hidden="1" outlineLevel="1" x14ac:dyDescent="0.25">
      <c r="A35" s="44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--30667.82</f>
        <v>30667.82</v>
      </c>
      <c r="E35" s="2"/>
      <c r="F35" s="19"/>
      <c r="G35" s="2"/>
      <c r="H35" s="2">
        <f>--20043.59</f>
        <v>20043.59</v>
      </c>
      <c r="I35" s="2"/>
      <c r="J35" s="19"/>
      <c r="K35" s="2"/>
      <c r="L35" s="2">
        <f t="shared" si="0"/>
        <v>10624.23</v>
      </c>
      <c r="M35" s="2"/>
      <c r="N35" s="19">
        <f t="shared" si="1"/>
        <v>0.53005624241964633</v>
      </c>
      <c r="O35" s="11"/>
      <c r="P35" s="2">
        <f>--154978.19</f>
        <v>154978.19</v>
      </c>
      <c r="Q35" s="2"/>
      <c r="R35" s="19"/>
      <c r="S35" s="2"/>
      <c r="T35" s="2">
        <f>--120570.83</f>
        <v>120570.83</v>
      </c>
      <c r="U35" s="2"/>
      <c r="V35" s="19"/>
      <c r="W35" s="2"/>
      <c r="X35" s="2">
        <f t="shared" si="2"/>
        <v>34407.360000000001</v>
      </c>
      <c r="Y35" s="2"/>
      <c r="Z35" s="19">
        <f t="shared" si="3"/>
        <v>0.28537051623514575</v>
      </c>
    </row>
    <row r="36" spans="1:26" s="24" customFormat="1" hidden="1" outlineLevel="1" x14ac:dyDescent="0.25">
      <c r="A36" s="44"/>
      <c r="B36" s="11" t="str">
        <f>CONCATENATE("          ", "4043", " - ", "TAXABLE SALES-CARDS")</f>
        <v xml:space="preserve">          4043 - TAXABLE SALES-CARDS</v>
      </c>
      <c r="C36" s="11"/>
      <c r="D36" s="2">
        <f>--4302.17</f>
        <v>4302.17</v>
      </c>
      <c r="E36" s="2"/>
      <c r="F36" s="19"/>
      <c r="G36" s="2"/>
      <c r="H36" s="2">
        <f>--235.27</f>
        <v>235.27</v>
      </c>
      <c r="I36" s="2"/>
      <c r="J36" s="19"/>
      <c r="K36" s="2"/>
      <c r="L36" s="2">
        <f t="shared" si="0"/>
        <v>4066.9</v>
      </c>
      <c r="M36" s="2"/>
      <c r="N36" s="19">
        <f t="shared" si="1"/>
        <v>17.286096824924556</v>
      </c>
      <c r="O36" s="11"/>
      <c r="P36" s="2">
        <f>--4823.02</f>
        <v>4823.0200000000004</v>
      </c>
      <c r="Q36" s="2"/>
      <c r="R36" s="19"/>
      <c r="S36" s="2"/>
      <c r="T36" s="2">
        <f>--1633.08</f>
        <v>1633.08</v>
      </c>
      <c r="U36" s="2"/>
      <c r="V36" s="19"/>
      <c r="W36" s="2"/>
      <c r="X36" s="2">
        <f t="shared" si="2"/>
        <v>3189.9400000000005</v>
      </c>
      <c r="Y36" s="2"/>
      <c r="Z36" s="19">
        <f t="shared" si="3"/>
        <v>1.9533274548705517</v>
      </c>
    </row>
    <row r="37" spans="1:26" s="24" customFormat="1" hidden="1" outlineLevel="1" x14ac:dyDescent="0.25">
      <c r="A37" s="44"/>
      <c r="B37" s="11" t="str">
        <f>CONCATENATE("          ", "4044", " - ", "TAXABLE SALES-ACCESSORIES")</f>
        <v xml:space="preserve">          4044 - TAXABLE SALES-ACCESSORIES</v>
      </c>
      <c r="C37" s="11"/>
      <c r="D37" s="2">
        <f>--8230.63</f>
        <v>8230.6299999999992</v>
      </c>
      <c r="E37" s="2"/>
      <c r="F37" s="19"/>
      <c r="G37" s="2"/>
      <c r="H37" s="2">
        <f>--4224.97</f>
        <v>4224.97</v>
      </c>
      <c r="I37" s="2"/>
      <c r="J37" s="19"/>
      <c r="K37" s="2"/>
      <c r="L37" s="2">
        <f t="shared" si="0"/>
        <v>4005.6599999999989</v>
      </c>
      <c r="M37" s="2"/>
      <c r="N37" s="19">
        <f t="shared" si="1"/>
        <v>0.94809193911436029</v>
      </c>
      <c r="O37" s="11"/>
      <c r="P37" s="2">
        <f>--41297.78</f>
        <v>41297.78</v>
      </c>
      <c r="Q37" s="2"/>
      <c r="R37" s="19"/>
      <c r="S37" s="2"/>
      <c r="T37" s="2">
        <f>--39724.95</f>
        <v>39724.949999999997</v>
      </c>
      <c r="U37" s="2"/>
      <c r="V37" s="19"/>
      <c r="W37" s="2"/>
      <c r="X37" s="2">
        <f t="shared" si="2"/>
        <v>1572.8300000000017</v>
      </c>
      <c r="Y37" s="2"/>
      <c r="Z37" s="19">
        <f t="shared" si="3"/>
        <v>3.9593001375709772E-2</v>
      </c>
    </row>
    <row r="38" spans="1:26" s="24" customFormat="1" hidden="1" outlineLevel="1" x14ac:dyDescent="0.25">
      <c r="A38" s="44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--18665.34</f>
        <v>18665.34</v>
      </c>
      <c r="E38" s="2"/>
      <c r="F38" s="19"/>
      <c r="G38" s="2"/>
      <c r="H38" s="2">
        <f>--4968.26</f>
        <v>4968.26</v>
      </c>
      <c r="I38" s="2"/>
      <c r="J38" s="19"/>
      <c r="K38" s="2"/>
      <c r="L38" s="2">
        <f t="shared" si="0"/>
        <v>13697.08</v>
      </c>
      <c r="M38" s="2"/>
      <c r="N38" s="19">
        <f t="shared" si="1"/>
        <v>2.7569169085353824</v>
      </c>
      <c r="O38" s="11"/>
      <c r="P38" s="2">
        <f>--54518.44</f>
        <v>54518.44</v>
      </c>
      <c r="Q38" s="2"/>
      <c r="R38" s="19"/>
      <c r="S38" s="2"/>
      <c r="T38" s="2">
        <f>--63163.72</f>
        <v>63163.72</v>
      </c>
      <c r="U38" s="2"/>
      <c r="V38" s="19"/>
      <c r="W38" s="2"/>
      <c r="X38" s="2">
        <f t="shared" si="2"/>
        <v>-8645.2799999999988</v>
      </c>
      <c r="Y38" s="2"/>
      <c r="Z38" s="19">
        <f t="shared" si="3"/>
        <v>-0.13687097593365302</v>
      </c>
    </row>
    <row r="39" spans="1:26" s="24" customFormat="1" hidden="1" outlineLevel="1" x14ac:dyDescent="0.25">
      <c r="A39" s="44"/>
      <c r="B39" s="11" t="str">
        <f>CONCATENATE("          ", "4047", " - ", "TAXABLE SALES-MISC")</f>
        <v xml:space="preserve">          4047 - TAXABLE SALES-MISC</v>
      </c>
      <c r="C39" s="11"/>
      <c r="D39" s="2">
        <f>--304.55</f>
        <v>304.55</v>
      </c>
      <c r="E39" s="2"/>
      <c r="F39" s="19"/>
      <c r="G39" s="2"/>
      <c r="H39" s="2">
        <f>--427.56</f>
        <v>427.56</v>
      </c>
      <c r="I39" s="2"/>
      <c r="J39" s="19"/>
      <c r="K39" s="2"/>
      <c r="L39" s="2">
        <f t="shared" si="0"/>
        <v>-123.00999999999999</v>
      </c>
      <c r="M39" s="2"/>
      <c r="N39" s="19">
        <f t="shared" si="1"/>
        <v>-0.28770231078679015</v>
      </c>
      <c r="O39" s="11"/>
      <c r="P39" s="2">
        <f>--1678.55</f>
        <v>1678.55</v>
      </c>
      <c r="Q39" s="2"/>
      <c r="R39" s="19"/>
      <c r="S39" s="2"/>
      <c r="T39" s="2">
        <f>--1609.41</f>
        <v>1609.41</v>
      </c>
      <c r="U39" s="2"/>
      <c r="V39" s="19"/>
      <c r="W39" s="2"/>
      <c r="X39" s="2">
        <f t="shared" si="2"/>
        <v>69.139999999999873</v>
      </c>
      <c r="Y39" s="2"/>
      <c r="Z39" s="19">
        <f t="shared" si="3"/>
        <v>4.2959842426727728E-2</v>
      </c>
    </row>
    <row r="40" spans="1:26" s="24" customFormat="1" hidden="1" outlineLevel="1" x14ac:dyDescent="0.25">
      <c r="A40" s="44"/>
      <c r="B40" s="11" t="str">
        <f>CONCATENATE("          ", "4081", " - ", "TAXABLE SALES-ELECTRONICS")</f>
        <v xml:space="preserve">          4081 - TAXABLE SALES-ELECTRONICS</v>
      </c>
      <c r="C40" s="11"/>
      <c r="D40" s="2">
        <f>--430.76</f>
        <v>430.76</v>
      </c>
      <c r="E40" s="2"/>
      <c r="F40" s="19"/>
      <c r="G40" s="2"/>
      <c r="H40" s="2">
        <f>--382.68</f>
        <v>382.68</v>
      </c>
      <c r="I40" s="2"/>
      <c r="J40" s="19"/>
      <c r="K40" s="2"/>
      <c r="L40" s="2">
        <f t="shared" si="0"/>
        <v>48.079999999999984</v>
      </c>
      <c r="M40" s="2"/>
      <c r="N40" s="19">
        <f t="shared" si="1"/>
        <v>0.12564022159506633</v>
      </c>
      <c r="O40" s="11"/>
      <c r="P40" s="2">
        <f>--2223.67</f>
        <v>2223.67</v>
      </c>
      <c r="Q40" s="2"/>
      <c r="R40" s="19"/>
      <c r="S40" s="2"/>
      <c r="T40" s="2">
        <f>--2582.14</f>
        <v>2582.14</v>
      </c>
      <c r="U40" s="2"/>
      <c r="V40" s="19"/>
      <c r="W40" s="2"/>
      <c r="X40" s="2">
        <f t="shared" si="2"/>
        <v>-358.4699999999998</v>
      </c>
      <c r="Y40" s="2"/>
      <c r="Z40" s="19">
        <f t="shared" si="3"/>
        <v>-0.13882670962844765</v>
      </c>
    </row>
    <row r="41" spans="1:26" s="24" customFormat="1" hidden="1" outlineLevel="1" x14ac:dyDescent="0.25">
      <c r="A41" s="44"/>
      <c r="B41" s="11" t="str">
        <f>CONCATENATE("          ", "4082", " - ", "TAXABLE SALES-COMPUTER HARDWAR")</f>
        <v xml:space="preserve">          4082 - TAXABLE SALES-COMPUTER HARDWAR</v>
      </c>
      <c r="C41" s="11"/>
      <c r="D41" s="2">
        <f>0</f>
        <v>0</v>
      </c>
      <c r="E41" s="2"/>
      <c r="F41" s="19"/>
      <c r="G41" s="2"/>
      <c r="H41" s="2">
        <f>--58</f>
        <v>58</v>
      </c>
      <c r="I41" s="2"/>
      <c r="J41" s="19"/>
      <c r="K41" s="2"/>
      <c r="L41" s="2">
        <f t="shared" si="0"/>
        <v>-58</v>
      </c>
      <c r="M41" s="2"/>
      <c r="N41" s="19">
        <f t="shared" si="1"/>
        <v>-1</v>
      </c>
      <c r="O41" s="11"/>
      <c r="P41" s="2">
        <f>--162</f>
        <v>162</v>
      </c>
      <c r="Q41" s="2"/>
      <c r="R41" s="19"/>
      <c r="S41" s="2"/>
      <c r="T41" s="2">
        <f>--366</f>
        <v>366</v>
      </c>
      <c r="U41" s="2"/>
      <c r="V41" s="19"/>
      <c r="W41" s="2"/>
      <c r="X41" s="2">
        <f t="shared" si="2"/>
        <v>-204</v>
      </c>
      <c r="Y41" s="2"/>
      <c r="Z41" s="19">
        <f t="shared" si="3"/>
        <v>-0.55737704918032782</v>
      </c>
    </row>
    <row r="42" spans="1:26" s="24" customFormat="1" hidden="1" outlineLevel="1" x14ac:dyDescent="0.25">
      <c r="A42" s="44"/>
      <c r="B42" s="11" t="str">
        <f>CONCATENATE("          ", "4083", " - ", "TAXABLE SALES-COMPUTER EQUIPME")</f>
        <v xml:space="preserve">          4083 - TAXABLE SALES-COMPUTER EQUIPME</v>
      </c>
      <c r="C42" s="11"/>
      <c r="D42" s="2">
        <f>--139.91</f>
        <v>139.91</v>
      </c>
      <c r="E42" s="2"/>
      <c r="F42" s="19"/>
      <c r="G42" s="2"/>
      <c r="H42" s="2">
        <f>--49.95</f>
        <v>49.95</v>
      </c>
      <c r="I42" s="2"/>
      <c r="J42" s="19"/>
      <c r="K42" s="2"/>
      <c r="L42" s="2">
        <f t="shared" si="0"/>
        <v>89.96</v>
      </c>
      <c r="M42" s="2"/>
      <c r="N42" s="19">
        <f t="shared" si="1"/>
        <v>1.8010010010010007</v>
      </c>
      <c r="O42" s="11"/>
      <c r="P42" s="2">
        <f>--569.6</f>
        <v>569.6</v>
      </c>
      <c r="Q42" s="2"/>
      <c r="R42" s="19"/>
      <c r="S42" s="2"/>
      <c r="T42" s="2">
        <f>--689.44</f>
        <v>689.44</v>
      </c>
      <c r="U42" s="2"/>
      <c r="V42" s="19"/>
      <c r="W42" s="2"/>
      <c r="X42" s="2">
        <f t="shared" si="2"/>
        <v>-119.84000000000003</v>
      </c>
      <c r="Y42" s="2"/>
      <c r="Z42" s="19">
        <f t="shared" si="3"/>
        <v>-0.17382223253655144</v>
      </c>
    </row>
    <row r="43" spans="1:26" s="24" customFormat="1" hidden="1" outlineLevel="1" x14ac:dyDescent="0.25">
      <c r="A43" s="44"/>
      <c r="B43" s="11" t="str">
        <f>CONCATENATE("          ", "4086", " - ", "TAXABLE SALES-COMPUTER SUPPLIE")</f>
        <v xml:space="preserve">          4086 - TAXABLE SALES-COMPUTER SUPPLIE</v>
      </c>
      <c r="C43" s="11"/>
      <c r="D43" s="2">
        <f>--105</f>
        <v>105</v>
      </c>
      <c r="E43" s="2"/>
      <c r="F43" s="19"/>
      <c r="G43" s="2"/>
      <c r="H43" s="2">
        <f>--124.91</f>
        <v>124.91</v>
      </c>
      <c r="I43" s="2"/>
      <c r="J43" s="19"/>
      <c r="K43" s="2"/>
      <c r="L43" s="2">
        <f t="shared" si="0"/>
        <v>-19.909999999999997</v>
      </c>
      <c r="M43" s="2"/>
      <c r="N43" s="19">
        <f t="shared" si="1"/>
        <v>-0.15939476423024576</v>
      </c>
      <c r="O43" s="11"/>
      <c r="P43" s="2">
        <f>--639.79</f>
        <v>639.79</v>
      </c>
      <c r="Q43" s="2"/>
      <c r="R43" s="19"/>
      <c r="S43" s="2"/>
      <c r="T43" s="2">
        <f>--1095.4</f>
        <v>1095.4000000000001</v>
      </c>
      <c r="U43" s="2"/>
      <c r="V43" s="19"/>
      <c r="W43" s="2"/>
      <c r="X43" s="2">
        <f t="shared" si="2"/>
        <v>-455.61000000000013</v>
      </c>
      <c r="Y43" s="2"/>
      <c r="Z43" s="19">
        <f t="shared" si="3"/>
        <v>-0.41593025378857046</v>
      </c>
    </row>
    <row r="44" spans="1:26" s="24" customFormat="1" hidden="1" outlineLevel="1" x14ac:dyDescent="0.25">
      <c r="A44" s="44"/>
      <c r="B44" s="11" t="str">
        <f>CONCATENATE("          ", "4092", " - ", "TAXABLE SALES-GRAD MERCH")</f>
        <v xml:space="preserve">          4092 - TAXABLE SALES-GRAD MERCH</v>
      </c>
      <c r="C44" s="11"/>
      <c r="D44" s="2">
        <f>--2389.54</f>
        <v>2389.54</v>
      </c>
      <c r="E44" s="2"/>
      <c r="F44" s="19"/>
      <c r="G44" s="2"/>
      <c r="H44" s="2">
        <f>--2259.21</f>
        <v>2259.21</v>
      </c>
      <c r="I44" s="2"/>
      <c r="J44" s="19"/>
      <c r="K44" s="2"/>
      <c r="L44" s="2">
        <f t="shared" si="0"/>
        <v>130.32999999999993</v>
      </c>
      <c r="M44" s="2"/>
      <c r="N44" s="19">
        <f t="shared" si="1"/>
        <v>5.768830697456187E-2</v>
      </c>
      <c r="O44" s="11"/>
      <c r="P44" s="2">
        <f>--7440.62</f>
        <v>7440.62</v>
      </c>
      <c r="Q44" s="2"/>
      <c r="R44" s="19"/>
      <c r="S44" s="2"/>
      <c r="T44" s="2">
        <f>--6626.46</f>
        <v>6626.46</v>
      </c>
      <c r="U44" s="2"/>
      <c r="V44" s="19"/>
      <c r="W44" s="2"/>
      <c r="X44" s="2">
        <f t="shared" si="2"/>
        <v>814.15999999999985</v>
      </c>
      <c r="Y44" s="2"/>
      <c r="Z44" s="19">
        <f t="shared" si="3"/>
        <v>0.12286499880780988</v>
      </c>
    </row>
    <row r="45" spans="1:26" s="24" customFormat="1" hidden="1" outlineLevel="1" x14ac:dyDescent="0.25">
      <c r="A45" s="44"/>
      <c r="B45" s="11" t="str">
        <f>CONCATENATE("          ", "4095", " - ", "TAXABLE SALES-CUSTOMER SERVICE")</f>
        <v xml:space="preserve">          4095 - TAXABLE SALES-CUSTOMER SERVICE</v>
      </c>
      <c r="C45" s="11"/>
      <c r="D45" s="2">
        <f>--31.83</f>
        <v>31.83</v>
      </c>
      <c r="E45" s="2"/>
      <c r="F45" s="19"/>
      <c r="G45" s="2"/>
      <c r="H45" s="2">
        <f>--138.7</f>
        <v>138.69999999999999</v>
      </c>
      <c r="I45" s="2"/>
      <c r="J45" s="19"/>
      <c r="K45" s="2"/>
      <c r="L45" s="2">
        <f t="shared" si="0"/>
        <v>-106.86999999999999</v>
      </c>
      <c r="M45" s="2"/>
      <c r="N45" s="19">
        <f t="shared" si="1"/>
        <v>-0.77051189617880311</v>
      </c>
      <c r="O45" s="11"/>
      <c r="P45" s="2">
        <f>--276.44</f>
        <v>276.44</v>
      </c>
      <c r="Q45" s="2"/>
      <c r="R45" s="19"/>
      <c r="S45" s="2"/>
      <c r="T45" s="2">
        <f>--1237.64</f>
        <v>1237.6400000000001</v>
      </c>
      <c r="U45" s="2"/>
      <c r="V45" s="19"/>
      <c r="W45" s="2"/>
      <c r="X45" s="2">
        <f t="shared" si="2"/>
        <v>-961.2</v>
      </c>
      <c r="Y45" s="2"/>
      <c r="Z45" s="19">
        <f t="shared" si="3"/>
        <v>-0.77663941049093432</v>
      </c>
    </row>
    <row r="46" spans="1:26" s="24" customFormat="1" hidden="1" outlineLevel="1" x14ac:dyDescent="0.25">
      <c r="A46" s="44"/>
      <c r="B46" s="11" t="str">
        <f>CONCATENATE("          ", "4100", " - ", "NON-TAXABLE SALES")</f>
        <v xml:space="preserve">          4100 - NON-TAXABLE SALES</v>
      </c>
      <c r="C46" s="11"/>
      <c r="D46" s="2">
        <f>--458.89</f>
        <v>458.89</v>
      </c>
      <c r="E46" s="2"/>
      <c r="F46" s="19"/>
      <c r="G46" s="2"/>
      <c r="H46" s="2">
        <f>--429.98</f>
        <v>429.98</v>
      </c>
      <c r="I46" s="2"/>
      <c r="J46" s="19"/>
      <c r="K46" s="2"/>
      <c r="L46" s="2">
        <f t="shared" si="0"/>
        <v>28.909999999999968</v>
      </c>
      <c r="M46" s="2"/>
      <c r="N46" s="19">
        <f t="shared" si="1"/>
        <v>6.723568538071531E-2</v>
      </c>
      <c r="O46" s="11"/>
      <c r="P46" s="2">
        <f>--335840.56</f>
        <v>335840.56</v>
      </c>
      <c r="Q46" s="2"/>
      <c r="R46" s="19"/>
      <c r="S46" s="2"/>
      <c r="T46" s="2">
        <f>--390740.27</f>
        <v>390740.27</v>
      </c>
      <c r="U46" s="2"/>
      <c r="V46" s="19"/>
      <c r="W46" s="2"/>
      <c r="X46" s="2">
        <f t="shared" si="2"/>
        <v>-54899.710000000021</v>
      </c>
      <c r="Y46" s="2"/>
      <c r="Z46" s="19">
        <f t="shared" si="3"/>
        <v>-0.14050179675619309</v>
      </c>
    </row>
    <row r="47" spans="1:26" s="24" customFormat="1" hidden="1" outlineLevel="1" x14ac:dyDescent="0.25">
      <c r="A47" s="44"/>
      <c r="B47" s="11" t="str">
        <f>CONCATENATE("          ", "4101", " - ", "NON-TAXABLE SALES-NEW TEXT")</f>
        <v xml:space="preserve">          4101 - NON-TAXABLE SALES-NEW TEXT</v>
      </c>
      <c r="C47" s="11"/>
      <c r="D47" s="2">
        <f>--349.66</f>
        <v>349.66</v>
      </c>
      <c r="E47" s="2"/>
      <c r="F47" s="19"/>
      <c r="G47" s="2"/>
      <c r="H47" s="2">
        <f>--643.05</f>
        <v>643.04999999999995</v>
      </c>
      <c r="I47" s="2"/>
      <c r="J47" s="19"/>
      <c r="K47" s="2"/>
      <c r="L47" s="2">
        <f t="shared" si="0"/>
        <v>-293.38999999999993</v>
      </c>
      <c r="M47" s="2"/>
      <c r="N47" s="19">
        <f t="shared" si="1"/>
        <v>-0.45624757017339235</v>
      </c>
      <c r="O47" s="11"/>
      <c r="P47" s="2">
        <f>--92680.75</f>
        <v>92680.75</v>
      </c>
      <c r="Q47" s="2"/>
      <c r="R47" s="19"/>
      <c r="S47" s="2"/>
      <c r="T47" s="2">
        <f>--148652.33</f>
        <v>148652.32999999999</v>
      </c>
      <c r="U47" s="2"/>
      <c r="V47" s="19"/>
      <c r="W47" s="2"/>
      <c r="X47" s="2">
        <f t="shared" si="2"/>
        <v>-55971.579999999987</v>
      </c>
      <c r="Y47" s="2"/>
      <c r="Z47" s="19">
        <f t="shared" si="3"/>
        <v>-0.37652675878003389</v>
      </c>
    </row>
    <row r="48" spans="1:26" s="24" customFormat="1" hidden="1" outlineLevel="1" x14ac:dyDescent="0.25">
      <c r="A48" s="44"/>
      <c r="B48" s="11" t="str">
        <f>CONCATENATE("          ", "4102", " - ", "NON-TAXABLE SALES-USED TEXT")</f>
        <v xml:space="preserve">          4102 - NON-TAXABLE SALES-USED TEXT</v>
      </c>
      <c r="C48" s="11"/>
      <c r="D48" s="2">
        <f>--584.52</f>
        <v>584.52</v>
      </c>
      <c r="E48" s="2"/>
      <c r="F48" s="19"/>
      <c r="G48" s="2"/>
      <c r="H48" s="2">
        <f>--365.45</f>
        <v>365.45</v>
      </c>
      <c r="I48" s="2"/>
      <c r="J48" s="19"/>
      <c r="K48" s="2"/>
      <c r="L48" s="2">
        <f t="shared" si="0"/>
        <v>219.07</v>
      </c>
      <c r="M48" s="2"/>
      <c r="N48" s="19">
        <f t="shared" si="1"/>
        <v>0.59945272951156114</v>
      </c>
      <c r="O48" s="11"/>
      <c r="P48" s="2">
        <f>--37606.84</f>
        <v>37606.839999999997</v>
      </c>
      <c r="Q48" s="2"/>
      <c r="R48" s="19"/>
      <c r="S48" s="2"/>
      <c r="T48" s="2">
        <f>--50860.62</f>
        <v>50860.62</v>
      </c>
      <c r="U48" s="2"/>
      <c r="V48" s="19"/>
      <c r="W48" s="2"/>
      <c r="X48" s="2">
        <f t="shared" si="2"/>
        <v>-13253.780000000006</v>
      </c>
      <c r="Y48" s="2"/>
      <c r="Z48" s="19">
        <f t="shared" si="3"/>
        <v>-0.2605902169497738</v>
      </c>
    </row>
    <row r="49" spans="1:26" s="24" customFormat="1" hidden="1" outlineLevel="1" x14ac:dyDescent="0.25">
      <c r="A49" s="44"/>
      <c r="B49" s="11" t="str">
        <f>CONCATENATE("          ", "4103", " - ", "NON-TAXABLE SALES-RENTAL TEXT")</f>
        <v xml:space="preserve">          4103 - NON-TAXABLE SALES-RENTAL TEXT</v>
      </c>
      <c r="C49" s="11"/>
      <c r="D49" s="2">
        <f>0</f>
        <v>0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--329.98</f>
        <v>329.98</v>
      </c>
      <c r="Q49" s="2"/>
      <c r="R49" s="19"/>
      <c r="S49" s="2"/>
      <c r="T49" s="2">
        <f>--509.85</f>
        <v>509.85</v>
      </c>
      <c r="U49" s="2"/>
      <c r="V49" s="19"/>
      <c r="W49" s="2"/>
      <c r="X49" s="2">
        <f t="shared" si="2"/>
        <v>-179.87</v>
      </c>
      <c r="Y49" s="2"/>
      <c r="Z49" s="19">
        <f t="shared" si="3"/>
        <v>-0.35279003628518191</v>
      </c>
    </row>
    <row r="50" spans="1:26" s="24" customFormat="1" hidden="1" outlineLevel="1" x14ac:dyDescent="0.25">
      <c r="A50" s="44"/>
      <c r="B50" s="11" t="str">
        <f>CONCATENATE("          ", "4104", " - ", "NON-TAXABLE SALES-DIGITAL TEXT")</f>
        <v xml:space="preserve">          4104 - NON-TAXABLE SALES-DIGITAL TEXT</v>
      </c>
      <c r="C50" s="11"/>
      <c r="D50" s="2">
        <f>--206.24</f>
        <v>206.24</v>
      </c>
      <c r="E50" s="2"/>
      <c r="F50" s="19"/>
      <c r="G50" s="2"/>
      <c r="H50" s="2">
        <f>--397.48</f>
        <v>397.48</v>
      </c>
      <c r="I50" s="2"/>
      <c r="J50" s="19"/>
      <c r="K50" s="2"/>
      <c r="L50" s="2">
        <f t="shared" si="0"/>
        <v>-191.24</v>
      </c>
      <c r="M50" s="2"/>
      <c r="N50" s="19">
        <f t="shared" si="1"/>
        <v>-0.48113112609439468</v>
      </c>
      <c r="O50" s="11"/>
      <c r="P50" s="2">
        <f>--320699.09</f>
        <v>320699.09000000003</v>
      </c>
      <c r="Q50" s="2"/>
      <c r="R50" s="19"/>
      <c r="S50" s="2"/>
      <c r="T50" s="2">
        <f>--337723.61</f>
        <v>337723.61</v>
      </c>
      <c r="U50" s="2"/>
      <c r="V50" s="19"/>
      <c r="W50" s="2"/>
      <c r="X50" s="2">
        <f t="shared" si="2"/>
        <v>-17024.51999999996</v>
      </c>
      <c r="Y50" s="2"/>
      <c r="Z50" s="19">
        <f t="shared" si="3"/>
        <v>-5.0409623419576624E-2</v>
      </c>
    </row>
    <row r="51" spans="1:26" s="24" customFormat="1" hidden="1" outlineLevel="1" x14ac:dyDescent="0.25">
      <c r="A51" s="44"/>
      <c r="B51" s="11" t="str">
        <f>CONCATENATE("          ", "4111", " - ", "NON-TAXABLE SALES-NO VALUE TEX")</f>
        <v xml:space="preserve">          4111 - NON-TAXABLE SALES-NO VALUE TEX</v>
      </c>
      <c r="C51" s="11"/>
      <c r="D51" s="2">
        <f>--492.72</f>
        <v>492.72</v>
      </c>
      <c r="E51" s="2"/>
      <c r="F51" s="19"/>
      <c r="G51" s="2"/>
      <c r="H51" s="2">
        <f>--204.07</f>
        <v>204.07</v>
      </c>
      <c r="I51" s="2"/>
      <c r="J51" s="19"/>
      <c r="K51" s="2"/>
      <c r="L51" s="2">
        <f t="shared" si="0"/>
        <v>288.65000000000003</v>
      </c>
      <c r="M51" s="2"/>
      <c r="N51" s="19">
        <f t="shared" si="1"/>
        <v>1.4144656245405991</v>
      </c>
      <c r="O51" s="11"/>
      <c r="P51" s="2">
        <f>--7592.19</f>
        <v>7592.19</v>
      </c>
      <c r="Q51" s="2"/>
      <c r="R51" s="19"/>
      <c r="S51" s="2"/>
      <c r="T51" s="2">
        <f>--9917.98</f>
        <v>9917.98</v>
      </c>
      <c r="U51" s="2"/>
      <c r="V51" s="19"/>
      <c r="W51" s="2"/>
      <c r="X51" s="2">
        <f t="shared" si="2"/>
        <v>-2325.79</v>
      </c>
      <c r="Y51" s="2"/>
      <c r="Z51" s="19">
        <f t="shared" si="3"/>
        <v>-0.23450238859122524</v>
      </c>
    </row>
    <row r="52" spans="1:26" s="24" customFormat="1" hidden="1" outlineLevel="1" x14ac:dyDescent="0.25">
      <c r="A52" s="44"/>
      <c r="B52" s="11" t="str">
        <f>CONCATENATE("          ", "4113", " - ", "NON-TAXABLE SALES-TRADE BOOKS")</f>
        <v xml:space="preserve">          4113 - NON-TAXABLE SALES-TRADE BOOKS</v>
      </c>
      <c r="C52" s="11"/>
      <c r="D52" s="2">
        <f>0</f>
        <v>0</v>
      </c>
      <c r="E52" s="2"/>
      <c r="F52" s="19"/>
      <c r="G52" s="2"/>
      <c r="H52" s="2">
        <f>0</f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--1146.72</f>
        <v>1146.72</v>
      </c>
      <c r="Q52" s="2"/>
      <c r="R52" s="19"/>
      <c r="S52" s="2"/>
      <c r="T52" s="2">
        <f>--38.23</f>
        <v>38.229999999999997</v>
      </c>
      <c r="U52" s="2"/>
      <c r="V52" s="19"/>
      <c r="W52" s="2"/>
      <c r="X52" s="2">
        <f t="shared" si="2"/>
        <v>1108.49</v>
      </c>
      <c r="Y52" s="2"/>
      <c r="Z52" s="19">
        <f t="shared" si="3"/>
        <v>28.995291655767723</v>
      </c>
    </row>
    <row r="53" spans="1:26" s="24" customFormat="1" hidden="1" outlineLevel="1" x14ac:dyDescent="0.25">
      <c r="A53" s="44"/>
      <c r="B53" s="11" t="str">
        <f>CONCATENATE("          ", "4118", " - ", "NON-TAXABLE SALES-STUDY GUIDES")</f>
        <v xml:space="preserve">          4118 - NON-TAXABLE SALES-STUDY GUIDES</v>
      </c>
      <c r="C53" s="11"/>
      <c r="D53" s="2">
        <f>--14.04</f>
        <v>14.04</v>
      </c>
      <c r="E53" s="2"/>
      <c r="F53" s="19"/>
      <c r="G53" s="2"/>
      <c r="H53" s="2">
        <f>--10.34</f>
        <v>10.34</v>
      </c>
      <c r="I53" s="2"/>
      <c r="J53" s="19"/>
      <c r="K53" s="2"/>
      <c r="L53" s="2">
        <f t="shared" si="0"/>
        <v>3.6999999999999993</v>
      </c>
      <c r="M53" s="2"/>
      <c r="N53" s="19">
        <f t="shared" si="1"/>
        <v>0.35783365570599607</v>
      </c>
      <c r="O53" s="11"/>
      <c r="P53" s="2">
        <f>--34.96</f>
        <v>34.96</v>
      </c>
      <c r="Q53" s="2"/>
      <c r="R53" s="19"/>
      <c r="S53" s="2"/>
      <c r="T53" s="2">
        <f>--121.75</f>
        <v>121.75</v>
      </c>
      <c r="U53" s="2"/>
      <c r="V53" s="19"/>
      <c r="W53" s="2"/>
      <c r="X53" s="2">
        <f t="shared" si="2"/>
        <v>-86.789999999999992</v>
      </c>
      <c r="Y53" s="2"/>
      <c r="Z53" s="19">
        <f t="shared" si="3"/>
        <v>-0.7128542094455852</v>
      </c>
    </row>
    <row r="54" spans="1:26" s="24" customFormat="1" hidden="1" outlineLevel="1" x14ac:dyDescent="0.25">
      <c r="A54" s="44"/>
      <c r="B54" s="11" t="str">
        <f>CONCATENATE("          ", "4125", " - ", "NON-TAXABLE SALES-TEST FORMS")</f>
        <v xml:space="preserve">          4125 - NON-TAXABLE SALES-TEST FORMS</v>
      </c>
      <c r="C54" s="11"/>
      <c r="D54" s="2">
        <f>0</f>
        <v>0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--124.18</f>
        <v>124.18</v>
      </c>
      <c r="Q54" s="2"/>
      <c r="R54" s="19"/>
      <c r="S54" s="2"/>
      <c r="T54" s="2">
        <f>--160.73</f>
        <v>160.72999999999999</v>
      </c>
      <c r="U54" s="2"/>
      <c r="V54" s="19"/>
      <c r="W54" s="2"/>
      <c r="X54" s="2">
        <f t="shared" si="2"/>
        <v>-36.549999999999983</v>
      </c>
      <c r="Y54" s="2"/>
      <c r="Z54" s="19">
        <f t="shared" si="3"/>
        <v>-0.22739998755677213</v>
      </c>
    </row>
    <row r="55" spans="1:26" s="24" customFormat="1" hidden="1" outlineLevel="1" x14ac:dyDescent="0.25">
      <c r="A55" s="44"/>
      <c r="B55" s="11" t="str">
        <f>CONCATENATE("          ", "4126", " - ", "NON-TAXABLE SALES-WRITING INST")</f>
        <v xml:space="preserve">          4126 - NON-TAXABLE SALES-WRITING INST</v>
      </c>
      <c r="C55" s="11"/>
      <c r="D55" s="2">
        <f>--11.85</f>
        <v>11.85</v>
      </c>
      <c r="E55" s="2"/>
      <c r="F55" s="19"/>
      <c r="G55" s="2"/>
      <c r="H55" s="2">
        <f>--20.81</f>
        <v>20.81</v>
      </c>
      <c r="I55" s="2"/>
      <c r="J55" s="19"/>
      <c r="K55" s="2"/>
      <c r="L55" s="2">
        <f t="shared" si="0"/>
        <v>-8.9599999999999991</v>
      </c>
      <c r="M55" s="2"/>
      <c r="N55" s="19">
        <f t="shared" si="1"/>
        <v>-0.43056222969726093</v>
      </c>
      <c r="O55" s="11"/>
      <c r="P55" s="2">
        <f>--1470.38</f>
        <v>1470.38</v>
      </c>
      <c r="Q55" s="2"/>
      <c r="R55" s="19"/>
      <c r="S55" s="2"/>
      <c r="T55" s="2">
        <f>--1812.69</f>
        <v>1812.69</v>
      </c>
      <c r="U55" s="2"/>
      <c r="V55" s="19"/>
      <c r="W55" s="2"/>
      <c r="X55" s="2">
        <f t="shared" si="2"/>
        <v>-342.30999999999995</v>
      </c>
      <c r="Y55" s="2"/>
      <c r="Z55" s="19">
        <f t="shared" si="3"/>
        <v>-0.18884089392008557</v>
      </c>
    </row>
    <row r="56" spans="1:26" s="24" customFormat="1" hidden="1" outlineLevel="1" x14ac:dyDescent="0.25">
      <c r="A56" s="44"/>
      <c r="B56" s="11" t="str">
        <f>CONCATENATE("          ", "4127", " - ", "NON-TAXABLE SALES-SCHOOL SUPPL")</f>
        <v xml:space="preserve">          4127 - NON-TAXABLE SALES-SCHOOL SUPPL</v>
      </c>
      <c r="C56" s="11"/>
      <c r="D56" s="2">
        <f>--6.28</f>
        <v>6.28</v>
      </c>
      <c r="E56" s="2"/>
      <c r="F56" s="19"/>
      <c r="G56" s="2"/>
      <c r="H56" s="2">
        <f>--2449.78</f>
        <v>2449.7800000000002</v>
      </c>
      <c r="I56" s="2"/>
      <c r="J56" s="19"/>
      <c r="K56" s="2"/>
      <c r="L56" s="2">
        <f t="shared" si="0"/>
        <v>-2443.5</v>
      </c>
      <c r="M56" s="2"/>
      <c r="N56" s="19">
        <f t="shared" si="1"/>
        <v>-0.99743650450244503</v>
      </c>
      <c r="O56" s="11"/>
      <c r="P56" s="2">
        <f>--2603.4</f>
        <v>2603.4</v>
      </c>
      <c r="Q56" s="2"/>
      <c r="R56" s="19"/>
      <c r="S56" s="2"/>
      <c r="T56" s="2">
        <f>--8725.3</f>
        <v>8725.2999999999993</v>
      </c>
      <c r="U56" s="2"/>
      <c r="V56" s="19"/>
      <c r="W56" s="2"/>
      <c r="X56" s="2">
        <f t="shared" si="2"/>
        <v>-6121.9</v>
      </c>
      <c r="Y56" s="2"/>
      <c r="Z56" s="19">
        <f t="shared" si="3"/>
        <v>-0.70162630511271817</v>
      </c>
    </row>
    <row r="57" spans="1:26" s="24" customFormat="1" hidden="1" outlineLevel="1" x14ac:dyDescent="0.25">
      <c r="A57" s="44"/>
      <c r="B57" s="11" t="str">
        <f>CONCATENATE("          ", "4128", " - ", "NON-TAXABLE SALES-ART/TECH")</f>
        <v xml:space="preserve">          4128 - NON-TAXABLE SALES-ART/TECH</v>
      </c>
      <c r="C57" s="11"/>
      <c r="D57" s="2">
        <f>0</f>
        <v>0</v>
      </c>
      <c r="E57" s="2"/>
      <c r="F57" s="19"/>
      <c r="G57" s="2"/>
      <c r="H57" s="2">
        <f>--1.49</f>
        <v>1.49</v>
      </c>
      <c r="I57" s="2"/>
      <c r="J57" s="19"/>
      <c r="K57" s="2"/>
      <c r="L57" s="2">
        <f t="shared" si="0"/>
        <v>-1.49</v>
      </c>
      <c r="M57" s="2"/>
      <c r="N57" s="19">
        <f t="shared" si="1"/>
        <v>-1</v>
      </c>
      <c r="O57" s="11"/>
      <c r="P57" s="2">
        <f>--348.72</f>
        <v>348.72</v>
      </c>
      <c r="Q57" s="2"/>
      <c r="R57" s="19"/>
      <c r="S57" s="2"/>
      <c r="T57" s="2">
        <f>--625.7</f>
        <v>625.70000000000005</v>
      </c>
      <c r="U57" s="2"/>
      <c r="V57" s="19"/>
      <c r="W57" s="2"/>
      <c r="X57" s="2">
        <f t="shared" si="2"/>
        <v>-276.98</v>
      </c>
      <c r="Y57" s="2"/>
      <c r="Z57" s="19">
        <f t="shared" si="3"/>
        <v>-0.44267220712801664</v>
      </c>
    </row>
    <row r="58" spans="1:26" s="24" customFormat="1" hidden="1" outlineLevel="1" x14ac:dyDescent="0.25">
      <c r="A58" s="44"/>
      <c r="B58" s="11" t="str">
        <f>CONCATENATE("          ", "4131", " - ", "NON-TAXABLE SALES-FOOD")</f>
        <v xml:space="preserve">          4131 - NON-TAXABLE SALES-FOOD</v>
      </c>
      <c r="C58" s="11"/>
      <c r="D58" s="2">
        <f>--8305.09</f>
        <v>8305.09</v>
      </c>
      <c r="E58" s="2"/>
      <c r="F58" s="19"/>
      <c r="G58" s="2"/>
      <c r="H58" s="2">
        <f>--6730.02</f>
        <v>6730.02</v>
      </c>
      <c r="I58" s="2"/>
      <c r="J58" s="19"/>
      <c r="K58" s="2"/>
      <c r="L58" s="2">
        <f t="shared" si="0"/>
        <v>1575.0699999999997</v>
      </c>
      <c r="M58" s="2"/>
      <c r="N58" s="19">
        <f t="shared" si="1"/>
        <v>0.23403645160044095</v>
      </c>
      <c r="O58" s="11"/>
      <c r="P58" s="2">
        <f>--35027.51</f>
        <v>35027.51</v>
      </c>
      <c r="Q58" s="2"/>
      <c r="R58" s="19"/>
      <c r="S58" s="2"/>
      <c r="T58" s="2">
        <f>--33524.19</f>
        <v>33524.19</v>
      </c>
      <c r="U58" s="2"/>
      <c r="V58" s="19"/>
      <c r="W58" s="2"/>
      <c r="X58" s="2">
        <f t="shared" si="2"/>
        <v>1503.3199999999997</v>
      </c>
      <c r="Y58" s="2"/>
      <c r="Z58" s="19">
        <f t="shared" si="3"/>
        <v>4.4842843331934334E-2</v>
      </c>
    </row>
    <row r="59" spans="1:26" s="24" customFormat="1" hidden="1" outlineLevel="1" x14ac:dyDescent="0.25">
      <c r="A59" s="44"/>
      <c r="B59" s="11" t="str">
        <f>CONCATENATE("          ", "4132", " - ", "NON-TAXABLE SALES-JUICE")</f>
        <v xml:space="preserve">          4132 - NON-TAXABLE SALES-JUICE</v>
      </c>
      <c r="C59" s="11"/>
      <c r="D59" s="2">
        <f>--2505.59</f>
        <v>2505.59</v>
      </c>
      <c r="E59" s="2"/>
      <c r="F59" s="19"/>
      <c r="G59" s="2"/>
      <c r="H59" s="2">
        <f>--1795.11</f>
        <v>1795.11</v>
      </c>
      <c r="I59" s="2"/>
      <c r="J59" s="19"/>
      <c r="K59" s="2"/>
      <c r="L59" s="2">
        <f t="shared" si="0"/>
        <v>710.48000000000025</v>
      </c>
      <c r="M59" s="2"/>
      <c r="N59" s="19">
        <f t="shared" si="1"/>
        <v>0.39578633064269059</v>
      </c>
      <c r="O59" s="11"/>
      <c r="P59" s="2">
        <f>--10274.39</f>
        <v>10274.39</v>
      </c>
      <c r="Q59" s="2"/>
      <c r="R59" s="19"/>
      <c r="S59" s="2"/>
      <c r="T59" s="2">
        <f>--8636.19</f>
        <v>8636.19</v>
      </c>
      <c r="U59" s="2"/>
      <c r="V59" s="19"/>
      <c r="W59" s="2"/>
      <c r="X59" s="2">
        <f t="shared" si="2"/>
        <v>1638.1999999999989</v>
      </c>
      <c r="Y59" s="2"/>
      <c r="Z59" s="19">
        <f t="shared" si="3"/>
        <v>0.18969012955944681</v>
      </c>
    </row>
    <row r="60" spans="1:26" s="24" customFormat="1" hidden="1" outlineLevel="1" x14ac:dyDescent="0.25">
      <c r="A60" s="44"/>
      <c r="B60" s="11" t="str">
        <f>CONCATENATE("          ", "4133", " - ", "NON-TAXABLE SALES-CANDY")</f>
        <v xml:space="preserve">          4133 - NON-TAXABLE SALES-CANDY</v>
      </c>
      <c r="C60" s="11"/>
      <c r="D60" s="2">
        <f>--2349.7</f>
        <v>2349.6999999999998</v>
      </c>
      <c r="E60" s="2"/>
      <c r="F60" s="19"/>
      <c r="G60" s="2"/>
      <c r="H60" s="2">
        <f>--1690.3</f>
        <v>1690.3</v>
      </c>
      <c r="I60" s="2"/>
      <c r="J60" s="19"/>
      <c r="K60" s="2"/>
      <c r="L60" s="2">
        <f t="shared" si="0"/>
        <v>659.39999999999986</v>
      </c>
      <c r="M60" s="2"/>
      <c r="N60" s="19">
        <f t="shared" si="1"/>
        <v>0.39010826480506411</v>
      </c>
      <c r="O60" s="11"/>
      <c r="P60" s="2">
        <f>--10816.56</f>
        <v>10816.56</v>
      </c>
      <c r="Q60" s="2"/>
      <c r="R60" s="19"/>
      <c r="S60" s="2"/>
      <c r="T60" s="2">
        <f>--8906.29</f>
        <v>8906.2900000000009</v>
      </c>
      <c r="U60" s="2"/>
      <c r="V60" s="19"/>
      <c r="W60" s="2"/>
      <c r="X60" s="2">
        <f t="shared" si="2"/>
        <v>1910.2699999999986</v>
      </c>
      <c r="Y60" s="2"/>
      <c r="Z60" s="19">
        <f t="shared" si="3"/>
        <v>0.21448549283708462</v>
      </c>
    </row>
    <row r="61" spans="1:26" s="24" customFormat="1" hidden="1" outlineLevel="1" x14ac:dyDescent="0.25">
      <c r="A61" s="44"/>
      <c r="B61" s="11" t="str">
        <f>CONCATENATE("          ", "4134", " - ", "NON-TAXABLE SALES-SODA")</f>
        <v xml:space="preserve">          4134 - NON-TAXABLE SALES-SODA</v>
      </c>
      <c r="C61" s="11"/>
      <c r="D61" s="2">
        <f>0</f>
        <v>0</v>
      </c>
      <c r="E61" s="2"/>
      <c r="F61" s="19"/>
      <c r="G61" s="2"/>
      <c r="H61" s="2">
        <f>0</f>
        <v>0</v>
      </c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0</f>
        <v>0</v>
      </c>
      <c r="Q61" s="2"/>
      <c r="R61" s="19"/>
      <c r="S61" s="2"/>
      <c r="T61" s="2">
        <f>--109.47</f>
        <v>109.47</v>
      </c>
      <c r="U61" s="2"/>
      <c r="V61" s="19"/>
      <c r="W61" s="2"/>
      <c r="X61" s="2">
        <f t="shared" si="2"/>
        <v>-109.47</v>
      </c>
      <c r="Y61" s="2"/>
      <c r="Z61" s="19">
        <f t="shared" si="3"/>
        <v>-1</v>
      </c>
    </row>
    <row r="62" spans="1:26" s="24" customFormat="1" hidden="1" outlineLevel="1" x14ac:dyDescent="0.25">
      <c r="A62" s="44"/>
      <c r="B62" s="11" t="str">
        <f>CONCATENATE("          ", "4135", " - ", "NON-TAXABLE SALES")</f>
        <v xml:space="preserve">          4135 - NON-TAXABLE SALES</v>
      </c>
      <c r="C62" s="11"/>
      <c r="D62" s="2">
        <f>--10.77</f>
        <v>10.77</v>
      </c>
      <c r="E62" s="2"/>
      <c r="F62" s="19"/>
      <c r="G62" s="2"/>
      <c r="H62" s="2">
        <f>--14.36</f>
        <v>14.36</v>
      </c>
      <c r="I62" s="2"/>
      <c r="J62" s="19"/>
      <c r="K62" s="2"/>
      <c r="L62" s="2">
        <f t="shared" si="0"/>
        <v>-3.59</v>
      </c>
      <c r="M62" s="2"/>
      <c r="N62" s="19">
        <f t="shared" si="1"/>
        <v>-0.25</v>
      </c>
      <c r="O62" s="11"/>
      <c r="P62" s="2">
        <f>--114.73</f>
        <v>114.73</v>
      </c>
      <c r="Q62" s="2"/>
      <c r="R62" s="19"/>
      <c r="S62" s="2"/>
      <c r="T62" s="2">
        <f>--123.42</f>
        <v>123.42</v>
      </c>
      <c r="U62" s="2"/>
      <c r="V62" s="19"/>
      <c r="W62" s="2"/>
      <c r="X62" s="2">
        <f t="shared" si="2"/>
        <v>-8.6899999999999977</v>
      </c>
      <c r="Y62" s="2"/>
      <c r="Z62" s="19">
        <f t="shared" si="3"/>
        <v>-7.0409982174688038E-2</v>
      </c>
    </row>
    <row r="63" spans="1:26" s="24" customFormat="1" hidden="1" outlineLevel="1" x14ac:dyDescent="0.25">
      <c r="A63" s="44"/>
      <c r="B63" s="11" t="str">
        <f>CONCATENATE("          ", "4137", " - ", "NON-TAXABLE SALES-WATER")</f>
        <v xml:space="preserve">          4137 - NON-TAXABLE SALES-WATER</v>
      </c>
      <c r="C63" s="11"/>
      <c r="D63" s="2">
        <f>--1024.04</f>
        <v>1024.04</v>
      </c>
      <c r="E63" s="2"/>
      <c r="F63" s="19"/>
      <c r="G63" s="2"/>
      <c r="H63" s="2">
        <f>--955.1</f>
        <v>955.1</v>
      </c>
      <c r="I63" s="2"/>
      <c r="J63" s="19"/>
      <c r="K63" s="2"/>
      <c r="L63" s="2">
        <f t="shared" si="0"/>
        <v>68.939999999999941</v>
      </c>
      <c r="M63" s="2"/>
      <c r="N63" s="19">
        <f t="shared" si="1"/>
        <v>7.2180923463511612E-2</v>
      </c>
      <c r="O63" s="11"/>
      <c r="P63" s="2">
        <f>--5289.34</f>
        <v>5289.34</v>
      </c>
      <c r="Q63" s="2"/>
      <c r="R63" s="19"/>
      <c r="S63" s="2"/>
      <c r="T63" s="2">
        <f>--4783.46</f>
        <v>4783.46</v>
      </c>
      <c r="U63" s="2"/>
      <c r="V63" s="19"/>
      <c r="W63" s="2"/>
      <c r="X63" s="2">
        <f t="shared" si="2"/>
        <v>505.88000000000011</v>
      </c>
      <c r="Y63" s="2"/>
      <c r="Z63" s="19">
        <f t="shared" si="3"/>
        <v>0.10575608450786671</v>
      </c>
    </row>
    <row r="64" spans="1:26" s="24" customFormat="1" hidden="1" outlineLevel="1" x14ac:dyDescent="0.25">
      <c r="A64" s="44"/>
      <c r="B64" s="11" t="str">
        <f>CONCATENATE("          ", "4140", " - ", "NON-TAXABLE SALES-LOGO CLOTHIN")</f>
        <v xml:space="preserve">          4140 - NON-TAXABLE SALES-LOGO CLOTHIN</v>
      </c>
      <c r="C64" s="11"/>
      <c r="D64" s="2">
        <f>--7373.27</f>
        <v>7373.27</v>
      </c>
      <c r="E64" s="2"/>
      <c r="F64" s="19"/>
      <c r="G64" s="2"/>
      <c r="H64" s="2">
        <f>--3104.15</f>
        <v>3104.15</v>
      </c>
      <c r="I64" s="2"/>
      <c r="J64" s="19"/>
      <c r="K64" s="2"/>
      <c r="L64" s="2">
        <f t="shared" si="0"/>
        <v>4269.1200000000008</v>
      </c>
      <c r="M64" s="2"/>
      <c r="N64" s="19">
        <f t="shared" si="1"/>
        <v>1.3752943639965853</v>
      </c>
      <c r="O64" s="11"/>
      <c r="P64" s="2">
        <f>--20008.79</f>
        <v>20008.79</v>
      </c>
      <c r="Q64" s="2"/>
      <c r="R64" s="19"/>
      <c r="S64" s="2"/>
      <c r="T64" s="2">
        <f>--14661.16</f>
        <v>14661.16</v>
      </c>
      <c r="U64" s="2"/>
      <c r="V64" s="19"/>
      <c r="W64" s="2"/>
      <c r="X64" s="2">
        <f t="shared" si="2"/>
        <v>5347.630000000001</v>
      </c>
      <c r="Y64" s="2"/>
      <c r="Z64" s="19">
        <f t="shared" si="3"/>
        <v>0.36474808268922793</v>
      </c>
    </row>
    <row r="65" spans="1:26" s="24" customFormat="1" hidden="1" outlineLevel="1" x14ac:dyDescent="0.25">
      <c r="A65" s="44"/>
      <c r="B65" s="11" t="str">
        <f>CONCATENATE("          ", "4141", " - ", "NON-TAXABLE SALES-LOGO GIFTS")</f>
        <v xml:space="preserve">          4141 - NON-TAXABLE SALES-LOGO GIFTS</v>
      </c>
      <c r="C65" s="11"/>
      <c r="D65" s="2">
        <f>--434.35</f>
        <v>434.35</v>
      </c>
      <c r="E65" s="2"/>
      <c r="F65" s="19"/>
      <c r="G65" s="2"/>
      <c r="H65" s="2">
        <f>--203.25</f>
        <v>203.25</v>
      </c>
      <c r="I65" s="2"/>
      <c r="J65" s="19"/>
      <c r="K65" s="2"/>
      <c r="L65" s="2">
        <f t="shared" si="0"/>
        <v>231.10000000000002</v>
      </c>
      <c r="M65" s="2"/>
      <c r="N65" s="19">
        <f t="shared" si="1"/>
        <v>1.1370233702337025</v>
      </c>
      <c r="O65" s="11"/>
      <c r="P65" s="2">
        <f>--1830.28</f>
        <v>1830.28</v>
      </c>
      <c r="Q65" s="2"/>
      <c r="R65" s="19"/>
      <c r="S65" s="2"/>
      <c r="T65" s="2">
        <f>--2672.78</f>
        <v>2672.78</v>
      </c>
      <c r="U65" s="2"/>
      <c r="V65" s="19"/>
      <c r="W65" s="2"/>
      <c r="X65" s="2">
        <f t="shared" si="2"/>
        <v>-842.50000000000023</v>
      </c>
      <c r="Y65" s="2"/>
      <c r="Z65" s="19">
        <f t="shared" si="3"/>
        <v>-0.31521486991072972</v>
      </c>
    </row>
    <row r="66" spans="1:26" s="24" customFormat="1" hidden="1" outlineLevel="1" x14ac:dyDescent="0.25">
      <c r="A66" s="44"/>
      <c r="B66" s="11" t="str">
        <f>CONCATENATE("          ", "4142", " - ", "NON-TAXABLE SALES-EVERYDAY GIF")</f>
        <v xml:space="preserve">          4142 - NON-TAXABLE SALES-EVERYDAY GIF</v>
      </c>
      <c r="C66" s="11"/>
      <c r="D66" s="2">
        <f>--2013.22</f>
        <v>2013.22</v>
      </c>
      <c r="E66" s="2"/>
      <c r="F66" s="19"/>
      <c r="G66" s="2"/>
      <c r="H66" s="2">
        <f>--2443.1</f>
        <v>2443.1</v>
      </c>
      <c r="I66" s="2"/>
      <c r="J66" s="19"/>
      <c r="K66" s="2"/>
      <c r="L66" s="2">
        <f t="shared" si="0"/>
        <v>-429.87999999999988</v>
      </c>
      <c r="M66" s="2"/>
      <c r="N66" s="19">
        <f t="shared" si="1"/>
        <v>-0.17595677622692477</v>
      </c>
      <c r="O66" s="11"/>
      <c r="P66" s="2">
        <f>--7932.83</f>
        <v>7932.83</v>
      </c>
      <c r="Q66" s="2"/>
      <c r="R66" s="19"/>
      <c r="S66" s="2"/>
      <c r="T66" s="2">
        <f>--7561.2</f>
        <v>7561.2</v>
      </c>
      <c r="U66" s="2"/>
      <c r="V66" s="19"/>
      <c r="W66" s="2"/>
      <c r="X66" s="2">
        <f t="shared" si="2"/>
        <v>371.63000000000011</v>
      </c>
      <c r="Y66" s="2"/>
      <c r="Z66" s="19">
        <f t="shared" si="3"/>
        <v>4.9149605882664142E-2</v>
      </c>
    </row>
    <row r="67" spans="1:26" s="24" customFormat="1" hidden="1" outlineLevel="1" x14ac:dyDescent="0.25">
      <c r="A67" s="44"/>
      <c r="B67" s="11" t="str">
        <f>CONCATENATE("          ", "4144", " - ", "NON-TAXABLE SALES-ACCESSORIES")</f>
        <v xml:space="preserve">          4144 - NON-TAXABLE SALES-ACCESSORIES</v>
      </c>
      <c r="C67" s="11"/>
      <c r="D67" s="2">
        <f>--29.95</f>
        <v>29.95</v>
      </c>
      <c r="E67" s="2"/>
      <c r="F67" s="19"/>
      <c r="G67" s="2"/>
      <c r="H67" s="2">
        <f>0</f>
        <v>0</v>
      </c>
      <c r="I67" s="2"/>
      <c r="J67" s="19"/>
      <c r="K67" s="2"/>
      <c r="L67" s="2">
        <f t="shared" si="0"/>
        <v>29.95</v>
      </c>
      <c r="M67" s="2"/>
      <c r="N67" s="19">
        <f t="shared" si="1"/>
        <v>0</v>
      </c>
      <c r="O67" s="11"/>
      <c r="P67" s="2">
        <f>--241.56</f>
        <v>241.56</v>
      </c>
      <c r="Q67" s="2"/>
      <c r="R67" s="19"/>
      <c r="S67" s="2"/>
      <c r="T67" s="2">
        <f>--340.6</f>
        <v>340.6</v>
      </c>
      <c r="U67" s="2"/>
      <c r="V67" s="19"/>
      <c r="W67" s="2"/>
      <c r="X67" s="2">
        <f t="shared" si="2"/>
        <v>-99.04000000000002</v>
      </c>
      <c r="Y67" s="2"/>
      <c r="Z67" s="19">
        <f t="shared" si="3"/>
        <v>-0.29078097475044046</v>
      </c>
    </row>
    <row r="68" spans="1:26" s="24" customFormat="1" hidden="1" outlineLevel="1" x14ac:dyDescent="0.25">
      <c r="A68" s="44"/>
      <c r="B68" s="11" t="str">
        <f>CONCATENATE("          ", "4145", " - ", "NON-TAXABLE SALES-SPECIAL ORDE")</f>
        <v xml:space="preserve">          4145 - NON-TAXABLE SALES-SPECIAL ORDE</v>
      </c>
      <c r="C68" s="11"/>
      <c r="D68" s="2">
        <f>--50</f>
        <v>50</v>
      </c>
      <c r="E68" s="2"/>
      <c r="F68" s="19"/>
      <c r="G68" s="2"/>
      <c r="H68" s="2">
        <f>--1396</f>
        <v>1396</v>
      </c>
      <c r="I68" s="2"/>
      <c r="J68" s="19"/>
      <c r="K68" s="2"/>
      <c r="L68" s="2">
        <f t="shared" si="0"/>
        <v>-1346</v>
      </c>
      <c r="M68" s="2"/>
      <c r="N68" s="19">
        <f t="shared" si="1"/>
        <v>-0.96418338108882518</v>
      </c>
      <c r="O68" s="11"/>
      <c r="P68" s="2">
        <f>--140</f>
        <v>140</v>
      </c>
      <c r="Q68" s="2"/>
      <c r="R68" s="19"/>
      <c r="S68" s="2"/>
      <c r="T68" s="2">
        <f>--1657.6</f>
        <v>1657.6</v>
      </c>
      <c r="U68" s="2"/>
      <c r="V68" s="19"/>
      <c r="W68" s="2"/>
      <c r="X68" s="2">
        <f t="shared" si="2"/>
        <v>-1517.6</v>
      </c>
      <c r="Y68" s="2"/>
      <c r="Z68" s="19">
        <f t="shared" si="3"/>
        <v>-0.91554054054054057</v>
      </c>
    </row>
    <row r="69" spans="1:26" s="24" customFormat="1" hidden="1" outlineLevel="1" x14ac:dyDescent="0.25">
      <c r="A69" s="44"/>
      <c r="B69" s="11" t="str">
        <f>CONCATENATE("          ", "4146", " - ", "NON-TAXABLE SALES-COIN OP MACH")</f>
        <v xml:space="preserve">          4146 - NON-TAXABLE SALES-COIN OP MACH</v>
      </c>
      <c r="C69" s="11"/>
      <c r="D69" s="2">
        <f>--28930.75</f>
        <v>28930.75</v>
      </c>
      <c r="E69" s="2"/>
      <c r="F69" s="19"/>
      <c r="G69" s="2"/>
      <c r="H69" s="2">
        <f>--27810.05</f>
        <v>27810.05</v>
      </c>
      <c r="I69" s="2"/>
      <c r="J69" s="19"/>
      <c r="K69" s="2"/>
      <c r="L69" s="2">
        <f t="shared" si="0"/>
        <v>1120.7000000000007</v>
      </c>
      <c r="M69" s="2"/>
      <c r="N69" s="19">
        <f t="shared" si="1"/>
        <v>4.0298381340558569E-2</v>
      </c>
      <c r="O69" s="11"/>
      <c r="P69" s="2">
        <f>--119341.05</f>
        <v>119341.05</v>
      </c>
      <c r="Q69" s="2"/>
      <c r="R69" s="19"/>
      <c r="S69" s="2"/>
      <c r="T69" s="2">
        <f>--118051.15</f>
        <v>118051.15</v>
      </c>
      <c r="U69" s="2"/>
      <c r="V69" s="19"/>
      <c r="W69" s="2"/>
      <c r="X69" s="2">
        <f t="shared" si="2"/>
        <v>1289.9000000000087</v>
      </c>
      <c r="Y69" s="2"/>
      <c r="Z69" s="19">
        <f t="shared" si="3"/>
        <v>1.0926619520436767E-2</v>
      </c>
    </row>
    <row r="70" spans="1:26" s="24" customFormat="1" hidden="1" outlineLevel="1" x14ac:dyDescent="0.25">
      <c r="A70" s="44"/>
      <c r="B70" s="11" t="str">
        <f>CONCATENATE("          ", "4147", " - ", "NON-TAXABLE SALES-MISC")</f>
        <v xml:space="preserve">          4147 - NON-TAXABLE SALES-MISC</v>
      </c>
      <c r="C70" s="11"/>
      <c r="D70" s="2">
        <f>--75</f>
        <v>75</v>
      </c>
      <c r="E70" s="2"/>
      <c r="F70" s="19"/>
      <c r="G70" s="2"/>
      <c r="H70" s="2">
        <f>--84</f>
        <v>84</v>
      </c>
      <c r="I70" s="2"/>
      <c r="J70" s="19"/>
      <c r="K70" s="2"/>
      <c r="L70" s="2">
        <f t="shared" si="0"/>
        <v>-9</v>
      </c>
      <c r="M70" s="2"/>
      <c r="N70" s="19">
        <f t="shared" si="1"/>
        <v>-0.10714285714285714</v>
      </c>
      <c r="O70" s="11"/>
      <c r="P70" s="2">
        <f>--249.9</f>
        <v>249.9</v>
      </c>
      <c r="Q70" s="2"/>
      <c r="R70" s="19"/>
      <c r="S70" s="2"/>
      <c r="T70" s="2">
        <f>--370</f>
        <v>370</v>
      </c>
      <c r="U70" s="2"/>
      <c r="V70" s="19"/>
      <c r="W70" s="2"/>
      <c r="X70" s="2">
        <f t="shared" si="2"/>
        <v>-120.1</v>
      </c>
      <c r="Y70" s="2"/>
      <c r="Z70" s="19">
        <f t="shared" si="3"/>
        <v>-0.32459459459459455</v>
      </c>
    </row>
    <row r="71" spans="1:26" s="24" customFormat="1" hidden="1" outlineLevel="1" x14ac:dyDescent="0.25">
      <c r="A71" s="44"/>
      <c r="B71" s="11" t="str">
        <f>CONCATENATE("          ", "4186", " - ", "NON-TAXABLE SALES-COMPUTER SUP")</f>
        <v xml:space="preserve">          4186 - NON-TAXABLE SALES-COMPUTER SUP</v>
      </c>
      <c r="C71" s="11"/>
      <c r="D71" s="2">
        <f>0</f>
        <v>0</v>
      </c>
      <c r="E71" s="2"/>
      <c r="F71" s="19"/>
      <c r="G71" s="2"/>
      <c r="H71" s="2">
        <f>-14.99</f>
        <v>-14.99</v>
      </c>
      <c r="I71" s="2"/>
      <c r="J71" s="19"/>
      <c r="K71" s="2"/>
      <c r="L71" s="2">
        <f t="shared" si="0"/>
        <v>14.99</v>
      </c>
      <c r="M71" s="2"/>
      <c r="N71" s="19">
        <f t="shared" si="1"/>
        <v>-1</v>
      </c>
      <c r="O71" s="11"/>
      <c r="P71" s="2">
        <f>-30.97</f>
        <v>-30.97</v>
      </c>
      <c r="Q71" s="2"/>
      <c r="R71" s="19"/>
      <c r="S71" s="2"/>
      <c r="T71" s="2">
        <f>-82.97</f>
        <v>-82.97</v>
      </c>
      <c r="U71" s="2"/>
      <c r="V71" s="19"/>
      <c r="W71" s="2"/>
      <c r="X71" s="2">
        <f t="shared" si="2"/>
        <v>52</v>
      </c>
      <c r="Y71" s="2"/>
      <c r="Z71" s="19">
        <f t="shared" si="3"/>
        <v>-0.62673255393515725</v>
      </c>
    </row>
    <row r="72" spans="1:26" s="24" customFormat="1" hidden="1" outlineLevel="1" x14ac:dyDescent="0.25">
      <c r="A72" s="44"/>
      <c r="B72" s="11" t="str">
        <f>CONCATENATE("          ", "4201", " - ", "SALES RETURN TAXABLE-NEW TEXT")</f>
        <v xml:space="preserve">          4201 - SALES RETURN TAXABLE-NEW TEXT</v>
      </c>
      <c r="C72" s="11"/>
      <c r="D72" s="2">
        <f>-314.9</f>
        <v>-314.89999999999998</v>
      </c>
      <c r="E72" s="2"/>
      <c r="F72" s="19"/>
      <c r="G72" s="2"/>
      <c r="H72" s="2">
        <f>-829.9</f>
        <v>-829.9</v>
      </c>
      <c r="I72" s="2"/>
      <c r="J72" s="19"/>
      <c r="K72" s="2"/>
      <c r="L72" s="2">
        <f t="shared" si="0"/>
        <v>515</v>
      </c>
      <c r="M72" s="2"/>
      <c r="N72" s="19">
        <f t="shared" si="1"/>
        <v>-0.62055669357753951</v>
      </c>
      <c r="O72" s="11"/>
      <c r="P72" s="2">
        <f>-78098.57</f>
        <v>-78098.570000000007</v>
      </c>
      <c r="Q72" s="2"/>
      <c r="R72" s="19"/>
      <c r="S72" s="2"/>
      <c r="T72" s="2">
        <f>-112562.57</f>
        <v>-112562.57</v>
      </c>
      <c r="U72" s="2"/>
      <c r="V72" s="19"/>
      <c r="W72" s="2"/>
      <c r="X72" s="2">
        <f t="shared" si="2"/>
        <v>34464</v>
      </c>
      <c r="Y72" s="2"/>
      <c r="Z72" s="19">
        <f t="shared" si="3"/>
        <v>-0.30617637816904852</v>
      </c>
    </row>
    <row r="73" spans="1:26" s="24" customFormat="1" hidden="1" outlineLevel="1" x14ac:dyDescent="0.25">
      <c r="A73" s="44"/>
      <c r="B73" s="11" t="str">
        <f>CONCATENATE("          ", "4202", " - ", "SALES RETURN TAXABLE-USED TEXT")</f>
        <v xml:space="preserve">          4202 - SALES RETURN TAXABLE-USED TEXT</v>
      </c>
      <c r="C73" s="11"/>
      <c r="D73" s="2">
        <f>-113.2</f>
        <v>-113.2</v>
      </c>
      <c r="E73" s="2"/>
      <c r="F73" s="19"/>
      <c r="G73" s="2"/>
      <c r="H73" s="2">
        <f>-368.75</f>
        <v>-368.75</v>
      </c>
      <c r="I73" s="2"/>
      <c r="J73" s="19"/>
      <c r="K73" s="2"/>
      <c r="L73" s="2">
        <f t="shared" si="0"/>
        <v>255.55</v>
      </c>
      <c r="M73" s="2"/>
      <c r="N73" s="19">
        <f t="shared" si="1"/>
        <v>-0.69301694915254242</v>
      </c>
      <c r="O73" s="11"/>
      <c r="P73" s="2">
        <f>-27042.2</f>
        <v>-27042.2</v>
      </c>
      <c r="Q73" s="2"/>
      <c r="R73" s="19"/>
      <c r="S73" s="2"/>
      <c r="T73" s="2">
        <f>-29468.4</f>
        <v>-29468.400000000001</v>
      </c>
      <c r="U73" s="2"/>
      <c r="V73" s="19"/>
      <c r="W73" s="2"/>
      <c r="X73" s="2">
        <f t="shared" si="2"/>
        <v>2426.2000000000007</v>
      </c>
      <c r="Y73" s="2"/>
      <c r="Z73" s="19">
        <f t="shared" si="3"/>
        <v>-8.2332260998221843E-2</v>
      </c>
    </row>
    <row r="74" spans="1:26" s="24" customFormat="1" hidden="1" outlineLevel="1" x14ac:dyDescent="0.25">
      <c r="A74" s="44"/>
      <c r="B74" s="11" t="str">
        <f>CONCATENATE("          ", "4203", " - ", "SALES RETURN TAXABLE-RENTAL TE")</f>
        <v xml:space="preserve">          4203 - SALES RETURN TAXABLE-RENTAL TE</v>
      </c>
      <c r="C74" s="11"/>
      <c r="D74" s="2">
        <f>0</f>
        <v>0</v>
      </c>
      <c r="E74" s="2"/>
      <c r="F74" s="19"/>
      <c r="G74" s="2"/>
      <c r="H74" s="2">
        <f>-169.95</f>
        <v>-169.95</v>
      </c>
      <c r="I74" s="2"/>
      <c r="J74" s="19"/>
      <c r="K74" s="2"/>
      <c r="L74" s="2">
        <f t="shared" si="0"/>
        <v>169.95</v>
      </c>
      <c r="M74" s="2"/>
      <c r="N74" s="19">
        <f t="shared" si="1"/>
        <v>-1</v>
      </c>
      <c r="O74" s="11"/>
      <c r="P74" s="2">
        <f>-144.99</f>
        <v>-144.99</v>
      </c>
      <c r="Q74" s="2"/>
      <c r="R74" s="19"/>
      <c r="S74" s="2"/>
      <c r="T74" s="2">
        <f>-1699.5</f>
        <v>-1699.5</v>
      </c>
      <c r="U74" s="2"/>
      <c r="V74" s="19"/>
      <c r="W74" s="2"/>
      <c r="X74" s="2">
        <f t="shared" si="2"/>
        <v>1554.51</v>
      </c>
      <c r="Y74" s="2"/>
      <c r="Z74" s="19">
        <f t="shared" si="3"/>
        <v>-0.9146866725507502</v>
      </c>
    </row>
    <row r="75" spans="1:26" s="24" customFormat="1" hidden="1" outlineLevel="1" x14ac:dyDescent="0.25">
      <c r="A75" s="44"/>
      <c r="B75" s="11" t="str">
        <f>CONCATENATE("          ", "4204", " - ", "SALES RETURN TAXABLE-DIGITAL T")</f>
        <v xml:space="preserve">          4204 - SALES RETURN TAXABLE-DIGITAL T</v>
      </c>
      <c r="C75" s="11"/>
      <c r="D75" s="2">
        <f>-119.4</f>
        <v>-119.4</v>
      </c>
      <c r="E75" s="2"/>
      <c r="F75" s="19"/>
      <c r="G75" s="2"/>
      <c r="H75" s="2">
        <f>-487.29</f>
        <v>-487.29</v>
      </c>
      <c r="I75" s="2"/>
      <c r="J75" s="19"/>
      <c r="K75" s="2"/>
      <c r="L75" s="2">
        <f t="shared" si="0"/>
        <v>367.89</v>
      </c>
      <c r="M75" s="2"/>
      <c r="N75" s="19">
        <f t="shared" si="1"/>
        <v>-0.75497137228344513</v>
      </c>
      <c r="O75" s="11"/>
      <c r="P75" s="2">
        <f>-11369.46</f>
        <v>-11369.46</v>
      </c>
      <c r="Q75" s="2"/>
      <c r="R75" s="19"/>
      <c r="S75" s="2"/>
      <c r="T75" s="2">
        <f>-15987.07</f>
        <v>-15987.07</v>
      </c>
      <c r="U75" s="2"/>
      <c r="V75" s="19"/>
      <c r="W75" s="2"/>
      <c r="X75" s="2">
        <f t="shared" si="2"/>
        <v>4617.6100000000006</v>
      </c>
      <c r="Y75" s="2"/>
      <c r="Z75" s="19">
        <f t="shared" si="3"/>
        <v>-0.28883403900777321</v>
      </c>
    </row>
    <row r="76" spans="1:26" s="24" customFormat="1" hidden="1" outlineLevel="1" x14ac:dyDescent="0.25">
      <c r="A76" s="44"/>
      <c r="B76" s="11" t="str">
        <f>CONCATENATE("          ", "4213", " - ", "NON-TAXABLE SALES-TRADE BOOKS")</f>
        <v xml:space="preserve">          4213 - NON-TAXABLE SALES-TRADE BOOKS</v>
      </c>
      <c r="C76" s="11"/>
      <c r="D76" s="2">
        <f>-67.34</f>
        <v>-67.34</v>
      </c>
      <c r="E76" s="2"/>
      <c r="F76" s="19"/>
      <c r="G76" s="2"/>
      <c r="H76" s="2">
        <f>-81.96</f>
        <v>-81.96</v>
      </c>
      <c r="I76" s="2"/>
      <c r="J76" s="19"/>
      <c r="K76" s="2"/>
      <c r="L76" s="2">
        <f t="shared" si="0"/>
        <v>14.61999999999999</v>
      </c>
      <c r="M76" s="2"/>
      <c r="N76" s="19">
        <f t="shared" si="1"/>
        <v>-0.17837969741337228</v>
      </c>
      <c r="O76" s="11"/>
      <c r="P76" s="2">
        <f>-102.71</f>
        <v>-102.71</v>
      </c>
      <c r="Q76" s="2"/>
      <c r="R76" s="19"/>
      <c r="S76" s="2"/>
      <c r="T76" s="2">
        <f>-96.96</f>
        <v>-96.96</v>
      </c>
      <c r="U76" s="2"/>
      <c r="V76" s="19"/>
      <c r="W76" s="2"/>
      <c r="X76" s="2">
        <f t="shared" si="2"/>
        <v>-5.75</v>
      </c>
      <c r="Y76" s="2"/>
      <c r="Z76" s="19">
        <f t="shared" si="3"/>
        <v>5.9302805280528059E-2</v>
      </c>
    </row>
    <row r="77" spans="1:26" s="24" customFormat="1" hidden="1" outlineLevel="1" x14ac:dyDescent="0.25">
      <c r="A77" s="44"/>
      <c r="B77" s="11" t="str">
        <f>CONCATENATE("          ", "4214", " - ", "SALES RETURN TAXABLE-REMAINDER")</f>
        <v xml:space="preserve">          4214 - SALES RETURN TAXABLE-REMAINDER</v>
      </c>
      <c r="C77" s="11"/>
      <c r="D77" s="2">
        <f t="shared" ref="D77:D79" si="4">0</f>
        <v>0</v>
      </c>
      <c r="E77" s="2"/>
      <c r="F77" s="19"/>
      <c r="G77" s="2"/>
      <c r="H77" s="2">
        <f>-3.95</f>
        <v>-3.95</v>
      </c>
      <c r="I77" s="2"/>
      <c r="J77" s="19"/>
      <c r="K77" s="2"/>
      <c r="L77" s="2">
        <f t="shared" si="0"/>
        <v>3.95</v>
      </c>
      <c r="M77" s="2"/>
      <c r="N77" s="19">
        <f t="shared" si="1"/>
        <v>-1</v>
      </c>
      <c r="O77" s="11"/>
      <c r="P77" s="2">
        <f>0</f>
        <v>0</v>
      </c>
      <c r="Q77" s="2"/>
      <c r="R77" s="19"/>
      <c r="S77" s="2"/>
      <c r="T77" s="2">
        <f>-3.95</f>
        <v>-3.95</v>
      </c>
      <c r="U77" s="2"/>
      <c r="V77" s="19"/>
      <c r="W77" s="2"/>
      <c r="X77" s="2">
        <f t="shared" si="2"/>
        <v>3.95</v>
      </c>
      <c r="Y77" s="2"/>
      <c r="Z77" s="19">
        <f t="shared" si="3"/>
        <v>-1</v>
      </c>
    </row>
    <row r="78" spans="1:26" s="24" customFormat="1" hidden="1" outlineLevel="1" x14ac:dyDescent="0.25">
      <c r="A78" s="44"/>
      <c r="B78" s="11" t="str">
        <f>CONCATENATE("          ", "4217", " - ", "NON-TAXABLE SALES-DORM/HOUSEWA")</f>
        <v xml:space="preserve">          4217 - NON-TAXABLE SALES-DORM/HOUSEWA</v>
      </c>
      <c r="C78" s="11"/>
      <c r="D78" s="2">
        <f t="shared" si="4"/>
        <v>0</v>
      </c>
      <c r="E78" s="2"/>
      <c r="F78" s="19"/>
      <c r="G78" s="2"/>
      <c r="H78" s="2">
        <f t="shared" ref="H78:H79" si="5"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-2.98</f>
        <v>-2.98</v>
      </c>
      <c r="Q78" s="2"/>
      <c r="R78" s="19"/>
      <c r="S78" s="2"/>
      <c r="T78" s="2">
        <f>-1.5</f>
        <v>-1.5</v>
      </c>
      <c r="U78" s="2"/>
      <c r="V78" s="19"/>
      <c r="W78" s="2"/>
      <c r="X78" s="2">
        <f t="shared" si="2"/>
        <v>-1.48</v>
      </c>
      <c r="Y78" s="2"/>
      <c r="Z78" s="19">
        <f t="shared" si="3"/>
        <v>0.98666666666666669</v>
      </c>
    </row>
    <row r="79" spans="1:26" s="24" customFormat="1" hidden="1" outlineLevel="1" x14ac:dyDescent="0.25">
      <c r="A79" s="44"/>
      <c r="B79" s="11" t="str">
        <f>CONCATENATE("          ", "4218", " - ", "SALES RETURN TAXABLE-STUDY GUI")</f>
        <v xml:space="preserve">          4218 - SALES RETURN TAXABLE-STUDY GUI</v>
      </c>
      <c r="C79" s="11"/>
      <c r="D79" s="2">
        <f t="shared" si="4"/>
        <v>0</v>
      </c>
      <c r="E79" s="2"/>
      <c r="F79" s="19"/>
      <c r="G79" s="2"/>
      <c r="H79" s="2">
        <f t="shared" si="5"/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-32.75</f>
        <v>-32.75</v>
      </c>
      <c r="Q79" s="2"/>
      <c r="R79" s="19"/>
      <c r="S79" s="2"/>
      <c r="T79" s="2">
        <f>-22.9</f>
        <v>-22.9</v>
      </c>
      <c r="U79" s="2"/>
      <c r="V79" s="19"/>
      <c r="W79" s="2"/>
      <c r="X79" s="2">
        <f t="shared" si="2"/>
        <v>-9.8500000000000014</v>
      </c>
      <c r="Y79" s="2"/>
      <c r="Z79" s="19">
        <f t="shared" si="3"/>
        <v>0.43013100436681234</v>
      </c>
    </row>
    <row r="80" spans="1:26" s="24" customFormat="1" hidden="1" outlineLevel="1" x14ac:dyDescent="0.25">
      <c r="A80" s="44"/>
      <c r="B80" s="11" t="str">
        <f>CONCATENATE("          ", "4225", " - ", "SALES RETURN TAXABLE-TEST FORM")</f>
        <v xml:space="preserve">          4225 - SALES RETURN TAXABLE-TEST FORM</v>
      </c>
      <c r="C80" s="11"/>
      <c r="D80" s="2">
        <f>-23.91</f>
        <v>-23.91</v>
      </c>
      <c r="E80" s="2"/>
      <c r="F80" s="19"/>
      <c r="G80" s="2"/>
      <c r="H80" s="2">
        <f>-1.13</f>
        <v>-1.1299999999999999</v>
      </c>
      <c r="I80" s="2"/>
      <c r="J80" s="19"/>
      <c r="K80" s="2"/>
      <c r="L80" s="2">
        <f t="shared" si="0"/>
        <v>-22.78</v>
      </c>
      <c r="M80" s="2"/>
      <c r="N80" s="19">
        <f t="shared" si="1"/>
        <v>20.159292035398234</v>
      </c>
      <c r="O80" s="11"/>
      <c r="P80" s="2">
        <f>-65.46</f>
        <v>-65.459999999999994</v>
      </c>
      <c r="Q80" s="2"/>
      <c r="R80" s="19"/>
      <c r="S80" s="2"/>
      <c r="T80" s="2">
        <f>-62.42</f>
        <v>-62.42</v>
      </c>
      <c r="U80" s="2"/>
      <c r="V80" s="19"/>
      <c r="W80" s="2"/>
      <c r="X80" s="2">
        <f t="shared" si="2"/>
        <v>-3.039999999999992</v>
      </c>
      <c r="Y80" s="2"/>
      <c r="Z80" s="19">
        <f t="shared" si="3"/>
        <v>4.8702338993912075E-2</v>
      </c>
    </row>
    <row r="81" spans="1:26" s="24" customFormat="1" hidden="1" outlineLevel="1" x14ac:dyDescent="0.25">
      <c r="A81" s="44"/>
      <c r="B81" s="11" t="str">
        <f>CONCATENATE("          ", "4226", " - ", "SALES RETURN TAXABLE-WRITING I")</f>
        <v xml:space="preserve">          4226 - SALES RETURN TAXABLE-WRITING I</v>
      </c>
      <c r="C81" s="11"/>
      <c r="D81" s="2">
        <f>-13.74</f>
        <v>-13.74</v>
      </c>
      <c r="E81" s="2"/>
      <c r="F81" s="19"/>
      <c r="G81" s="2"/>
      <c r="H81" s="2">
        <f>-20.28</f>
        <v>-20.28</v>
      </c>
      <c r="I81" s="2"/>
      <c r="J81" s="19"/>
      <c r="K81" s="2"/>
      <c r="L81" s="2">
        <f t="shared" si="0"/>
        <v>6.5400000000000009</v>
      </c>
      <c r="M81" s="2"/>
      <c r="N81" s="19">
        <f t="shared" si="1"/>
        <v>-0.32248520710059175</v>
      </c>
      <c r="O81" s="11"/>
      <c r="P81" s="2">
        <f>-489.71</f>
        <v>-489.71</v>
      </c>
      <c r="Q81" s="2"/>
      <c r="R81" s="19"/>
      <c r="S81" s="2"/>
      <c r="T81" s="2">
        <f>-261.43</f>
        <v>-261.43</v>
      </c>
      <c r="U81" s="2"/>
      <c r="V81" s="19"/>
      <c r="W81" s="2"/>
      <c r="X81" s="2">
        <f t="shared" si="2"/>
        <v>-228.27999999999997</v>
      </c>
      <c r="Y81" s="2"/>
      <c r="Z81" s="19">
        <f t="shared" si="3"/>
        <v>0.8731974142217801</v>
      </c>
    </row>
    <row r="82" spans="1:26" s="24" customFormat="1" hidden="1" outlineLevel="1" x14ac:dyDescent="0.25">
      <c r="A82" s="44"/>
      <c r="B82" s="11" t="str">
        <f>CONCATENATE("          ", "4227", " - ", "SALES RETURN TAXABLE-SCHOOL SU")</f>
        <v xml:space="preserve">          4227 - SALES RETURN TAXABLE-SCHOOL SU</v>
      </c>
      <c r="C82" s="11"/>
      <c r="D82" s="2">
        <f>-917.34</f>
        <v>-917.34</v>
      </c>
      <c r="E82" s="2"/>
      <c r="F82" s="19"/>
      <c r="G82" s="2"/>
      <c r="H82" s="2">
        <f>-398.16</f>
        <v>-398.16</v>
      </c>
      <c r="I82" s="2"/>
      <c r="J82" s="19"/>
      <c r="K82" s="2"/>
      <c r="L82" s="2">
        <f t="shared" si="0"/>
        <v>-519.18000000000006</v>
      </c>
      <c r="M82" s="2"/>
      <c r="N82" s="19">
        <f t="shared" si="1"/>
        <v>1.3039481615430983</v>
      </c>
      <c r="O82" s="11"/>
      <c r="P82" s="2">
        <f>-5743.82</f>
        <v>-5743.82</v>
      </c>
      <c r="Q82" s="2"/>
      <c r="R82" s="19"/>
      <c r="S82" s="2"/>
      <c r="T82" s="2">
        <f>-2499</f>
        <v>-2499</v>
      </c>
      <c r="U82" s="2"/>
      <c r="V82" s="19"/>
      <c r="W82" s="2"/>
      <c r="X82" s="2">
        <f t="shared" si="2"/>
        <v>-3244.8199999999997</v>
      </c>
      <c r="Y82" s="2"/>
      <c r="Z82" s="19">
        <f t="shared" si="3"/>
        <v>1.2984473789515805</v>
      </c>
    </row>
    <row r="83" spans="1:26" s="24" customFormat="1" hidden="1" outlineLevel="1" x14ac:dyDescent="0.25">
      <c r="A83" s="44"/>
      <c r="B83" s="11" t="str">
        <f>CONCATENATE("          ", "4228", " - ", "SALES RETURN TAXABLE-ART/TECH")</f>
        <v xml:space="preserve">          4228 - SALES RETURN TAXABLE-ART/TECH</v>
      </c>
      <c r="C83" s="11"/>
      <c r="D83" s="2">
        <f>-441.03</f>
        <v>-441.03</v>
      </c>
      <c r="E83" s="2"/>
      <c r="F83" s="19"/>
      <c r="G83" s="2"/>
      <c r="H83" s="2">
        <f>-371.18</f>
        <v>-371.18</v>
      </c>
      <c r="I83" s="2"/>
      <c r="J83" s="19"/>
      <c r="K83" s="2"/>
      <c r="L83" s="2">
        <f t="shared" si="0"/>
        <v>-69.849999999999966</v>
      </c>
      <c r="M83" s="2"/>
      <c r="N83" s="19">
        <f t="shared" si="1"/>
        <v>0.18818363058354429</v>
      </c>
      <c r="O83" s="11"/>
      <c r="P83" s="2">
        <f>-2871.29</f>
        <v>-2871.29</v>
      </c>
      <c r="Q83" s="2"/>
      <c r="R83" s="19"/>
      <c r="S83" s="2"/>
      <c r="T83" s="2">
        <f>-4147.97</f>
        <v>-4147.97</v>
      </c>
      <c r="U83" s="2"/>
      <c r="V83" s="19"/>
      <c r="W83" s="2"/>
      <c r="X83" s="2">
        <f t="shared" si="2"/>
        <v>1276.6800000000003</v>
      </c>
      <c r="Y83" s="2"/>
      <c r="Z83" s="19">
        <f t="shared" si="3"/>
        <v>-0.30778428966458299</v>
      </c>
    </row>
    <row r="84" spans="1:26" s="24" customFormat="1" hidden="1" outlineLevel="1" x14ac:dyDescent="0.25">
      <c r="A84" s="44"/>
      <c r="B84" s="11" t="str">
        <f>CONCATENATE("          ", "4233", " - ", "SALES RETURN TAXABLE-CANDY")</f>
        <v xml:space="preserve">          4233 - SALES RETURN TAXABLE-CANDY</v>
      </c>
      <c r="C84" s="11"/>
      <c r="D84" s="2">
        <f>-1.29</f>
        <v>-1.29</v>
      </c>
      <c r="E84" s="2"/>
      <c r="F84" s="19"/>
      <c r="G84" s="2"/>
      <c r="H84" s="2">
        <f>0</f>
        <v>0</v>
      </c>
      <c r="I84" s="2"/>
      <c r="J84" s="19"/>
      <c r="K84" s="2"/>
      <c r="L84" s="2">
        <f t="shared" si="0"/>
        <v>-1.29</v>
      </c>
      <c r="M84" s="2"/>
      <c r="N84" s="19">
        <f t="shared" si="1"/>
        <v>0</v>
      </c>
      <c r="O84" s="11"/>
      <c r="P84" s="2">
        <f>-1.29</f>
        <v>-1.29</v>
      </c>
      <c r="Q84" s="2"/>
      <c r="R84" s="19"/>
      <c r="S84" s="2"/>
      <c r="T84" s="2">
        <f>-1.89</f>
        <v>-1.89</v>
      </c>
      <c r="U84" s="2"/>
      <c r="V84" s="19"/>
      <c r="W84" s="2"/>
      <c r="X84" s="2">
        <f t="shared" si="2"/>
        <v>0.59999999999999987</v>
      </c>
      <c r="Y84" s="2"/>
      <c r="Z84" s="19">
        <f t="shared" si="3"/>
        <v>-0.31746031746031739</v>
      </c>
    </row>
    <row r="85" spans="1:26" s="24" customFormat="1" hidden="1" outlineLevel="1" x14ac:dyDescent="0.25">
      <c r="A85" s="44"/>
      <c r="B85" s="11" t="str">
        <f>CONCATENATE("          ", "4240", " - ", "SALES RETURN TAXABLE-LOGO CLOT")</f>
        <v xml:space="preserve">          4240 - SALES RETURN TAXABLE-LOGO CLOT</v>
      </c>
      <c r="C85" s="11"/>
      <c r="D85" s="2">
        <f>-10814.23</f>
        <v>-10814.23</v>
      </c>
      <c r="E85" s="2"/>
      <c r="F85" s="19"/>
      <c r="G85" s="2"/>
      <c r="H85" s="2">
        <f>-7975.12</f>
        <v>-7975.12</v>
      </c>
      <c r="I85" s="2"/>
      <c r="J85" s="19"/>
      <c r="K85" s="2"/>
      <c r="L85" s="2">
        <f t="shared" si="0"/>
        <v>-2839.1099999999997</v>
      </c>
      <c r="M85" s="2"/>
      <c r="N85" s="19">
        <f t="shared" si="1"/>
        <v>0.35599589724041764</v>
      </c>
      <c r="O85" s="11"/>
      <c r="P85" s="2">
        <f>-41109.03</f>
        <v>-41109.03</v>
      </c>
      <c r="Q85" s="2"/>
      <c r="R85" s="19"/>
      <c r="S85" s="2"/>
      <c r="T85" s="2">
        <f>-36596.53</f>
        <v>-36596.53</v>
      </c>
      <c r="U85" s="2"/>
      <c r="V85" s="19"/>
      <c r="W85" s="2"/>
      <c r="X85" s="2">
        <f t="shared" si="2"/>
        <v>-4512.5</v>
      </c>
      <c r="Y85" s="2"/>
      <c r="Z85" s="19">
        <f t="shared" si="3"/>
        <v>0.12330404002783871</v>
      </c>
    </row>
    <row r="86" spans="1:26" s="24" customFormat="1" hidden="1" outlineLevel="1" x14ac:dyDescent="0.25">
      <c r="A86" s="44"/>
      <c r="B86" s="11" t="str">
        <f>CONCATENATE("          ", "4241", " - ", "SALES RETURN TAXABLE-LOGO GIFT")</f>
        <v xml:space="preserve">          4241 - SALES RETURN TAXABLE-LOGO GIFT</v>
      </c>
      <c r="C86" s="11"/>
      <c r="D86" s="2">
        <f>-491.64</f>
        <v>-491.64</v>
      </c>
      <c r="E86" s="2"/>
      <c r="F86" s="19"/>
      <c r="G86" s="2"/>
      <c r="H86" s="2">
        <f>-373.89</f>
        <v>-373.89</v>
      </c>
      <c r="I86" s="2"/>
      <c r="J86" s="19"/>
      <c r="K86" s="2"/>
      <c r="L86" s="2">
        <f t="shared" si="0"/>
        <v>-117.75</v>
      </c>
      <c r="M86" s="2"/>
      <c r="N86" s="19">
        <f t="shared" si="1"/>
        <v>0.31493219930995747</v>
      </c>
      <c r="O86" s="11"/>
      <c r="P86" s="2">
        <f>-3209.59</f>
        <v>-3209.59</v>
      </c>
      <c r="Q86" s="2"/>
      <c r="R86" s="19"/>
      <c r="S86" s="2"/>
      <c r="T86" s="2">
        <f>-3791.56</f>
        <v>-3791.56</v>
      </c>
      <c r="U86" s="2"/>
      <c r="V86" s="19"/>
      <c r="W86" s="2"/>
      <c r="X86" s="2">
        <f t="shared" si="2"/>
        <v>581.9699999999998</v>
      </c>
      <c r="Y86" s="2"/>
      <c r="Z86" s="19">
        <f t="shared" si="3"/>
        <v>-0.1534909113926721</v>
      </c>
    </row>
    <row r="87" spans="1:26" s="24" customFormat="1" hidden="1" outlineLevel="1" x14ac:dyDescent="0.25">
      <c r="A87" s="44"/>
      <c r="B87" s="11" t="str">
        <f>CONCATENATE("          ", "4242", " - ", "SALES RETURN TAXABLE-EVERYDAY")</f>
        <v xml:space="preserve">          4242 - SALES RETURN TAXABLE-EVERYDAY</v>
      </c>
      <c r="C87" s="11"/>
      <c r="D87" s="2">
        <f>-532.3</f>
        <v>-532.29999999999995</v>
      </c>
      <c r="E87" s="2"/>
      <c r="F87" s="19"/>
      <c r="G87" s="2"/>
      <c r="H87" s="2">
        <f>-243.08</f>
        <v>-243.08</v>
      </c>
      <c r="I87" s="2"/>
      <c r="J87" s="19"/>
      <c r="K87" s="2"/>
      <c r="L87" s="2">
        <f t="shared" si="0"/>
        <v>-289.21999999999991</v>
      </c>
      <c r="M87" s="2"/>
      <c r="N87" s="19">
        <f t="shared" si="1"/>
        <v>1.1898140529866705</v>
      </c>
      <c r="O87" s="11"/>
      <c r="P87" s="2">
        <f>-1691.87</f>
        <v>-1691.87</v>
      </c>
      <c r="Q87" s="2"/>
      <c r="R87" s="19"/>
      <c r="S87" s="2"/>
      <c r="T87" s="2">
        <f>-1309.3</f>
        <v>-1309.3</v>
      </c>
      <c r="U87" s="2"/>
      <c r="V87" s="19"/>
      <c r="W87" s="2"/>
      <c r="X87" s="2">
        <f t="shared" si="2"/>
        <v>-382.56999999999994</v>
      </c>
      <c r="Y87" s="2"/>
      <c r="Z87" s="19">
        <f t="shared" si="3"/>
        <v>0.29219430229893834</v>
      </c>
    </row>
    <row r="88" spans="1:26" s="24" customFormat="1" hidden="1" outlineLevel="1" x14ac:dyDescent="0.25">
      <c r="A88" s="44"/>
      <c r="B88" s="11" t="str">
        <f>CONCATENATE("          ", "4243", " - ", "SALES RETURN TAXABLE-CARDS")</f>
        <v xml:space="preserve">          4243 - SALES RETURN TAXABLE-CARDS</v>
      </c>
      <c r="C88" s="11"/>
      <c r="D88" s="2">
        <f>-316.34</f>
        <v>-316.33999999999997</v>
      </c>
      <c r="E88" s="2"/>
      <c r="F88" s="19"/>
      <c r="G88" s="2"/>
      <c r="H88" s="2">
        <f>-7</f>
        <v>-7</v>
      </c>
      <c r="I88" s="2"/>
      <c r="J88" s="19"/>
      <c r="K88" s="2"/>
      <c r="L88" s="2">
        <f t="shared" si="0"/>
        <v>-309.33999999999997</v>
      </c>
      <c r="M88" s="2"/>
      <c r="N88" s="19">
        <f t="shared" si="1"/>
        <v>44.191428571428567</v>
      </c>
      <c r="O88" s="11"/>
      <c r="P88" s="2">
        <f>-320.84</f>
        <v>-320.83999999999997</v>
      </c>
      <c r="Q88" s="2"/>
      <c r="R88" s="19"/>
      <c r="S88" s="2"/>
      <c r="T88" s="2">
        <f>-19.95</f>
        <v>-19.95</v>
      </c>
      <c r="U88" s="2"/>
      <c r="V88" s="19"/>
      <c r="W88" s="2"/>
      <c r="X88" s="2">
        <f t="shared" si="2"/>
        <v>-300.89</v>
      </c>
      <c r="Y88" s="2"/>
      <c r="Z88" s="19">
        <f t="shared" si="3"/>
        <v>15.08220551378446</v>
      </c>
    </row>
    <row r="89" spans="1:26" s="24" customFormat="1" hidden="1" outlineLevel="1" x14ac:dyDescent="0.25">
      <c r="A89" s="44"/>
      <c r="B89" s="11" t="str">
        <f>CONCATENATE("          ", "4244", " - ", "SALES RETURN TAXABLE-ACCESSORI")</f>
        <v xml:space="preserve">          4244 - SALES RETURN TAXABLE-ACCESSORI</v>
      </c>
      <c r="C89" s="11"/>
      <c r="D89" s="2">
        <f>-96.7</f>
        <v>-96.7</v>
      </c>
      <c r="E89" s="2"/>
      <c r="F89" s="19"/>
      <c r="G89" s="2"/>
      <c r="H89" s="2">
        <f>-141.81</f>
        <v>-141.81</v>
      </c>
      <c r="I89" s="2"/>
      <c r="J89" s="19"/>
      <c r="K89" s="2"/>
      <c r="L89" s="2">
        <f t="shared" si="0"/>
        <v>45.11</v>
      </c>
      <c r="M89" s="2"/>
      <c r="N89" s="19">
        <f t="shared" si="1"/>
        <v>-0.31810168535364219</v>
      </c>
      <c r="O89" s="11"/>
      <c r="P89" s="2">
        <f>-1529.06</f>
        <v>-1529.06</v>
      </c>
      <c r="Q89" s="2"/>
      <c r="R89" s="19"/>
      <c r="S89" s="2"/>
      <c r="T89" s="2">
        <f>-2589.87</f>
        <v>-2589.87</v>
      </c>
      <c r="U89" s="2"/>
      <c r="V89" s="19"/>
      <c r="W89" s="2"/>
      <c r="X89" s="2">
        <f t="shared" si="2"/>
        <v>1060.81</v>
      </c>
      <c r="Y89" s="2"/>
      <c r="Z89" s="19">
        <f t="shared" si="3"/>
        <v>-0.40959970963793552</v>
      </c>
    </row>
    <row r="90" spans="1:26" s="24" customFormat="1" hidden="1" outlineLevel="1" x14ac:dyDescent="0.25">
      <c r="A90" s="44"/>
      <c r="B90" s="11" t="str">
        <f>CONCATENATE("          ", "4245", " - ", "SALES RETURN TAXABLE-SPECIAL O")</f>
        <v xml:space="preserve">          4245 - SALES RETURN TAXABLE-SPECIAL O</v>
      </c>
      <c r="C90" s="11"/>
      <c r="D90" s="2">
        <f t="shared" ref="D90:D91" si="6">0</f>
        <v>0</v>
      </c>
      <c r="E90" s="2"/>
      <c r="F90" s="19"/>
      <c r="G90" s="2"/>
      <c r="H90" s="2">
        <f>-44.94</f>
        <v>-44.94</v>
      </c>
      <c r="I90" s="2"/>
      <c r="J90" s="19"/>
      <c r="K90" s="2"/>
      <c r="L90" s="2">
        <f t="shared" si="0"/>
        <v>44.94</v>
      </c>
      <c r="M90" s="2"/>
      <c r="N90" s="19">
        <f t="shared" si="1"/>
        <v>-1</v>
      </c>
      <c r="O90" s="11"/>
      <c r="P90" s="2">
        <f>-91.96</f>
        <v>-91.96</v>
      </c>
      <c r="Q90" s="2"/>
      <c r="R90" s="19"/>
      <c r="S90" s="2"/>
      <c r="T90" s="2">
        <f>-219.79</f>
        <v>-219.79</v>
      </c>
      <c r="U90" s="2"/>
      <c r="V90" s="19"/>
      <c r="W90" s="2"/>
      <c r="X90" s="2">
        <f t="shared" si="2"/>
        <v>127.83</v>
      </c>
      <c r="Y90" s="2"/>
      <c r="Z90" s="19">
        <f t="shared" si="3"/>
        <v>-0.58160061877246461</v>
      </c>
    </row>
    <row r="91" spans="1:26" s="24" customFormat="1" hidden="1" outlineLevel="1" x14ac:dyDescent="0.25">
      <c r="A91" s="44"/>
      <c r="B91" s="11" t="str">
        <f>CONCATENATE("          ", "4281", " - ", "SALES RETURN TAXABLE-ELECTRONI")</f>
        <v xml:space="preserve">          4281 - SALES RETURN TAXABLE-ELECTRONI</v>
      </c>
      <c r="C91" s="11"/>
      <c r="D91" s="2">
        <f t="shared" si="6"/>
        <v>0</v>
      </c>
      <c r="E91" s="2"/>
      <c r="F91" s="19"/>
      <c r="G91" s="2"/>
      <c r="H91" s="2">
        <f>-24.99</f>
        <v>-24.99</v>
      </c>
      <c r="I91" s="2"/>
      <c r="J91" s="19"/>
      <c r="K91" s="2"/>
      <c r="L91" s="2">
        <f t="shared" si="0"/>
        <v>24.99</v>
      </c>
      <c r="M91" s="2"/>
      <c r="N91" s="19">
        <f t="shared" si="1"/>
        <v>-1</v>
      </c>
      <c r="O91" s="11"/>
      <c r="P91" s="2">
        <f>-44.98</f>
        <v>-44.98</v>
      </c>
      <c r="Q91" s="2"/>
      <c r="R91" s="19"/>
      <c r="S91" s="2"/>
      <c r="T91" s="2">
        <f>-24.99</f>
        <v>-24.99</v>
      </c>
      <c r="U91" s="2"/>
      <c r="V91" s="19"/>
      <c r="W91" s="2"/>
      <c r="X91" s="2">
        <f t="shared" si="2"/>
        <v>-19.989999999999998</v>
      </c>
      <c r="Y91" s="2"/>
      <c r="Z91" s="19">
        <f t="shared" si="3"/>
        <v>0.79991996798719489</v>
      </c>
    </row>
    <row r="92" spans="1:26" s="24" customFormat="1" hidden="1" outlineLevel="1" x14ac:dyDescent="0.25">
      <c r="A92" s="44"/>
      <c r="B92" s="11" t="str">
        <f>CONCATENATE("          ", "4292", " - ", "SALES RETURN TAXABLE-GRAD MERC")</f>
        <v xml:space="preserve">          4292 - SALES RETURN TAXABLE-GRAD MERC</v>
      </c>
      <c r="C92" s="11"/>
      <c r="D92" s="2">
        <f>-9.95</f>
        <v>-9.9499999999999993</v>
      </c>
      <c r="E92" s="2"/>
      <c r="F92" s="19"/>
      <c r="G92" s="2"/>
      <c r="H92" s="2">
        <f>-9.99</f>
        <v>-9.99</v>
      </c>
      <c r="I92" s="2"/>
      <c r="J92" s="19"/>
      <c r="K92" s="2"/>
      <c r="L92" s="2">
        <f t="shared" si="0"/>
        <v>4.0000000000000924E-2</v>
      </c>
      <c r="M92" s="2"/>
      <c r="N92" s="19">
        <f t="shared" si="1"/>
        <v>-4.0040040040040968E-3</v>
      </c>
      <c r="O92" s="11"/>
      <c r="P92" s="2">
        <f>-419.05</f>
        <v>-419.05</v>
      </c>
      <c r="Q92" s="2"/>
      <c r="R92" s="19"/>
      <c r="S92" s="2"/>
      <c r="T92" s="2">
        <f>-488.24</f>
        <v>-488.24</v>
      </c>
      <c r="U92" s="2"/>
      <c r="V92" s="19"/>
      <c r="W92" s="2"/>
      <c r="X92" s="2">
        <f t="shared" si="2"/>
        <v>69.19</v>
      </c>
      <c r="Y92" s="2"/>
      <c r="Z92" s="19">
        <f t="shared" si="3"/>
        <v>-0.14171309192200557</v>
      </c>
    </row>
    <row r="93" spans="1:26" s="24" customFormat="1" hidden="1" outlineLevel="1" x14ac:dyDescent="0.25">
      <c r="A93" s="44"/>
      <c r="B93" s="11" t="str">
        <f>CONCATENATE("          ", "4295", " - ", "SALES RETURN TAXABLE-CUSTOMER")</f>
        <v xml:space="preserve">          4295 - SALES RETURN TAXABLE-CUSTOMER</v>
      </c>
      <c r="C93" s="11"/>
      <c r="D93" s="2">
        <f t="shared" ref="D93:D96" si="7">0</f>
        <v>0</v>
      </c>
      <c r="E93" s="2"/>
      <c r="F93" s="19"/>
      <c r="G93" s="2"/>
      <c r="H93" s="2">
        <f>-27.72</f>
        <v>-27.72</v>
      </c>
      <c r="I93" s="2"/>
      <c r="J93" s="19"/>
      <c r="K93" s="2"/>
      <c r="L93" s="2">
        <f t="shared" si="0"/>
        <v>27.72</v>
      </c>
      <c r="M93" s="2"/>
      <c r="N93" s="19">
        <f t="shared" si="1"/>
        <v>-1</v>
      </c>
      <c r="O93" s="11"/>
      <c r="P93" s="2">
        <f>--0.99</f>
        <v>0.99</v>
      </c>
      <c r="Q93" s="2"/>
      <c r="R93" s="19"/>
      <c r="S93" s="2"/>
      <c r="T93" s="2">
        <f>-126.72</f>
        <v>-126.72</v>
      </c>
      <c r="U93" s="2"/>
      <c r="V93" s="19"/>
      <c r="W93" s="2"/>
      <c r="X93" s="2">
        <f t="shared" si="2"/>
        <v>127.71</v>
      </c>
      <c r="Y93" s="2"/>
      <c r="Z93" s="19">
        <f t="shared" si="3"/>
        <v>-1.0078125</v>
      </c>
    </row>
    <row r="94" spans="1:26" s="24" customFormat="1" hidden="1" outlineLevel="1" x14ac:dyDescent="0.25">
      <c r="A94" s="44"/>
      <c r="B94" s="11" t="str">
        <f>CONCATENATE("          ", "4301", " - ", "SALES RETURN NON TAXABLE-NEW T")</f>
        <v xml:space="preserve">          4301 - SALES RETURN NON TAXABLE-NEW T</v>
      </c>
      <c r="C94" s="11"/>
      <c r="D94" s="2">
        <f t="shared" si="7"/>
        <v>0</v>
      </c>
      <c r="E94" s="2"/>
      <c r="F94" s="19"/>
      <c r="G94" s="2"/>
      <c r="H94" s="2">
        <f>-111.62</f>
        <v>-111.62</v>
      </c>
      <c r="I94" s="2"/>
      <c r="J94" s="19"/>
      <c r="K94" s="2"/>
      <c r="L94" s="2">
        <f t="shared" si="0"/>
        <v>111.62</v>
      </c>
      <c r="M94" s="2"/>
      <c r="N94" s="19">
        <f t="shared" si="1"/>
        <v>-1</v>
      </c>
      <c r="O94" s="11"/>
      <c r="P94" s="2">
        <f>-12310.98</f>
        <v>-12310.98</v>
      </c>
      <c r="Q94" s="2"/>
      <c r="R94" s="19"/>
      <c r="S94" s="2"/>
      <c r="T94" s="2">
        <f>-25032.99</f>
        <v>-25032.99</v>
      </c>
      <c r="U94" s="2"/>
      <c r="V94" s="19"/>
      <c r="W94" s="2"/>
      <c r="X94" s="2">
        <f t="shared" si="2"/>
        <v>12722.010000000002</v>
      </c>
      <c r="Y94" s="2"/>
      <c r="Z94" s="19">
        <f t="shared" si="3"/>
        <v>-0.50820976639226878</v>
      </c>
    </row>
    <row r="95" spans="1:26" s="24" customFormat="1" hidden="1" outlineLevel="1" x14ac:dyDescent="0.25">
      <c r="A95" s="44"/>
      <c r="B95" s="11" t="str">
        <f>CONCATENATE("          ", "4302", " - ", "SALES RETURN NON TAXABLE-TEXT")</f>
        <v xml:space="preserve">          4302 - SALES RETURN NON TAXABLE-TEXT</v>
      </c>
      <c r="C95" s="11"/>
      <c r="D95" s="2">
        <f t="shared" si="7"/>
        <v>0</v>
      </c>
      <c r="E95" s="2"/>
      <c r="F95" s="19"/>
      <c r="G95" s="2"/>
      <c r="H95" s="2">
        <f>-54</f>
        <v>-54</v>
      </c>
      <c r="I95" s="2"/>
      <c r="J95" s="19"/>
      <c r="K95" s="2"/>
      <c r="L95" s="2">
        <f t="shared" si="0"/>
        <v>54</v>
      </c>
      <c r="M95" s="2"/>
      <c r="N95" s="19">
        <f t="shared" si="1"/>
        <v>-1</v>
      </c>
      <c r="O95" s="11"/>
      <c r="P95" s="2">
        <f>-683.8</f>
        <v>-683.8</v>
      </c>
      <c r="Q95" s="2"/>
      <c r="R95" s="19"/>
      <c r="S95" s="2"/>
      <c r="T95" s="2">
        <f>-2206.04</f>
        <v>-2206.04</v>
      </c>
      <c r="U95" s="2"/>
      <c r="V95" s="19"/>
      <c r="W95" s="2"/>
      <c r="X95" s="2">
        <f t="shared" si="2"/>
        <v>1522.24</v>
      </c>
      <c r="Y95" s="2"/>
      <c r="Z95" s="19">
        <f t="shared" si="3"/>
        <v>-0.69003281898786972</v>
      </c>
    </row>
    <row r="96" spans="1:26" s="24" customFormat="1" hidden="1" outlineLevel="1" x14ac:dyDescent="0.25">
      <c r="A96" s="44"/>
      <c r="B96" s="11" t="str">
        <f>CONCATENATE("          ", "4303", " - ", "SALES RETURN NON-TAXABLE-RENTA")</f>
        <v xml:space="preserve">          4303 - SALES RETURN NON-TAXABLE-RENTA</v>
      </c>
      <c r="C96" s="11"/>
      <c r="D96" s="2">
        <f t="shared" si="7"/>
        <v>0</v>
      </c>
      <c r="E96" s="2"/>
      <c r="F96" s="19"/>
      <c r="G96" s="2"/>
      <c r="H96" s="2">
        <f t="shared" ref="H96:H100" si="8">0</f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-184.99</f>
        <v>-184.99</v>
      </c>
      <c r="Q96" s="2"/>
      <c r="R96" s="19"/>
      <c r="S96" s="2"/>
      <c r="T96" s="2">
        <f>-509.85</f>
        <v>-509.85</v>
      </c>
      <c r="U96" s="2"/>
      <c r="V96" s="19"/>
      <c r="W96" s="2"/>
      <c r="X96" s="2">
        <f t="shared" si="2"/>
        <v>324.86</v>
      </c>
      <c r="Y96" s="2"/>
      <c r="Z96" s="19">
        <f t="shared" si="3"/>
        <v>-0.63716779444934779</v>
      </c>
    </row>
    <row r="97" spans="1:26" s="24" customFormat="1" hidden="1" outlineLevel="1" x14ac:dyDescent="0.25">
      <c r="A97" s="44"/>
      <c r="B97" s="11" t="str">
        <f>CONCATENATE("          ", "4304", " - ", "SALES RETURN NON TAXABLE-DIGIT")</f>
        <v xml:space="preserve">          4304 - SALES RETURN NON TAXABLE-DIGIT</v>
      </c>
      <c r="C97" s="11"/>
      <c r="D97" s="2">
        <f>-70.58</f>
        <v>-70.58</v>
      </c>
      <c r="E97" s="2"/>
      <c r="F97" s="19"/>
      <c r="G97" s="2"/>
      <c r="H97" s="2">
        <f t="shared" si="8"/>
        <v>0</v>
      </c>
      <c r="I97" s="2"/>
      <c r="J97" s="19"/>
      <c r="K97" s="2"/>
      <c r="L97" s="2">
        <f t="shared" si="0"/>
        <v>-70.58</v>
      </c>
      <c r="M97" s="2"/>
      <c r="N97" s="19">
        <f t="shared" si="1"/>
        <v>0</v>
      </c>
      <c r="O97" s="11"/>
      <c r="P97" s="2">
        <f>-13203.87</f>
        <v>-13203.87</v>
      </c>
      <c r="Q97" s="2"/>
      <c r="R97" s="19"/>
      <c r="S97" s="2"/>
      <c r="T97" s="2">
        <f>-3743.75</f>
        <v>-3743.75</v>
      </c>
      <c r="U97" s="2"/>
      <c r="V97" s="19"/>
      <c r="W97" s="2"/>
      <c r="X97" s="2">
        <f t="shared" si="2"/>
        <v>-9460.1200000000008</v>
      </c>
      <c r="Y97" s="2"/>
      <c r="Z97" s="19">
        <f t="shared" si="3"/>
        <v>2.5269101836393992</v>
      </c>
    </row>
    <row r="98" spans="1:26" s="24" customFormat="1" hidden="1" outlineLevel="1" x14ac:dyDescent="0.25">
      <c r="A98" s="44"/>
      <c r="B98" s="11" t="str">
        <f>CONCATENATE("          ", "4311", " - ", "SALES RETURN NON TAXABLE-NO VA")</f>
        <v xml:space="preserve">          4311 - SALES RETURN NON TAXABLE-NO VA</v>
      </c>
      <c r="C98" s="11"/>
      <c r="D98" s="2">
        <f t="shared" ref="D98:D100" si="9">0</f>
        <v>0</v>
      </c>
      <c r="E98" s="2"/>
      <c r="F98" s="19"/>
      <c r="G98" s="2"/>
      <c r="H98" s="2">
        <f t="shared" si="8"/>
        <v>0</v>
      </c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-387.96</f>
        <v>-387.96</v>
      </c>
      <c r="Q98" s="2"/>
      <c r="R98" s="19"/>
      <c r="S98" s="2"/>
      <c r="T98" s="2">
        <f>-586.28</f>
        <v>-586.28</v>
      </c>
      <c r="U98" s="2"/>
      <c r="V98" s="19"/>
      <c r="W98" s="2"/>
      <c r="X98" s="2">
        <f t="shared" si="2"/>
        <v>198.32</v>
      </c>
      <c r="Y98" s="2"/>
      <c r="Z98" s="19">
        <f t="shared" si="3"/>
        <v>-0.33826840417547932</v>
      </c>
    </row>
    <row r="99" spans="1:26" s="24" customFormat="1" hidden="1" outlineLevel="1" x14ac:dyDescent="0.25">
      <c r="A99" s="44"/>
      <c r="B99" s="11" t="str">
        <f>CONCATENATE("          ", "4326", " - ", "SALES RETURN NON TAXABLE-WRITI")</f>
        <v xml:space="preserve">          4326 - SALES RETURN NON TAXABLE-WRITI</v>
      </c>
      <c r="C99" s="11"/>
      <c r="D99" s="2">
        <f t="shared" si="9"/>
        <v>0</v>
      </c>
      <c r="E99" s="2"/>
      <c r="F99" s="19"/>
      <c r="G99" s="2"/>
      <c r="H99" s="2">
        <f t="shared" si="8"/>
        <v>0</v>
      </c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0</f>
        <v>0</v>
      </c>
      <c r="Q99" s="2"/>
      <c r="R99" s="19"/>
      <c r="S99" s="2"/>
      <c r="T99" s="2">
        <f>-8.08</f>
        <v>-8.08</v>
      </c>
      <c r="U99" s="2"/>
      <c r="V99" s="19"/>
      <c r="W99" s="2"/>
      <c r="X99" s="2">
        <f t="shared" si="2"/>
        <v>8.08</v>
      </c>
      <c r="Y99" s="2"/>
      <c r="Z99" s="19">
        <f t="shared" si="3"/>
        <v>-1</v>
      </c>
    </row>
    <row r="100" spans="1:26" s="24" customFormat="1" hidden="1" outlineLevel="1" x14ac:dyDescent="0.25">
      <c r="A100" s="44"/>
      <c r="B100" s="11" t="str">
        <f>CONCATENATE("          ", "4327", " - ", "SALES RETURN NON TAXABLE-SCHOO")</f>
        <v xml:space="preserve">          4327 - SALES RETURN NON TAXABLE-SCHOO</v>
      </c>
      <c r="C100" s="11"/>
      <c r="D100" s="2">
        <f t="shared" si="9"/>
        <v>0</v>
      </c>
      <c r="E100" s="2"/>
      <c r="F100" s="19"/>
      <c r="G100" s="2"/>
      <c r="H100" s="2">
        <f t="shared" si="8"/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-21.87</f>
        <v>-21.87</v>
      </c>
      <c r="Q100" s="2"/>
      <c r="R100" s="19"/>
      <c r="S100" s="2"/>
      <c r="T100" s="2">
        <f>0</f>
        <v>0</v>
      </c>
      <c r="U100" s="2"/>
      <c r="V100" s="19"/>
      <c r="W100" s="2"/>
      <c r="X100" s="2">
        <f t="shared" si="2"/>
        <v>-21.87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"4340", " - ", "SALES RETURN NON TAXABLE-LOGO")</f>
        <v xml:space="preserve">          4340 - SALES RETURN NON TAXABLE-LOGO</v>
      </c>
      <c r="C101" s="11"/>
      <c r="D101" s="2">
        <f>-29.95</f>
        <v>-29.95</v>
      </c>
      <c r="E101" s="2"/>
      <c r="F101" s="19"/>
      <c r="G101" s="2"/>
      <c r="H101" s="2">
        <f>-34.95</f>
        <v>-34.950000000000003</v>
      </c>
      <c r="I101" s="2"/>
      <c r="J101" s="19"/>
      <c r="K101" s="2"/>
      <c r="L101" s="2">
        <f t="shared" si="0"/>
        <v>5.0000000000000036</v>
      </c>
      <c r="M101" s="2"/>
      <c r="N101" s="19">
        <f t="shared" si="1"/>
        <v>-0.14306151645207449</v>
      </c>
      <c r="O101" s="11"/>
      <c r="P101" s="2">
        <f>-323.4</f>
        <v>-323.39999999999998</v>
      </c>
      <c r="Q101" s="2"/>
      <c r="R101" s="19"/>
      <c r="S101" s="2"/>
      <c r="T101" s="2">
        <f>-301.59</f>
        <v>-301.58999999999997</v>
      </c>
      <c r="U101" s="2"/>
      <c r="V101" s="19"/>
      <c r="W101" s="2"/>
      <c r="X101" s="2">
        <f t="shared" si="2"/>
        <v>-21.810000000000002</v>
      </c>
      <c r="Y101" s="2"/>
      <c r="Z101" s="19">
        <f t="shared" si="3"/>
        <v>7.2316721376703488E-2</v>
      </c>
    </row>
    <row r="102" spans="1:26" s="24" customFormat="1" hidden="1" outlineLevel="1" x14ac:dyDescent="0.25">
      <c r="A102" s="44"/>
      <c r="B102" s="11" t="str">
        <f>CONCATENATE("          ", "4341", " - ", "SALES RETURN NON TAXABLE-LOGO")</f>
        <v xml:space="preserve">          4341 - SALES RETURN NON TAXABLE-LOGO</v>
      </c>
      <c r="C102" s="11"/>
      <c r="D102" s="2">
        <f>0</f>
        <v>0</v>
      </c>
      <c r="E102" s="2"/>
      <c r="F102" s="19"/>
      <c r="G102" s="2"/>
      <c r="H102" s="2">
        <f t="shared" ref="H102:H104" si="10">0</f>
        <v>0</v>
      </c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-10.9</f>
        <v>-10.9</v>
      </c>
      <c r="Q102" s="2"/>
      <c r="R102" s="19"/>
      <c r="S102" s="2"/>
      <c r="T102" s="2">
        <f>-60</f>
        <v>-60</v>
      </c>
      <c r="U102" s="2"/>
      <c r="V102" s="19"/>
      <c r="W102" s="2"/>
      <c r="X102" s="2">
        <f t="shared" si="2"/>
        <v>49.1</v>
      </c>
      <c r="Y102" s="2"/>
      <c r="Z102" s="19">
        <f t="shared" si="3"/>
        <v>-0.81833333333333336</v>
      </c>
    </row>
    <row r="103" spans="1:26" s="24" customFormat="1" hidden="1" outlineLevel="1" x14ac:dyDescent="0.25">
      <c r="A103" s="44"/>
      <c r="B103" s="11" t="str">
        <f>CONCATENATE("          ", "4342", " - ", "SALES RETURN NON TAXABLE-EVERY")</f>
        <v xml:space="preserve">          4342 - SALES RETURN NON TAXABLE-EVERY</v>
      </c>
      <c r="C103" s="11"/>
      <c r="D103" s="2">
        <f>-6.95</f>
        <v>-6.95</v>
      </c>
      <c r="E103" s="2"/>
      <c r="F103" s="19"/>
      <c r="G103" s="2"/>
      <c r="H103" s="2">
        <f t="shared" si="10"/>
        <v>0</v>
      </c>
      <c r="I103" s="2"/>
      <c r="J103" s="19"/>
      <c r="K103" s="2"/>
      <c r="L103" s="2">
        <f t="shared" si="0"/>
        <v>-6.95</v>
      </c>
      <c r="M103" s="2"/>
      <c r="N103" s="19">
        <f t="shared" si="1"/>
        <v>0</v>
      </c>
      <c r="O103" s="11"/>
      <c r="P103" s="2">
        <f>-109.8</f>
        <v>-109.8</v>
      </c>
      <c r="Q103" s="2"/>
      <c r="R103" s="19"/>
      <c r="S103" s="2"/>
      <c r="T103" s="2">
        <f t="shared" ref="T103:T104" si="11">0</f>
        <v>0</v>
      </c>
      <c r="U103" s="2"/>
      <c r="V103" s="19"/>
      <c r="W103" s="2"/>
      <c r="X103" s="2">
        <f t="shared" si="2"/>
        <v>-109.8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"4346", " - ", "SALES RETURN NON TAXABLE-COIN-")</f>
        <v xml:space="preserve">          4346 - SALES RETURN NON TAXABLE-COIN-</v>
      </c>
      <c r="C104" s="11"/>
      <c r="D104" s="2">
        <f>0</f>
        <v>0</v>
      </c>
      <c r="E104" s="2"/>
      <c r="F104" s="19"/>
      <c r="G104" s="2"/>
      <c r="H104" s="2">
        <f t="shared" si="10"/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-8.15</f>
        <v>-8.15</v>
      </c>
      <c r="Q104" s="2"/>
      <c r="R104" s="19"/>
      <c r="S104" s="2"/>
      <c r="T104" s="2">
        <f t="shared" si="11"/>
        <v>0</v>
      </c>
      <c r="U104" s="2"/>
      <c r="V104" s="19"/>
      <c r="W104" s="2"/>
      <c r="X104" s="2">
        <f t="shared" si="2"/>
        <v>-8.15</v>
      </c>
      <c r="Y104" s="2"/>
      <c r="Z104" s="19">
        <f t="shared" si="3"/>
        <v>0</v>
      </c>
    </row>
    <row r="105" spans="1:26" x14ac:dyDescent="0.25">
      <c r="A105" s="9"/>
      <c r="B105" s="10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collapsed="1" x14ac:dyDescent="0.25">
      <c r="A106" s="10"/>
      <c r="B106" s="28" t="s">
        <v>8</v>
      </c>
      <c r="C106" s="10"/>
      <c r="D106" s="4">
        <f>SUM(OSRRefD16x_0)</f>
        <v>211070.68000000014</v>
      </c>
      <c r="E106" s="4"/>
      <c r="F106" s="12">
        <f t="shared" ref="F106:F156" si="12">IF(D$12=0,0,D106/D$12)</f>
        <v>0.46866804247579436</v>
      </c>
      <c r="G106" s="4"/>
      <c r="H106" s="4">
        <f>SUM(OSRRefH16x_0)</f>
        <v>155844.40000000005</v>
      </c>
      <c r="I106" s="4"/>
      <c r="J106" s="12">
        <f t="shared" ref="J106:J156" si="13">IF(H$12=0,0,H106/H$12)</f>
        <v>0.44308267088174708</v>
      </c>
      <c r="K106" s="4"/>
      <c r="L106" s="4">
        <f t="shared" ref="L106:L156" si="14">+D106-H106</f>
        <v>55226.280000000086</v>
      </c>
      <c r="M106" s="4"/>
      <c r="N106" s="12">
        <f t="shared" ref="N106:N156" si="15">IF(H106=0,0,L106/H106)</f>
        <v>0.35436807482334987</v>
      </c>
      <c r="O106" s="10"/>
      <c r="P106" s="4">
        <f>SUM(OSRRefP16x_0)</f>
        <v>3026263.9000000008</v>
      </c>
      <c r="Q106" s="4"/>
      <c r="R106" s="12">
        <f t="shared" ref="R106:R156" si="16">IF(P$12=0,0,P106/P$12)</f>
        <v>0.59675746838615351</v>
      </c>
      <c r="S106" s="4"/>
      <c r="T106" s="4">
        <f>SUM(OSRRefT16x_0)</f>
        <v>3318051.3299999987</v>
      </c>
      <c r="U106" s="4"/>
      <c r="V106" s="12">
        <f t="shared" ref="V106:V156" si="17">IF(T$12=0,0,T106/T$12)</f>
        <v>0.61785734625265543</v>
      </c>
      <c r="W106" s="4"/>
      <c r="X106" s="4">
        <f t="shared" ref="X106:X156" si="18">+P106-T106</f>
        <v>-291787.42999999784</v>
      </c>
      <c r="Y106" s="4"/>
      <c r="Z106" s="12">
        <f t="shared" ref="Z106:Z156" si="19">IF(T106=0,0,X106/T106)</f>
        <v>-8.7939396043037688E-2</v>
      </c>
    </row>
    <row r="107" spans="1:26" s="24" customFormat="1" hidden="1" outlineLevel="1" x14ac:dyDescent="0.25">
      <c r="A107" s="44"/>
      <c r="B107" s="11" t="str">
        <f>CONCATENATE("          ", "5001", " - ", "PURCHASES @ COST-NEW TEXT")</f>
        <v xml:space="preserve">          5001 - PURCHASES @ COST-NEW TEXT</v>
      </c>
      <c r="C107" s="11"/>
      <c r="D107" s="2">
        <v>-175297.72999999998</v>
      </c>
      <c r="E107" s="2"/>
      <c r="F107" s="19">
        <f t="shared" si="12"/>
        <v>-0.38923664797758867</v>
      </c>
      <c r="G107" s="2"/>
      <c r="H107" s="2">
        <v>-3892.46</v>
      </c>
      <c r="I107" s="2"/>
      <c r="J107" s="19">
        <f t="shared" si="13"/>
        <v>-1.106668942291391E-2</v>
      </c>
      <c r="K107" s="2"/>
      <c r="L107" s="2">
        <f t="shared" si="14"/>
        <v>-171405.27</v>
      </c>
      <c r="M107" s="2"/>
      <c r="N107" s="19">
        <f t="shared" si="15"/>
        <v>44.03520395842218</v>
      </c>
      <c r="O107" s="11"/>
      <c r="P107" s="2">
        <v>1581850.69</v>
      </c>
      <c r="Q107" s="2"/>
      <c r="R107" s="19">
        <f t="shared" si="16"/>
        <v>0.31192957531869242</v>
      </c>
      <c r="S107" s="2"/>
      <c r="T107" s="2">
        <v>1720657.5599999998</v>
      </c>
      <c r="U107" s="2"/>
      <c r="V107" s="19">
        <f t="shared" si="17"/>
        <v>0.32040520416878832</v>
      </c>
      <c r="W107" s="2"/>
      <c r="X107" s="2">
        <f t="shared" si="18"/>
        <v>-138806.86999999988</v>
      </c>
      <c r="Y107" s="2"/>
      <c r="Z107" s="19">
        <f t="shared" si="19"/>
        <v>-8.0670827959515606E-2</v>
      </c>
    </row>
    <row r="108" spans="1:26" s="24" customFormat="1" hidden="1" outlineLevel="1" x14ac:dyDescent="0.25">
      <c r="A108" s="44"/>
      <c r="B108" s="11" t="str">
        <f>CONCATENATE("          ", "5002", " - ", "PURCHASES @ COST-USED TEXT")</f>
        <v xml:space="preserve">          5002 - PURCHASES @ COST-USED TEXT</v>
      </c>
      <c r="C108" s="11"/>
      <c r="D108" s="2">
        <v>-155785.26999999999</v>
      </c>
      <c r="E108" s="2"/>
      <c r="F108" s="19">
        <f t="shared" si="12"/>
        <v>-0.34591056198550663</v>
      </c>
      <c r="G108" s="2"/>
      <c r="H108" s="2">
        <v>-8649.41</v>
      </c>
      <c r="I108" s="2"/>
      <c r="J108" s="19">
        <f t="shared" si="13"/>
        <v>-2.459121844834521E-2</v>
      </c>
      <c r="K108" s="2"/>
      <c r="L108" s="2">
        <f t="shared" si="14"/>
        <v>-147135.85999999999</v>
      </c>
      <c r="M108" s="2"/>
      <c r="N108" s="19">
        <f t="shared" si="15"/>
        <v>17.011086305308684</v>
      </c>
      <c r="O108" s="11"/>
      <c r="P108" s="2">
        <v>212247.9</v>
      </c>
      <c r="Q108" s="2"/>
      <c r="R108" s="19">
        <f t="shared" si="16"/>
        <v>4.1853758845775954E-2</v>
      </c>
      <c r="S108" s="2"/>
      <c r="T108" s="2">
        <v>308318.01</v>
      </c>
      <c r="U108" s="2"/>
      <c r="V108" s="19">
        <f t="shared" si="17"/>
        <v>5.7412176158377806E-2</v>
      </c>
      <c r="W108" s="2"/>
      <c r="X108" s="2">
        <f t="shared" si="18"/>
        <v>-96070.110000000015</v>
      </c>
      <c r="Y108" s="2"/>
      <c r="Z108" s="19">
        <f t="shared" si="19"/>
        <v>-0.31159422052574876</v>
      </c>
    </row>
    <row r="109" spans="1:26" s="24" customFormat="1" hidden="1" outlineLevel="1" x14ac:dyDescent="0.25">
      <c r="A109" s="44"/>
      <c r="B109" s="11" t="str">
        <f>CONCATENATE("          ", "5003", " - ", "PURCHASES @ COST-RENTAL TEXT")</f>
        <v xml:space="preserve">          5003 - PURCHASES @ COST-RENTAL TEXT</v>
      </c>
      <c r="C109" s="11"/>
      <c r="D109" s="2"/>
      <c r="E109" s="2"/>
      <c r="F109" s="19">
        <f t="shared" si="12"/>
        <v>0</v>
      </c>
      <c r="G109" s="2"/>
      <c r="H109" s="2">
        <v>-1948.8</v>
      </c>
      <c r="I109" s="2"/>
      <c r="J109" s="19">
        <f t="shared" si="13"/>
        <v>-5.5406515024880483E-3</v>
      </c>
      <c r="K109" s="2"/>
      <c r="L109" s="2">
        <f t="shared" si="14"/>
        <v>1948.8</v>
      </c>
      <c r="M109" s="2"/>
      <c r="N109" s="19">
        <f t="shared" si="15"/>
        <v>-1</v>
      </c>
      <c r="O109" s="11"/>
      <c r="P109" s="2">
        <v>-78.400000000000006</v>
      </c>
      <c r="Q109" s="2"/>
      <c r="R109" s="19">
        <f t="shared" si="16"/>
        <v>-1.5459915945028596E-5</v>
      </c>
      <c r="S109" s="2"/>
      <c r="T109" s="2">
        <v>-1763.7</v>
      </c>
      <c r="U109" s="2"/>
      <c r="V109" s="19">
        <f t="shared" si="17"/>
        <v>-3.2842017594279013E-4</v>
      </c>
      <c r="W109" s="2"/>
      <c r="X109" s="2">
        <f t="shared" si="18"/>
        <v>1685.3</v>
      </c>
      <c r="Y109" s="2"/>
      <c r="Z109" s="19">
        <f t="shared" si="19"/>
        <v>-0.95554799569087712</v>
      </c>
    </row>
    <row r="110" spans="1:26" s="24" customFormat="1" hidden="1" outlineLevel="1" x14ac:dyDescent="0.25">
      <c r="A110" s="44"/>
      <c r="B110" s="11" t="str">
        <f>CONCATENATE("          ", "5004", " - ", "PURCHASES @ COST-DIGITAL TEXT")</f>
        <v xml:space="preserve">          5004 - PURCHASES @ COST-DIGITAL TEXT</v>
      </c>
      <c r="C110" s="11"/>
      <c r="D110" s="2">
        <v>0.94</v>
      </c>
      <c r="E110" s="2"/>
      <c r="F110" s="19">
        <f t="shared" si="12"/>
        <v>2.0872058588490188E-6</v>
      </c>
      <c r="G110" s="2"/>
      <c r="H110" s="2">
        <v>15359.04</v>
      </c>
      <c r="I110" s="2"/>
      <c r="J110" s="19">
        <f t="shared" si="13"/>
        <v>4.3667430240544966E-2</v>
      </c>
      <c r="K110" s="2"/>
      <c r="L110" s="2">
        <f t="shared" si="14"/>
        <v>-15358.1</v>
      </c>
      <c r="M110" s="2"/>
      <c r="N110" s="19">
        <f t="shared" si="15"/>
        <v>-0.9999387982582244</v>
      </c>
      <c r="O110" s="11"/>
      <c r="P110" s="2">
        <v>322779.97000000003</v>
      </c>
      <c r="Q110" s="2"/>
      <c r="R110" s="19">
        <f t="shared" si="16"/>
        <v>6.3649887818097606E-2</v>
      </c>
      <c r="S110" s="2"/>
      <c r="T110" s="2">
        <v>306955.37</v>
      </c>
      <c r="U110" s="2"/>
      <c r="V110" s="19">
        <f t="shared" si="17"/>
        <v>5.7158437728629725E-2</v>
      </c>
      <c r="W110" s="2"/>
      <c r="X110" s="2">
        <f t="shared" si="18"/>
        <v>15824.600000000035</v>
      </c>
      <c r="Y110" s="2"/>
      <c r="Z110" s="19">
        <f t="shared" si="19"/>
        <v>5.1553422896625116E-2</v>
      </c>
    </row>
    <row r="111" spans="1:26" s="24" customFormat="1" hidden="1" outlineLevel="1" x14ac:dyDescent="0.25">
      <c r="A111" s="44"/>
      <c r="B111" s="11" t="str">
        <f>CONCATENATE("          ", "5011", " - ", "PURCHASES @ COST-NO VALUE TEXT")</f>
        <v xml:space="preserve">          5011 - PURCHASES @ COST-NO VALUE TEXT</v>
      </c>
      <c r="C111" s="11"/>
      <c r="D111" s="2">
        <v>66</v>
      </c>
      <c r="E111" s="2"/>
      <c r="F111" s="19">
        <f t="shared" si="12"/>
        <v>1.4654849647237792E-4</v>
      </c>
      <c r="G111" s="2"/>
      <c r="H111" s="2">
        <v>63</v>
      </c>
      <c r="I111" s="2"/>
      <c r="J111" s="19">
        <f t="shared" si="13"/>
        <v>1.7911588908905328E-4</v>
      </c>
      <c r="K111" s="2"/>
      <c r="L111" s="2">
        <f t="shared" si="14"/>
        <v>3</v>
      </c>
      <c r="M111" s="2"/>
      <c r="N111" s="19">
        <f t="shared" si="15"/>
        <v>4.7619047619047616E-2</v>
      </c>
      <c r="O111" s="11"/>
      <c r="P111" s="2">
        <v>3741</v>
      </c>
      <c r="Q111" s="2"/>
      <c r="R111" s="19">
        <f t="shared" si="16"/>
        <v>7.3769828508102005E-4</v>
      </c>
      <c r="S111" s="2"/>
      <c r="T111" s="2">
        <v>2838</v>
      </c>
      <c r="U111" s="2"/>
      <c r="V111" s="19">
        <f t="shared" si="17"/>
        <v>5.2846655288634034E-4</v>
      </c>
      <c r="W111" s="2"/>
      <c r="X111" s="2">
        <f t="shared" si="18"/>
        <v>903</v>
      </c>
      <c r="Y111" s="2"/>
      <c r="Z111" s="19">
        <f t="shared" si="19"/>
        <v>0.31818181818181818</v>
      </c>
    </row>
    <row r="112" spans="1:26" s="24" customFormat="1" hidden="1" outlineLevel="1" x14ac:dyDescent="0.25">
      <c r="A112" s="44"/>
      <c r="B112" s="11" t="str">
        <f>CONCATENATE("          ", "5013", " - ", "PURCHASES @ COST-TRADE BOOKS")</f>
        <v xml:space="preserve">          5013 - PURCHASES @ COST-TRADE BOOKS</v>
      </c>
      <c r="C112" s="11"/>
      <c r="D112" s="2">
        <v>10.79</v>
      </c>
      <c r="E112" s="2"/>
      <c r="F112" s="19">
        <f t="shared" si="12"/>
        <v>2.3958458741469053E-5</v>
      </c>
      <c r="G112" s="2"/>
      <c r="H112" s="2">
        <v>270</v>
      </c>
      <c r="I112" s="2"/>
      <c r="J112" s="19">
        <f t="shared" si="13"/>
        <v>7.6763952466737115E-4</v>
      </c>
      <c r="K112" s="2"/>
      <c r="L112" s="2">
        <f t="shared" si="14"/>
        <v>-259.20999999999998</v>
      </c>
      <c r="M112" s="2"/>
      <c r="N112" s="19">
        <f t="shared" si="15"/>
        <v>-0.96003703703703691</v>
      </c>
      <c r="O112" s="11"/>
      <c r="P112" s="2">
        <v>698.14</v>
      </c>
      <c r="Q112" s="2"/>
      <c r="R112" s="19">
        <f t="shared" si="16"/>
        <v>1.3766818517681458E-4</v>
      </c>
      <c r="S112" s="2"/>
      <c r="T112" s="2">
        <v>1406.94</v>
      </c>
      <c r="U112" s="2"/>
      <c r="V112" s="19">
        <f t="shared" si="17"/>
        <v>2.6198757290976307E-4</v>
      </c>
      <c r="W112" s="2"/>
      <c r="X112" s="2">
        <f t="shared" si="18"/>
        <v>-708.80000000000007</v>
      </c>
      <c r="Y112" s="2"/>
      <c r="Z112" s="19">
        <f t="shared" si="19"/>
        <v>-0.50378836339858135</v>
      </c>
    </row>
    <row r="113" spans="1:26" s="24" customFormat="1" hidden="1" outlineLevel="1" x14ac:dyDescent="0.25">
      <c r="A113" s="44"/>
      <c r="B113" s="11" t="str">
        <f>CONCATENATE("          ", "5014", " - ", "PURCHASES @ COST-REMAINDERS")</f>
        <v xml:space="preserve">          5014 - PURCHASES @ COST-REMAINDERS</v>
      </c>
      <c r="C113" s="11"/>
      <c r="D113" s="2">
        <v>114.84</v>
      </c>
      <c r="E113" s="2"/>
      <c r="F113" s="19">
        <f t="shared" si="12"/>
        <v>2.5499438386193755E-4</v>
      </c>
      <c r="G113" s="2"/>
      <c r="H113" s="2">
        <v>246.34</v>
      </c>
      <c r="I113" s="2"/>
      <c r="J113" s="19">
        <f t="shared" si="13"/>
        <v>7.0037155743170451E-4</v>
      </c>
      <c r="K113" s="2"/>
      <c r="L113" s="2">
        <f t="shared" si="14"/>
        <v>-131.5</v>
      </c>
      <c r="M113" s="2"/>
      <c r="N113" s="19">
        <f t="shared" si="15"/>
        <v>-0.53381505236664772</v>
      </c>
      <c r="O113" s="11"/>
      <c r="P113" s="2">
        <v>456.81</v>
      </c>
      <c r="Q113" s="2"/>
      <c r="R113" s="19">
        <f t="shared" si="16"/>
        <v>9.0079645444496328E-5</v>
      </c>
      <c r="S113" s="2"/>
      <c r="T113" s="2">
        <v>735.2</v>
      </c>
      <c r="U113" s="2"/>
      <c r="V113" s="19">
        <f t="shared" si="17"/>
        <v>1.3690225852080247E-4</v>
      </c>
      <c r="W113" s="2"/>
      <c r="X113" s="2">
        <f t="shared" si="18"/>
        <v>-278.39000000000004</v>
      </c>
      <c r="Y113" s="2"/>
      <c r="Z113" s="19">
        <f t="shared" si="19"/>
        <v>-0.37865886833514695</v>
      </c>
    </row>
    <row r="114" spans="1:26" s="24" customFormat="1" hidden="1" outlineLevel="1" x14ac:dyDescent="0.25">
      <c r="A114" s="44"/>
      <c r="B114" s="11" t="str">
        <f>CONCATENATE("          ", "5017", " - ", "PURCHASES @ COST-DORM/HOUSEWAR")</f>
        <v xml:space="preserve">          5017 - PURCHASES @ COST-DORM/HOUSEWAR</v>
      </c>
      <c r="C114" s="11"/>
      <c r="D114" s="2"/>
      <c r="E114" s="2"/>
      <c r="F114" s="19">
        <f t="shared" si="12"/>
        <v>0</v>
      </c>
      <c r="G114" s="2"/>
      <c r="H114" s="2"/>
      <c r="I114" s="2"/>
      <c r="J114" s="19">
        <f t="shared" si="13"/>
        <v>0</v>
      </c>
      <c r="K114" s="2"/>
      <c r="L114" s="2">
        <f t="shared" si="14"/>
        <v>0</v>
      </c>
      <c r="M114" s="2"/>
      <c r="N114" s="19">
        <f t="shared" si="15"/>
        <v>0</v>
      </c>
      <c r="O114" s="11"/>
      <c r="P114" s="2">
        <v>0</v>
      </c>
      <c r="Q114" s="2"/>
      <c r="R114" s="19">
        <f t="shared" si="16"/>
        <v>0</v>
      </c>
      <c r="S114" s="2"/>
      <c r="T114" s="2">
        <v>239.9</v>
      </c>
      <c r="U114" s="2"/>
      <c r="V114" s="19">
        <f t="shared" si="17"/>
        <v>4.4671996489581761E-5</v>
      </c>
      <c r="W114" s="2"/>
      <c r="X114" s="2">
        <f t="shared" si="18"/>
        <v>-239.9</v>
      </c>
      <c r="Y114" s="2"/>
      <c r="Z114" s="19">
        <f t="shared" si="19"/>
        <v>-1</v>
      </c>
    </row>
    <row r="115" spans="1:26" s="24" customFormat="1" hidden="1" outlineLevel="1" x14ac:dyDescent="0.25">
      <c r="A115" s="44"/>
      <c r="B115" s="11" t="str">
        <f>CONCATENATE("          ", "5018", " - ", "PURCHASES @ COST-STUDY GUIDES")</f>
        <v xml:space="preserve">          5018 - PURCHASES @ COST-STUDY GUIDES</v>
      </c>
      <c r="C115" s="11"/>
      <c r="D115" s="2"/>
      <c r="E115" s="2"/>
      <c r="F115" s="19">
        <f t="shared" si="12"/>
        <v>0</v>
      </c>
      <c r="G115" s="2"/>
      <c r="H115" s="2"/>
      <c r="I115" s="2"/>
      <c r="J115" s="19">
        <f t="shared" si="13"/>
        <v>0</v>
      </c>
      <c r="K115" s="2"/>
      <c r="L115" s="2">
        <f t="shared" si="14"/>
        <v>0</v>
      </c>
      <c r="M115" s="2"/>
      <c r="N115" s="19">
        <f t="shared" si="15"/>
        <v>0</v>
      </c>
      <c r="O115" s="11"/>
      <c r="P115" s="2">
        <v>802.09</v>
      </c>
      <c r="Q115" s="2"/>
      <c r="R115" s="19">
        <f t="shared" si="16"/>
        <v>1.5816637730035698E-4</v>
      </c>
      <c r="S115" s="2"/>
      <c r="T115" s="2">
        <v>1034.55</v>
      </c>
      <c r="U115" s="2"/>
      <c r="V115" s="19">
        <f t="shared" si="17"/>
        <v>1.9264449340682289E-4</v>
      </c>
      <c r="W115" s="2"/>
      <c r="X115" s="2">
        <f t="shared" si="18"/>
        <v>-232.45999999999992</v>
      </c>
      <c r="Y115" s="2"/>
      <c r="Z115" s="19">
        <f t="shared" si="19"/>
        <v>-0.22469672804601029</v>
      </c>
    </row>
    <row r="116" spans="1:26" s="24" customFormat="1" hidden="1" outlineLevel="1" x14ac:dyDescent="0.25">
      <c r="A116" s="44"/>
      <c r="B116" s="11" t="str">
        <f>CONCATENATE("          ", "5025", " - ", "PURCHASES @ COST-TEST FORMS")</f>
        <v xml:space="preserve">          5025 - PURCHASES @ COST-TEST FORMS</v>
      </c>
      <c r="C116" s="11"/>
      <c r="D116" s="2">
        <v>18846</v>
      </c>
      <c r="E116" s="2"/>
      <c r="F116" s="19">
        <f t="shared" si="12"/>
        <v>4.1846257038158093E-2</v>
      </c>
      <c r="G116" s="2"/>
      <c r="H116" s="2">
        <v>1000</v>
      </c>
      <c r="I116" s="2"/>
      <c r="J116" s="19">
        <f t="shared" si="13"/>
        <v>2.8431093506198933E-3</v>
      </c>
      <c r="K116" s="2"/>
      <c r="L116" s="2">
        <f t="shared" si="14"/>
        <v>17846</v>
      </c>
      <c r="M116" s="2"/>
      <c r="N116" s="19">
        <f t="shared" si="15"/>
        <v>17.846</v>
      </c>
      <c r="O116" s="11"/>
      <c r="P116" s="2">
        <v>22098.390000000003</v>
      </c>
      <c r="Q116" s="2"/>
      <c r="R116" s="19">
        <f t="shared" si="16"/>
        <v>4.3576435193936284E-3</v>
      </c>
      <c r="S116" s="2"/>
      <c r="T116" s="2">
        <v>2050</v>
      </c>
      <c r="U116" s="2"/>
      <c r="V116" s="19">
        <f t="shared" si="17"/>
        <v>3.8173235849788499E-4</v>
      </c>
      <c r="W116" s="2"/>
      <c r="X116" s="2">
        <f t="shared" si="18"/>
        <v>20048.390000000003</v>
      </c>
      <c r="Y116" s="2"/>
      <c r="Z116" s="19">
        <f t="shared" si="19"/>
        <v>9.7797024390243923</v>
      </c>
    </row>
    <row r="117" spans="1:26" s="24" customFormat="1" hidden="1" outlineLevel="1" x14ac:dyDescent="0.25">
      <c r="A117" s="44"/>
      <c r="B117" s="11" t="str">
        <f>CONCATENATE("          ", "5026", " - ", "PURCHASES @ COST-WRITING INSTR")</f>
        <v xml:space="preserve">          5026 - PURCHASES @ COST-WRITING INSTR</v>
      </c>
      <c r="C117" s="11"/>
      <c r="D117" s="2">
        <v>4633</v>
      </c>
      <c r="E117" s="2"/>
      <c r="F117" s="19">
        <f t="shared" si="12"/>
        <v>1.0287260366007982E-2</v>
      </c>
      <c r="G117" s="2"/>
      <c r="H117" s="2">
        <v>784.13</v>
      </c>
      <c r="I117" s="2"/>
      <c r="J117" s="19">
        <f t="shared" si="13"/>
        <v>2.229367335101577E-3</v>
      </c>
      <c r="K117" s="2"/>
      <c r="L117" s="2">
        <f t="shared" si="14"/>
        <v>3848.87</v>
      </c>
      <c r="M117" s="2"/>
      <c r="N117" s="19">
        <f t="shared" si="15"/>
        <v>4.9084590565339932</v>
      </c>
      <c r="O117" s="11"/>
      <c r="P117" s="2">
        <v>29950.57</v>
      </c>
      <c r="Q117" s="2"/>
      <c r="R117" s="19">
        <f t="shared" si="16"/>
        <v>5.9060369222665192E-3</v>
      </c>
      <c r="S117" s="2"/>
      <c r="T117" s="2">
        <v>28009.06</v>
      </c>
      <c r="U117" s="2"/>
      <c r="V117" s="19">
        <f t="shared" si="17"/>
        <v>5.2155924551750103E-3</v>
      </c>
      <c r="W117" s="2"/>
      <c r="X117" s="2">
        <f t="shared" si="18"/>
        <v>1941.5099999999984</v>
      </c>
      <c r="Y117" s="2"/>
      <c r="Z117" s="19">
        <f t="shared" si="19"/>
        <v>6.9317213787253071E-2</v>
      </c>
    </row>
    <row r="118" spans="1:26" s="24" customFormat="1" hidden="1" outlineLevel="1" x14ac:dyDescent="0.25">
      <c r="A118" s="44"/>
      <c r="B118" s="11" t="str">
        <f>CONCATENATE("          ", "5027", " - ", "PURCHASES @ COST-SCHOOL SUPPLI")</f>
        <v xml:space="preserve">          5027 - PURCHASES @ COST-SCHOOL SUPPLI</v>
      </c>
      <c r="C118" s="11"/>
      <c r="D118" s="2">
        <v>3483.98</v>
      </c>
      <c r="E118" s="2"/>
      <c r="F118" s="19">
        <f t="shared" si="12"/>
        <v>7.7359398596944726E-3</v>
      </c>
      <c r="G118" s="2"/>
      <c r="H118" s="2">
        <v>7654.23</v>
      </c>
      <c r="I118" s="2"/>
      <c r="J118" s="19">
        <f t="shared" si="13"/>
        <v>2.1761812884795305E-2</v>
      </c>
      <c r="K118" s="2"/>
      <c r="L118" s="2">
        <f t="shared" si="14"/>
        <v>-4170.25</v>
      </c>
      <c r="M118" s="2"/>
      <c r="N118" s="19">
        <f t="shared" si="15"/>
        <v>-0.54482946031148793</v>
      </c>
      <c r="O118" s="11"/>
      <c r="P118" s="2">
        <v>75506.36</v>
      </c>
      <c r="Q118" s="2"/>
      <c r="R118" s="19">
        <f t="shared" si="16"/>
        <v>1.4889310955549353E-2</v>
      </c>
      <c r="S118" s="2"/>
      <c r="T118" s="2">
        <v>82233.260000000009</v>
      </c>
      <c r="U118" s="2"/>
      <c r="V118" s="19">
        <f t="shared" si="17"/>
        <v>1.5312729895985264E-2</v>
      </c>
      <c r="W118" s="2"/>
      <c r="X118" s="2">
        <f t="shared" si="18"/>
        <v>-6726.9000000000087</v>
      </c>
      <c r="Y118" s="2"/>
      <c r="Z118" s="19">
        <f t="shared" si="19"/>
        <v>-8.1802667193298775E-2</v>
      </c>
    </row>
    <row r="119" spans="1:26" s="24" customFormat="1" hidden="1" outlineLevel="1" x14ac:dyDescent="0.25">
      <c r="A119" s="44"/>
      <c r="B119" s="11" t="str">
        <f>CONCATENATE("          ", "5028", " - ", "PURCHASES @ COST-ART/TECH")</f>
        <v xml:space="preserve">          5028 - PURCHASES @ COST-ART/TECH</v>
      </c>
      <c r="C119" s="11"/>
      <c r="D119" s="2">
        <v>4931.4399999999996</v>
      </c>
      <c r="E119" s="2"/>
      <c r="F119" s="19">
        <f t="shared" si="12"/>
        <v>1.0949926021874898E-2</v>
      </c>
      <c r="G119" s="2"/>
      <c r="H119" s="2">
        <v>2870.17</v>
      </c>
      <c r="I119" s="2"/>
      <c r="J119" s="19">
        <f t="shared" si="13"/>
        <v>8.1602071648686995E-3</v>
      </c>
      <c r="K119" s="2"/>
      <c r="L119" s="2">
        <f t="shared" si="14"/>
        <v>2061.2699999999995</v>
      </c>
      <c r="M119" s="2"/>
      <c r="N119" s="19">
        <f t="shared" si="15"/>
        <v>0.71817000386736651</v>
      </c>
      <c r="O119" s="11"/>
      <c r="P119" s="2">
        <v>95270.51</v>
      </c>
      <c r="Q119" s="2"/>
      <c r="R119" s="19">
        <f t="shared" si="16"/>
        <v>1.8786659140816404E-2</v>
      </c>
      <c r="S119" s="2"/>
      <c r="T119" s="2">
        <v>85665.68</v>
      </c>
      <c r="U119" s="2"/>
      <c r="V119" s="19">
        <f t="shared" si="17"/>
        <v>1.595188393596346E-2</v>
      </c>
      <c r="W119" s="2"/>
      <c r="X119" s="2">
        <f t="shared" si="18"/>
        <v>9604.8300000000017</v>
      </c>
      <c r="Y119" s="2"/>
      <c r="Z119" s="19">
        <f t="shared" si="19"/>
        <v>0.11211992947467414</v>
      </c>
    </row>
    <row r="120" spans="1:26" s="24" customFormat="1" hidden="1" outlineLevel="1" x14ac:dyDescent="0.25">
      <c r="A120" s="44"/>
      <c r="B120" s="11" t="str">
        <f>CONCATENATE("          ", "5031", " - ", "PURCHASES @ COST-FOOD")</f>
        <v xml:space="preserve">          5031 - PURCHASES @ COST-FOOD</v>
      </c>
      <c r="C120" s="11"/>
      <c r="D120" s="2">
        <v>4825.3999999999996</v>
      </c>
      <c r="E120" s="2"/>
      <c r="F120" s="19">
        <f t="shared" si="12"/>
        <v>1.0714471437542611E-2</v>
      </c>
      <c r="G120" s="2"/>
      <c r="H120" s="2">
        <v>4001.16</v>
      </c>
      <c r="I120" s="2"/>
      <c r="J120" s="19">
        <f t="shared" si="13"/>
        <v>1.1375735409326291E-2</v>
      </c>
      <c r="K120" s="2"/>
      <c r="L120" s="2">
        <f t="shared" si="14"/>
        <v>824.23999999999978</v>
      </c>
      <c r="M120" s="2"/>
      <c r="N120" s="19">
        <f t="shared" si="15"/>
        <v>0.20600025992462181</v>
      </c>
      <c r="O120" s="11"/>
      <c r="P120" s="2">
        <v>20814.489999999998</v>
      </c>
      <c r="Q120" s="2"/>
      <c r="R120" s="19">
        <f t="shared" si="16"/>
        <v>4.1044676765132427E-3</v>
      </c>
      <c r="S120" s="2"/>
      <c r="T120" s="2">
        <v>17422.769999999997</v>
      </c>
      <c r="U120" s="2"/>
      <c r="V120" s="19">
        <f t="shared" si="17"/>
        <v>3.2443097969103388E-3</v>
      </c>
      <c r="W120" s="2"/>
      <c r="X120" s="2">
        <f t="shared" si="18"/>
        <v>3391.7200000000012</v>
      </c>
      <c r="Y120" s="2"/>
      <c r="Z120" s="19">
        <f t="shared" si="19"/>
        <v>0.19467168538642257</v>
      </c>
    </row>
    <row r="121" spans="1:26" s="24" customFormat="1" hidden="1" outlineLevel="1" x14ac:dyDescent="0.25">
      <c r="A121" s="44"/>
      <c r="B121" s="11" t="str">
        <f>CONCATENATE("          ", "5032", " - ", "PURCHASES @ COST-JUICE")</f>
        <v xml:space="preserve">          5032 - PURCHASES @ COST-JUICE</v>
      </c>
      <c r="C121" s="11"/>
      <c r="D121" s="2">
        <v>1278.21</v>
      </c>
      <c r="E121" s="2"/>
      <c r="F121" s="19">
        <f t="shared" si="12"/>
        <v>2.8381780859993663E-3</v>
      </c>
      <c r="G121" s="2"/>
      <c r="H121" s="2">
        <v>842.58</v>
      </c>
      <c r="I121" s="2"/>
      <c r="J121" s="19">
        <f t="shared" si="13"/>
        <v>2.3955470766453099E-3</v>
      </c>
      <c r="K121" s="2"/>
      <c r="L121" s="2">
        <f t="shared" si="14"/>
        <v>435.63</v>
      </c>
      <c r="M121" s="2"/>
      <c r="N121" s="19">
        <f t="shared" si="15"/>
        <v>0.51701915545111443</v>
      </c>
      <c r="O121" s="11"/>
      <c r="P121" s="2">
        <v>4662.49</v>
      </c>
      <c r="Q121" s="2"/>
      <c r="R121" s="19">
        <f t="shared" si="16"/>
        <v>9.1940948334867819E-4</v>
      </c>
      <c r="S121" s="2"/>
      <c r="T121" s="2">
        <v>4678.3500000000004</v>
      </c>
      <c r="U121" s="2"/>
      <c r="V121" s="19">
        <f t="shared" si="17"/>
        <v>8.7115979481881974E-4</v>
      </c>
      <c r="W121" s="2"/>
      <c r="X121" s="2">
        <f t="shared" si="18"/>
        <v>-15.860000000000582</v>
      </c>
      <c r="Y121" s="2"/>
      <c r="Z121" s="19">
        <f t="shared" si="19"/>
        <v>-3.3900841108511722E-3</v>
      </c>
    </row>
    <row r="122" spans="1:26" s="24" customFormat="1" hidden="1" outlineLevel="1" x14ac:dyDescent="0.25">
      <c r="A122" s="44"/>
      <c r="B122" s="11" t="str">
        <f>CONCATENATE("          ", "5033", " - ", "PURCHASES @ COST-CANDY")</f>
        <v xml:space="preserve">          5033 - PURCHASES @ COST-CANDY</v>
      </c>
      <c r="C122" s="11"/>
      <c r="D122" s="2">
        <v>1482.54</v>
      </c>
      <c r="E122" s="2"/>
      <c r="F122" s="19">
        <f t="shared" si="12"/>
        <v>3.2918789084872596E-3</v>
      </c>
      <c r="G122" s="2"/>
      <c r="H122" s="2">
        <v>871.44</v>
      </c>
      <c r="I122" s="2"/>
      <c r="J122" s="19">
        <f t="shared" si="13"/>
        <v>2.4775992125042E-3</v>
      </c>
      <c r="K122" s="2"/>
      <c r="L122" s="2">
        <f t="shared" si="14"/>
        <v>611.09999999999991</v>
      </c>
      <c r="M122" s="2"/>
      <c r="N122" s="19">
        <f t="shared" si="15"/>
        <v>0.70125309832002192</v>
      </c>
      <c r="O122" s="11"/>
      <c r="P122" s="2">
        <v>5937.74</v>
      </c>
      <c r="Q122" s="2"/>
      <c r="R122" s="19">
        <f t="shared" si="16"/>
        <v>1.1708796084621694E-3</v>
      </c>
      <c r="S122" s="2"/>
      <c r="T122" s="2">
        <v>4438.3599999999997</v>
      </c>
      <c r="U122" s="2"/>
      <c r="V122" s="19">
        <f t="shared" si="17"/>
        <v>8.2647103934764521E-4</v>
      </c>
      <c r="W122" s="2"/>
      <c r="X122" s="2">
        <f t="shared" si="18"/>
        <v>1499.38</v>
      </c>
      <c r="Y122" s="2"/>
      <c r="Z122" s="19">
        <f t="shared" si="19"/>
        <v>0.33782297965915342</v>
      </c>
    </row>
    <row r="123" spans="1:26" s="24" customFormat="1" hidden="1" outlineLevel="1" x14ac:dyDescent="0.25">
      <c r="A123" s="44"/>
      <c r="B123" s="11" t="str">
        <f>CONCATENATE("          ", "5034", " - ", "PURCHASES @ COST-SODA")</f>
        <v xml:space="preserve">          5034 - PURCHASES @ COST-SODA</v>
      </c>
      <c r="C123" s="11"/>
      <c r="D123" s="2">
        <v>587.38</v>
      </c>
      <c r="E123" s="2"/>
      <c r="F123" s="19">
        <f t="shared" si="12"/>
        <v>1.3042372099688687E-3</v>
      </c>
      <c r="G123" s="2"/>
      <c r="H123" s="2">
        <v>402.87</v>
      </c>
      <c r="I123" s="2"/>
      <c r="J123" s="19">
        <f t="shared" si="13"/>
        <v>1.1454034640842365E-3</v>
      </c>
      <c r="K123" s="2"/>
      <c r="L123" s="2">
        <f t="shared" si="14"/>
        <v>184.51</v>
      </c>
      <c r="M123" s="2"/>
      <c r="N123" s="19">
        <f t="shared" si="15"/>
        <v>0.45798892943133018</v>
      </c>
      <c r="O123" s="11"/>
      <c r="P123" s="2">
        <v>2081.92</v>
      </c>
      <c r="Q123" s="2"/>
      <c r="R123" s="19">
        <f t="shared" si="16"/>
        <v>4.1053964546267774E-4</v>
      </c>
      <c r="S123" s="2"/>
      <c r="T123" s="2">
        <v>1660.62</v>
      </c>
      <c r="U123" s="2"/>
      <c r="V123" s="19">
        <f t="shared" si="17"/>
        <v>3.0922555569207693E-4</v>
      </c>
      <c r="W123" s="2"/>
      <c r="X123" s="2">
        <f t="shared" si="18"/>
        <v>421.30000000000018</v>
      </c>
      <c r="Y123" s="2"/>
      <c r="Z123" s="19">
        <f t="shared" si="19"/>
        <v>0.25370042514241681</v>
      </c>
    </row>
    <row r="124" spans="1:26" s="24" customFormat="1" hidden="1" outlineLevel="1" x14ac:dyDescent="0.25">
      <c r="A124" s="44"/>
      <c r="B124" s="11" t="str">
        <f>CONCATENATE("          ", "5035", " - ", "PURCHASES @ COST-HEALTH &amp; BEAU")</f>
        <v xml:space="preserve">          5035 - PURCHASES @ COST-HEALTH &amp; BEAU</v>
      </c>
      <c r="C124" s="11"/>
      <c r="D124" s="2">
        <v>222.52</v>
      </c>
      <c r="E124" s="2"/>
      <c r="F124" s="19">
        <f t="shared" si="12"/>
        <v>4.9409047628838686E-4</v>
      </c>
      <c r="G124" s="2"/>
      <c r="H124" s="2">
        <v>88.54</v>
      </c>
      <c r="I124" s="2"/>
      <c r="J124" s="19">
        <f t="shared" si="13"/>
        <v>2.517289019038854E-4</v>
      </c>
      <c r="K124" s="2"/>
      <c r="L124" s="2">
        <f t="shared" si="14"/>
        <v>133.98000000000002</v>
      </c>
      <c r="M124" s="2"/>
      <c r="N124" s="19">
        <f t="shared" si="15"/>
        <v>1.5132143663880733</v>
      </c>
      <c r="O124" s="11"/>
      <c r="P124" s="2">
        <v>801.21</v>
      </c>
      <c r="Q124" s="2"/>
      <c r="R124" s="19">
        <f t="shared" si="16"/>
        <v>1.5799284763158623E-4</v>
      </c>
      <c r="S124" s="2"/>
      <c r="T124" s="2">
        <v>557.87</v>
      </c>
      <c r="U124" s="2"/>
      <c r="V124" s="19">
        <f t="shared" si="17"/>
        <v>1.0388147845620249E-4</v>
      </c>
      <c r="W124" s="2"/>
      <c r="X124" s="2">
        <f t="shared" si="18"/>
        <v>243.34000000000003</v>
      </c>
      <c r="Y124" s="2"/>
      <c r="Z124" s="19">
        <f t="shared" si="19"/>
        <v>0.43619481241149377</v>
      </c>
    </row>
    <row r="125" spans="1:26" s="24" customFormat="1" hidden="1" outlineLevel="1" x14ac:dyDescent="0.25">
      <c r="A125" s="44"/>
      <c r="B125" s="11" t="str">
        <f>CONCATENATE("          ", "5037", " - ", "PURCHASES @ COST-WATER")</f>
        <v xml:space="preserve">          5037 - PURCHASES @ COST-WATER</v>
      </c>
      <c r="C125" s="11"/>
      <c r="D125" s="2">
        <v>667.52</v>
      </c>
      <c r="E125" s="2"/>
      <c r="F125" s="19">
        <f t="shared" si="12"/>
        <v>1.4821826115945713E-3</v>
      </c>
      <c r="G125" s="2"/>
      <c r="H125" s="2">
        <v>805.53</v>
      </c>
      <c r="I125" s="2"/>
      <c r="J125" s="19">
        <f t="shared" si="13"/>
        <v>2.2902098752048427E-3</v>
      </c>
      <c r="K125" s="2"/>
      <c r="L125" s="2">
        <f t="shared" si="14"/>
        <v>-138.01</v>
      </c>
      <c r="M125" s="2"/>
      <c r="N125" s="19">
        <f t="shared" si="15"/>
        <v>-0.17132819385994313</v>
      </c>
      <c r="O125" s="11"/>
      <c r="P125" s="2">
        <v>3523.37</v>
      </c>
      <c r="Q125" s="2"/>
      <c r="R125" s="19">
        <f t="shared" si="16"/>
        <v>6.9478321483718616E-4</v>
      </c>
      <c r="S125" s="2"/>
      <c r="T125" s="2">
        <v>3471.61</v>
      </c>
      <c r="U125" s="2"/>
      <c r="V125" s="19">
        <f t="shared" si="17"/>
        <v>6.4645164540724027E-4</v>
      </c>
      <c r="W125" s="2"/>
      <c r="X125" s="2">
        <f t="shared" si="18"/>
        <v>51.759999999999764</v>
      </c>
      <c r="Y125" s="2"/>
      <c r="Z125" s="19">
        <f t="shared" si="19"/>
        <v>1.4909508844599411E-2</v>
      </c>
    </row>
    <row r="126" spans="1:26" s="24" customFormat="1" hidden="1" outlineLevel="1" x14ac:dyDescent="0.25">
      <c r="A126" s="44"/>
      <c r="B126" s="11" t="str">
        <f>CONCATENATE("          ", "5040", " - ", "PURCHASES @ COST-LOGO CLOTHING")</f>
        <v xml:space="preserve">          5040 - PURCHASES @ COST-LOGO CLOTHING</v>
      </c>
      <c r="C126" s="11"/>
      <c r="D126" s="2">
        <v>105691.4</v>
      </c>
      <c r="E126" s="2"/>
      <c r="F126" s="19">
        <f t="shared" si="12"/>
        <v>0.23468054181910125</v>
      </c>
      <c r="G126" s="2"/>
      <c r="H126" s="2">
        <v>105025.65000000001</v>
      </c>
      <c r="I126" s="2"/>
      <c r="J126" s="19">
        <f t="shared" si="13"/>
        <v>0.29859940756993225</v>
      </c>
      <c r="K126" s="2"/>
      <c r="L126" s="2">
        <f t="shared" si="14"/>
        <v>665.74999999998545</v>
      </c>
      <c r="M126" s="2"/>
      <c r="N126" s="19">
        <f t="shared" si="15"/>
        <v>6.3389276809996927E-3</v>
      </c>
      <c r="O126" s="11"/>
      <c r="P126" s="2">
        <v>618292.30999999994</v>
      </c>
      <c r="Q126" s="2"/>
      <c r="R126" s="19">
        <f t="shared" si="16"/>
        <v>0.12192279517930564</v>
      </c>
      <c r="S126" s="2"/>
      <c r="T126" s="2">
        <v>548235.94000000006</v>
      </c>
      <c r="U126" s="2"/>
      <c r="V126" s="19">
        <f t="shared" si="17"/>
        <v>0.10208751140951464</v>
      </c>
      <c r="W126" s="2"/>
      <c r="X126" s="2">
        <f t="shared" si="18"/>
        <v>70056.369999999879</v>
      </c>
      <c r="Y126" s="2"/>
      <c r="Z126" s="19">
        <f t="shared" si="19"/>
        <v>0.1277850737038507</v>
      </c>
    </row>
    <row r="127" spans="1:26" s="24" customFormat="1" hidden="1" outlineLevel="1" x14ac:dyDescent="0.25">
      <c r="A127" s="44"/>
      <c r="B127" s="11" t="str">
        <f>CONCATENATE("          ", "5041", " - ", "PURCHASES @ COST-LOGO GIFTS")</f>
        <v xml:space="preserve">          5041 - PURCHASES @ COST-LOGO GIFTS</v>
      </c>
      <c r="C127" s="11"/>
      <c r="D127" s="2">
        <v>18340.09</v>
      </c>
      <c r="E127" s="2"/>
      <c r="F127" s="19">
        <f t="shared" si="12"/>
        <v>4.0722918404062024E-2</v>
      </c>
      <c r="G127" s="2"/>
      <c r="H127" s="2">
        <v>13418.66</v>
      </c>
      <c r="I127" s="2"/>
      <c r="J127" s="19">
        <f t="shared" si="13"/>
        <v>3.815071771878914E-2</v>
      </c>
      <c r="K127" s="2"/>
      <c r="L127" s="2">
        <f t="shared" si="14"/>
        <v>4921.43</v>
      </c>
      <c r="M127" s="2"/>
      <c r="N127" s="19">
        <f t="shared" si="15"/>
        <v>0.36676016830294533</v>
      </c>
      <c r="O127" s="11"/>
      <c r="P127" s="2">
        <v>88796.55</v>
      </c>
      <c r="Q127" s="2"/>
      <c r="R127" s="19">
        <f t="shared" si="16"/>
        <v>1.7510040806231236E-2</v>
      </c>
      <c r="S127" s="2"/>
      <c r="T127" s="2">
        <v>96519.51</v>
      </c>
      <c r="U127" s="2"/>
      <c r="V127" s="19">
        <f t="shared" si="17"/>
        <v>1.7972985460175703E-2</v>
      </c>
      <c r="W127" s="2"/>
      <c r="X127" s="2">
        <f t="shared" si="18"/>
        <v>-7722.9599999999919</v>
      </c>
      <c r="Y127" s="2"/>
      <c r="Z127" s="19">
        <f t="shared" si="19"/>
        <v>-8.0014496551008105E-2</v>
      </c>
    </row>
    <row r="128" spans="1:26" s="24" customFormat="1" hidden="1" outlineLevel="1" x14ac:dyDescent="0.25">
      <c r="A128" s="44"/>
      <c r="B128" s="11" t="str">
        <f>CONCATENATE("          ", "5042", " - ", "PURCHASES @ COST-EVERYDAY GIFT")</f>
        <v xml:space="preserve">          5042 - PURCHASES @ COST-EVERYDAY GIFT</v>
      </c>
      <c r="C128" s="11"/>
      <c r="D128" s="2">
        <v>31316.85</v>
      </c>
      <c r="E128" s="2"/>
      <c r="F128" s="19">
        <f t="shared" si="12"/>
        <v>6.9536928511378604E-2</v>
      </c>
      <c r="G128" s="2"/>
      <c r="H128" s="2">
        <v>14055.43</v>
      </c>
      <c r="I128" s="2"/>
      <c r="J128" s="19">
        <f t="shared" si="13"/>
        <v>3.9961124459983371E-2</v>
      </c>
      <c r="K128" s="2"/>
      <c r="L128" s="2">
        <f t="shared" si="14"/>
        <v>17261.419999999998</v>
      </c>
      <c r="M128" s="2"/>
      <c r="N128" s="19">
        <f t="shared" si="15"/>
        <v>1.2280961877366967</v>
      </c>
      <c r="O128" s="11"/>
      <c r="P128" s="2">
        <v>80565.319999999992</v>
      </c>
      <c r="Q128" s="2"/>
      <c r="R128" s="19">
        <f t="shared" si="16"/>
        <v>1.5886901470463406E-2</v>
      </c>
      <c r="S128" s="2"/>
      <c r="T128" s="2">
        <v>74390.78</v>
      </c>
      <c r="U128" s="2"/>
      <c r="V128" s="19">
        <f t="shared" si="17"/>
        <v>1.3852374585315753E-2</v>
      </c>
      <c r="W128" s="2"/>
      <c r="X128" s="2">
        <f t="shared" si="18"/>
        <v>6174.5399999999936</v>
      </c>
      <c r="Y128" s="2"/>
      <c r="Z128" s="19">
        <f t="shared" si="19"/>
        <v>8.3001414960294728E-2</v>
      </c>
    </row>
    <row r="129" spans="1:26" s="24" customFormat="1" hidden="1" outlineLevel="1" x14ac:dyDescent="0.25">
      <c r="A129" s="44"/>
      <c r="B129" s="11" t="str">
        <f>CONCATENATE("          ", "5043", " - ", "PURCHASES @ COST-CARDS")</f>
        <v xml:space="preserve">          5043 - PURCHASES @ COST-CARDS</v>
      </c>
      <c r="C129" s="11"/>
      <c r="D129" s="2">
        <v>2188.66</v>
      </c>
      <c r="E129" s="2"/>
      <c r="F129" s="19">
        <f t="shared" si="12"/>
        <v>4.8597701862005249E-3</v>
      </c>
      <c r="G129" s="2"/>
      <c r="H129" s="2">
        <v>455.53</v>
      </c>
      <c r="I129" s="2"/>
      <c r="J129" s="19">
        <f t="shared" si="13"/>
        <v>1.2951216024878799E-3</v>
      </c>
      <c r="K129" s="2"/>
      <c r="L129" s="2">
        <f t="shared" si="14"/>
        <v>1733.1299999999999</v>
      </c>
      <c r="M129" s="2"/>
      <c r="N129" s="19">
        <f t="shared" si="15"/>
        <v>3.804645138629728</v>
      </c>
      <c r="O129" s="11"/>
      <c r="P129" s="2">
        <v>3528.74</v>
      </c>
      <c r="Q129" s="2"/>
      <c r="R129" s="19">
        <f t="shared" si="16"/>
        <v>6.9584214020229846E-4</v>
      </c>
      <c r="S129" s="2"/>
      <c r="T129" s="2">
        <v>2263.87</v>
      </c>
      <c r="U129" s="2"/>
      <c r="V129" s="19">
        <f t="shared" si="17"/>
        <v>4.2155728508907651E-4</v>
      </c>
      <c r="W129" s="2"/>
      <c r="X129" s="2">
        <f t="shared" si="18"/>
        <v>1264.8699999999999</v>
      </c>
      <c r="Y129" s="2"/>
      <c r="Z129" s="19">
        <f t="shared" si="19"/>
        <v>0.55872024453700964</v>
      </c>
    </row>
    <row r="130" spans="1:26" s="24" customFormat="1" hidden="1" outlineLevel="1" x14ac:dyDescent="0.25">
      <c r="A130" s="44"/>
      <c r="B130" s="11" t="str">
        <f>CONCATENATE("          ", "5044", " - ", "PURCHASES @ COST-ACCESSORIES")</f>
        <v xml:space="preserve">          5044 - PURCHASES @ COST-ACCESSORIES</v>
      </c>
      <c r="C130" s="11"/>
      <c r="D130" s="2">
        <v>-6895.55</v>
      </c>
      <c r="E130" s="2"/>
      <c r="F130" s="19">
        <f t="shared" si="12"/>
        <v>-1.5311098255304629E-2</v>
      </c>
      <c r="G130" s="2"/>
      <c r="H130" s="2">
        <v>1191.96</v>
      </c>
      <c r="I130" s="2"/>
      <c r="J130" s="19">
        <f t="shared" si="13"/>
        <v>3.3888726215648883E-3</v>
      </c>
      <c r="K130" s="2"/>
      <c r="L130" s="2">
        <f t="shared" si="14"/>
        <v>-8087.51</v>
      </c>
      <c r="M130" s="2"/>
      <c r="N130" s="19">
        <f t="shared" si="15"/>
        <v>-6.7850515117956975</v>
      </c>
      <c r="O130" s="11"/>
      <c r="P130" s="2">
        <v>17255.580000000002</v>
      </c>
      <c r="Q130" s="2"/>
      <c r="R130" s="19">
        <f t="shared" si="16"/>
        <v>3.4026762293713846E-3</v>
      </c>
      <c r="S130" s="2"/>
      <c r="T130" s="2">
        <v>20139.030000000002</v>
      </c>
      <c r="U130" s="2"/>
      <c r="V130" s="19">
        <f t="shared" si="17"/>
        <v>3.7501070340291032E-3</v>
      </c>
      <c r="W130" s="2"/>
      <c r="X130" s="2">
        <f t="shared" si="18"/>
        <v>-2883.4500000000007</v>
      </c>
      <c r="Y130" s="2"/>
      <c r="Z130" s="19">
        <f t="shared" si="19"/>
        <v>-0.14317720366869707</v>
      </c>
    </row>
    <row r="131" spans="1:26" s="24" customFormat="1" hidden="1" outlineLevel="1" x14ac:dyDescent="0.25">
      <c r="A131" s="44"/>
      <c r="B131" s="11" t="str">
        <f>CONCATENATE("          ", "5045", " - ", "PURCHASES @ COST-SPECIAL ORDER")</f>
        <v xml:space="preserve">          5045 - PURCHASES @ COST-SPECIAL ORDER</v>
      </c>
      <c r="C131" s="11"/>
      <c r="D131" s="2">
        <v>14163.29</v>
      </c>
      <c r="E131" s="2"/>
      <c r="F131" s="19">
        <f t="shared" si="12"/>
        <v>3.1448619009125232E-2</v>
      </c>
      <c r="G131" s="2"/>
      <c r="H131" s="2">
        <v>7341.66</v>
      </c>
      <c r="I131" s="2"/>
      <c r="J131" s="19">
        <f t="shared" si="13"/>
        <v>2.0873142195072046E-2</v>
      </c>
      <c r="K131" s="2"/>
      <c r="L131" s="2">
        <f t="shared" si="14"/>
        <v>6821.630000000001</v>
      </c>
      <c r="M131" s="2"/>
      <c r="N131" s="19">
        <f t="shared" si="15"/>
        <v>0.92916724555482022</v>
      </c>
      <c r="O131" s="11"/>
      <c r="P131" s="2">
        <v>42226.49</v>
      </c>
      <c r="Q131" s="2"/>
      <c r="R131" s="19">
        <f t="shared" si="16"/>
        <v>8.3267600261937563E-3</v>
      </c>
      <c r="S131" s="2"/>
      <c r="T131" s="2">
        <v>49312.08</v>
      </c>
      <c r="U131" s="2"/>
      <c r="V131" s="19">
        <f t="shared" si="17"/>
        <v>9.1824471223592129E-3</v>
      </c>
      <c r="W131" s="2"/>
      <c r="X131" s="2">
        <f t="shared" si="18"/>
        <v>-7085.5900000000038</v>
      </c>
      <c r="Y131" s="2"/>
      <c r="Z131" s="19">
        <f t="shared" si="19"/>
        <v>-0.14368872698129959</v>
      </c>
    </row>
    <row r="132" spans="1:26" s="24" customFormat="1" hidden="1" outlineLevel="1" x14ac:dyDescent="0.25">
      <c r="A132" s="44"/>
      <c r="B132" s="11" t="str">
        <f>CONCATENATE("          ", "5081", " - ", "PURCHASES @ COST-ELECTRONICS")</f>
        <v xml:space="preserve">          5081 - PURCHASES @ COST-ELECTRONICS</v>
      </c>
      <c r="C132" s="11"/>
      <c r="D132" s="2">
        <v>281.74</v>
      </c>
      <c r="E132" s="2"/>
      <c r="F132" s="19">
        <f t="shared" si="12"/>
        <v>6.2558444539587501E-4</v>
      </c>
      <c r="G132" s="2"/>
      <c r="H132" s="2">
        <v>315.07</v>
      </c>
      <c r="I132" s="2"/>
      <c r="J132" s="19">
        <f t="shared" si="13"/>
        <v>8.9577846309980976E-4</v>
      </c>
      <c r="K132" s="2"/>
      <c r="L132" s="2">
        <f t="shared" si="14"/>
        <v>-33.329999999999984</v>
      </c>
      <c r="M132" s="2"/>
      <c r="N132" s="19">
        <f t="shared" si="15"/>
        <v>-0.10578601580601131</v>
      </c>
      <c r="O132" s="11"/>
      <c r="P132" s="2">
        <v>1244.81</v>
      </c>
      <c r="Q132" s="2"/>
      <c r="R132" s="19">
        <f t="shared" si="16"/>
        <v>2.4546757611646738E-4</v>
      </c>
      <c r="S132" s="2"/>
      <c r="T132" s="2">
        <v>1844.8</v>
      </c>
      <c r="U132" s="2"/>
      <c r="V132" s="19">
        <f t="shared" si="17"/>
        <v>3.4352188046677962E-4</v>
      </c>
      <c r="W132" s="2"/>
      <c r="X132" s="2">
        <f t="shared" si="18"/>
        <v>-599.99</v>
      </c>
      <c r="Y132" s="2"/>
      <c r="Z132" s="19">
        <f t="shared" si="19"/>
        <v>-0.32523308759757158</v>
      </c>
    </row>
    <row r="133" spans="1:26" s="24" customFormat="1" hidden="1" outlineLevel="1" x14ac:dyDescent="0.25">
      <c r="A133" s="44"/>
      <c r="B133" s="11" t="str">
        <f>CONCATENATE("          ", "5082", " - ", "PURCHASES @ COST-COMPUTER HARD")</f>
        <v xml:space="preserve">          5082 - PURCHASES @ COST-COMPUTER HARD</v>
      </c>
      <c r="C133" s="11"/>
      <c r="D133" s="2">
        <v>95</v>
      </c>
      <c r="E133" s="2"/>
      <c r="F133" s="19">
        <f t="shared" si="12"/>
        <v>2.1094101764963487E-4</v>
      </c>
      <c r="G133" s="2"/>
      <c r="H133" s="2">
        <v>29</v>
      </c>
      <c r="I133" s="2"/>
      <c r="J133" s="19">
        <f t="shared" si="13"/>
        <v>8.2450171167976912E-5</v>
      </c>
      <c r="K133" s="2"/>
      <c r="L133" s="2">
        <f t="shared" si="14"/>
        <v>66</v>
      </c>
      <c r="M133" s="2"/>
      <c r="N133" s="19">
        <f t="shared" si="15"/>
        <v>2.2758620689655173</v>
      </c>
      <c r="O133" s="11"/>
      <c r="P133" s="2">
        <v>244.6</v>
      </c>
      <c r="Q133" s="2"/>
      <c r="R133" s="19">
        <f t="shared" si="16"/>
        <v>4.8233360206045842E-5</v>
      </c>
      <c r="S133" s="2"/>
      <c r="T133" s="2">
        <v>500</v>
      </c>
      <c r="U133" s="2"/>
      <c r="V133" s="19">
        <f t="shared" si="17"/>
        <v>9.3105453292167078E-5</v>
      </c>
      <c r="W133" s="2"/>
      <c r="X133" s="2">
        <f t="shared" si="18"/>
        <v>-255.4</v>
      </c>
      <c r="Y133" s="2"/>
      <c r="Z133" s="19">
        <f t="shared" si="19"/>
        <v>-0.51080000000000003</v>
      </c>
    </row>
    <row r="134" spans="1:26" s="24" customFormat="1" hidden="1" outlineLevel="1" x14ac:dyDescent="0.25">
      <c r="A134" s="44"/>
      <c r="B134" s="11" t="str">
        <f>CONCATENATE("          ", "5083", " - ", "PURCHASES @ COST-COMPUTER EQUI")</f>
        <v xml:space="preserve">          5083 - PURCHASES @ COST-COMPUTER EQUI</v>
      </c>
      <c r="C134" s="11"/>
      <c r="D134" s="2"/>
      <c r="E134" s="2"/>
      <c r="F134" s="19">
        <f t="shared" si="12"/>
        <v>0</v>
      </c>
      <c r="G134" s="2"/>
      <c r="H134" s="2">
        <v>146.77000000000001</v>
      </c>
      <c r="I134" s="2"/>
      <c r="J134" s="19">
        <f t="shared" si="13"/>
        <v>4.1728315939048178E-4</v>
      </c>
      <c r="K134" s="2"/>
      <c r="L134" s="2">
        <f t="shared" si="14"/>
        <v>-146.77000000000001</v>
      </c>
      <c r="M134" s="2"/>
      <c r="N134" s="19">
        <f t="shared" si="15"/>
        <v>-1</v>
      </c>
      <c r="O134" s="11"/>
      <c r="P134" s="2">
        <v>232.15</v>
      </c>
      <c r="Q134" s="2"/>
      <c r="R134" s="19">
        <f t="shared" si="16"/>
        <v>4.5778309778550869E-5</v>
      </c>
      <c r="S134" s="2"/>
      <c r="T134" s="2">
        <v>438.69</v>
      </c>
      <c r="U134" s="2"/>
      <c r="V134" s="19">
        <f t="shared" si="17"/>
        <v>8.1688862609481547E-5</v>
      </c>
      <c r="W134" s="2"/>
      <c r="X134" s="2">
        <f t="shared" si="18"/>
        <v>-206.54</v>
      </c>
      <c r="Y134" s="2"/>
      <c r="Z134" s="19">
        <f t="shared" si="19"/>
        <v>-0.47081082313250816</v>
      </c>
    </row>
    <row r="135" spans="1:26" s="24" customFormat="1" hidden="1" outlineLevel="1" x14ac:dyDescent="0.25">
      <c r="A135" s="44"/>
      <c r="B135" s="11" t="str">
        <f>CONCATENATE("          ", "5086", " - ", "PURCHASES @ COST-COMPUTER SUPP")</f>
        <v xml:space="preserve">          5086 - PURCHASES @ COST-COMPUTER SUPP</v>
      </c>
      <c r="C135" s="11"/>
      <c r="D135" s="2">
        <v>87</v>
      </c>
      <c r="E135" s="2"/>
      <c r="F135" s="19">
        <f t="shared" si="12"/>
        <v>1.9317756353177089E-4</v>
      </c>
      <c r="G135" s="2"/>
      <c r="H135" s="2">
        <v>31.23</v>
      </c>
      <c r="I135" s="2"/>
      <c r="J135" s="19">
        <f t="shared" si="13"/>
        <v>8.8790305019859273E-5</v>
      </c>
      <c r="K135" s="2"/>
      <c r="L135" s="2">
        <f t="shared" si="14"/>
        <v>55.769999999999996</v>
      </c>
      <c r="M135" s="2"/>
      <c r="N135" s="19">
        <f t="shared" si="15"/>
        <v>1.7857829010566761</v>
      </c>
      <c r="O135" s="11"/>
      <c r="P135" s="2">
        <v>228</v>
      </c>
      <c r="Q135" s="2"/>
      <c r="R135" s="19">
        <f t="shared" si="16"/>
        <v>4.4959959636052549E-5</v>
      </c>
      <c r="S135" s="2"/>
      <c r="T135" s="2">
        <v>488.76</v>
      </c>
      <c r="U135" s="2"/>
      <c r="V135" s="19">
        <f t="shared" si="17"/>
        <v>9.1012442702159154E-5</v>
      </c>
      <c r="W135" s="2"/>
      <c r="X135" s="2">
        <f t="shared" si="18"/>
        <v>-260.76</v>
      </c>
      <c r="Y135" s="2"/>
      <c r="Z135" s="19">
        <f t="shared" si="19"/>
        <v>-0.53351338080039279</v>
      </c>
    </row>
    <row r="136" spans="1:26" s="24" customFormat="1" hidden="1" outlineLevel="1" x14ac:dyDescent="0.25">
      <c r="A136" s="44"/>
      <c r="B136" s="11" t="str">
        <f>CONCATENATE("          ", "5092", " - ", "PURCHASES @ COST-GRAD MERCH")</f>
        <v xml:space="preserve">          5092 - PURCHASES @ COST-GRAD MERCH</v>
      </c>
      <c r="C136" s="11"/>
      <c r="D136" s="2">
        <v>628</v>
      </c>
      <c r="E136" s="2"/>
      <c r="F136" s="19">
        <f t="shared" si="12"/>
        <v>1.3944311482523232E-3</v>
      </c>
      <c r="G136" s="2"/>
      <c r="H136" s="2"/>
      <c r="I136" s="2"/>
      <c r="J136" s="19">
        <f t="shared" si="13"/>
        <v>0</v>
      </c>
      <c r="K136" s="2"/>
      <c r="L136" s="2">
        <f t="shared" si="14"/>
        <v>628</v>
      </c>
      <c r="M136" s="2"/>
      <c r="N136" s="19">
        <f t="shared" si="15"/>
        <v>0</v>
      </c>
      <c r="O136" s="11"/>
      <c r="P136" s="2">
        <v>1924.14</v>
      </c>
      <c r="Q136" s="2"/>
      <c r="R136" s="19">
        <f t="shared" si="16"/>
        <v>3.7942656462330767E-4</v>
      </c>
      <c r="S136" s="2"/>
      <c r="T136" s="2">
        <v>-2698.04</v>
      </c>
      <c r="U136" s="2"/>
      <c r="V136" s="19">
        <f t="shared" si="17"/>
        <v>-5.0240447440079688E-4</v>
      </c>
      <c r="W136" s="2"/>
      <c r="X136" s="2">
        <f t="shared" si="18"/>
        <v>4622.18</v>
      </c>
      <c r="Y136" s="2"/>
      <c r="Z136" s="19">
        <f t="shared" si="19"/>
        <v>-1.7131621473365852</v>
      </c>
    </row>
    <row r="137" spans="1:26" s="24" customFormat="1" hidden="1" outlineLevel="1" x14ac:dyDescent="0.25">
      <c r="A137" s="44"/>
      <c r="B137" s="11" t="str">
        <f>CONCATENATE("          ", "5095", " - ", "PURCHASES @ COST-CUSTOMER SERV")</f>
        <v xml:space="preserve">          5095 - PURCHASES @ COST-CUSTOMER SERV</v>
      </c>
      <c r="C137" s="11"/>
      <c r="D137" s="2"/>
      <c r="E137" s="2"/>
      <c r="F137" s="19">
        <f t="shared" si="12"/>
        <v>0</v>
      </c>
      <c r="G137" s="2"/>
      <c r="H137" s="2"/>
      <c r="I137" s="2"/>
      <c r="J137" s="19">
        <f t="shared" si="13"/>
        <v>0</v>
      </c>
      <c r="K137" s="2"/>
      <c r="L137" s="2">
        <f t="shared" si="14"/>
        <v>0</v>
      </c>
      <c r="M137" s="2"/>
      <c r="N137" s="19">
        <f t="shared" si="15"/>
        <v>0</v>
      </c>
      <c r="O137" s="11"/>
      <c r="P137" s="2">
        <v>0</v>
      </c>
      <c r="Q137" s="2"/>
      <c r="R137" s="19">
        <f t="shared" si="16"/>
        <v>0</v>
      </c>
      <c r="S137" s="2"/>
      <c r="T137" s="2">
        <v>0</v>
      </c>
      <c r="U137" s="2"/>
      <c r="V137" s="19">
        <f t="shared" si="17"/>
        <v>0</v>
      </c>
      <c r="W137" s="2"/>
      <c r="X137" s="2">
        <f t="shared" si="18"/>
        <v>0</v>
      </c>
      <c r="Y137" s="2"/>
      <c r="Z137" s="19">
        <f t="shared" si="19"/>
        <v>0</v>
      </c>
    </row>
    <row r="138" spans="1:26" s="24" customFormat="1" hidden="1" outlineLevel="1" x14ac:dyDescent="0.25">
      <c r="A138" s="44"/>
      <c r="B138" s="11" t="str">
        <f>CONCATENATE("          ", "5200", " - ", "PURCHASES OFFSET")</f>
        <v xml:space="preserve">          5200 - PURCHASES OFFSET</v>
      </c>
      <c r="C138" s="11"/>
      <c r="D138" s="2">
        <v>114626</v>
      </c>
      <c r="E138" s="2"/>
      <c r="F138" s="19">
        <f t="shared" si="12"/>
        <v>0.25451921146428469</v>
      </c>
      <c r="G138" s="2"/>
      <c r="H138" s="2">
        <v>-171776</v>
      </c>
      <c r="I138" s="2"/>
      <c r="J138" s="19">
        <f t="shared" si="13"/>
        <v>-0.48837795181208282</v>
      </c>
      <c r="K138" s="2"/>
      <c r="L138" s="2">
        <f t="shared" si="14"/>
        <v>286402</v>
      </c>
      <c r="M138" s="2"/>
      <c r="N138" s="19">
        <f t="shared" si="15"/>
        <v>-1.6672992734724292</v>
      </c>
      <c r="O138" s="11"/>
      <c r="P138" s="2">
        <v>-2624146</v>
      </c>
      <c r="Q138" s="2"/>
      <c r="R138" s="19">
        <f t="shared" si="16"/>
        <v>-0.51746271157503831</v>
      </c>
      <c r="S138" s="2"/>
      <c r="T138" s="2">
        <v>-2635847</v>
      </c>
      <c r="U138" s="2"/>
      <c r="V138" s="19">
        <f t="shared" si="17"/>
        <v>-0.49082345948759742</v>
      </c>
      <c r="W138" s="2"/>
      <c r="X138" s="2">
        <f t="shared" si="18"/>
        <v>11701</v>
      </c>
      <c r="Y138" s="2"/>
      <c r="Z138" s="19">
        <f t="shared" si="19"/>
        <v>-4.4391802710855369E-3</v>
      </c>
    </row>
    <row r="139" spans="1:26" s="24" customFormat="1" hidden="1" outlineLevel="1" x14ac:dyDescent="0.25">
      <c r="A139" s="44"/>
      <c r="B139" s="11" t="str">
        <f>CONCATENATE("          ", "5300", " - ", "COG$ OFFSET")</f>
        <v xml:space="preserve">          5300 - COG$ OFFSET</v>
      </c>
      <c r="C139" s="11"/>
      <c r="D139" s="2">
        <v>210505</v>
      </c>
      <c r="E139" s="2"/>
      <c r="F139" s="19">
        <f t="shared" si="12"/>
        <v>0.4674119886351199</v>
      </c>
      <c r="G139" s="2"/>
      <c r="H139" s="2">
        <v>157616</v>
      </c>
      <c r="I139" s="2"/>
      <c r="J139" s="19">
        <f t="shared" si="13"/>
        <v>0.4481195234073051</v>
      </c>
      <c r="K139" s="2"/>
      <c r="L139" s="2">
        <f t="shared" si="14"/>
        <v>52889</v>
      </c>
      <c r="M139" s="2"/>
      <c r="N139" s="19">
        <f t="shared" si="15"/>
        <v>0.33555603492031266</v>
      </c>
      <c r="O139" s="11"/>
      <c r="P139" s="2">
        <v>2342898</v>
      </c>
      <c r="Q139" s="2"/>
      <c r="R139" s="19">
        <f t="shared" si="16"/>
        <v>0.4620026294359133</v>
      </c>
      <c r="S139" s="2"/>
      <c r="T139" s="2">
        <v>2522138</v>
      </c>
      <c r="U139" s="2"/>
      <c r="V139" s="19">
        <f t="shared" si="17"/>
        <v>0.46964960351079937</v>
      </c>
      <c r="W139" s="2"/>
      <c r="X139" s="2">
        <f t="shared" si="18"/>
        <v>-179240</v>
      </c>
      <c r="Y139" s="2"/>
      <c r="Z139" s="19">
        <f t="shared" si="19"/>
        <v>-7.1066690244546496E-2</v>
      </c>
    </row>
    <row r="140" spans="1:26" s="24" customFormat="1" hidden="1" outlineLevel="1" x14ac:dyDescent="0.25">
      <c r="A140" s="44"/>
      <c r="B140" s="11" t="str">
        <f>CONCATENATE("          ", "5500", " - ", "FREIGHT-IN")</f>
        <v xml:space="preserve">          5500 - FREIGHT-IN</v>
      </c>
      <c r="C140" s="11"/>
      <c r="D140" s="2"/>
      <c r="E140" s="2"/>
      <c r="F140" s="19">
        <f t="shared" si="12"/>
        <v>0</v>
      </c>
      <c r="G140" s="2"/>
      <c r="H140" s="2"/>
      <c r="I140" s="2"/>
      <c r="J140" s="19">
        <f t="shared" si="13"/>
        <v>0</v>
      </c>
      <c r="K140" s="2"/>
      <c r="L140" s="2">
        <f t="shared" si="14"/>
        <v>0</v>
      </c>
      <c r="M140" s="2"/>
      <c r="N140" s="19">
        <f t="shared" si="15"/>
        <v>0</v>
      </c>
      <c r="O140" s="11"/>
      <c r="P140" s="2">
        <v>35.229999999999997</v>
      </c>
      <c r="Q140" s="2"/>
      <c r="R140" s="19">
        <f t="shared" si="16"/>
        <v>6.9471025349918028E-6</v>
      </c>
      <c r="S140" s="2"/>
      <c r="T140" s="2">
        <v>0</v>
      </c>
      <c r="U140" s="2"/>
      <c r="V140" s="19">
        <f t="shared" si="17"/>
        <v>0</v>
      </c>
      <c r="W140" s="2"/>
      <c r="X140" s="2">
        <f t="shared" si="18"/>
        <v>35.229999999999997</v>
      </c>
      <c r="Y140" s="2"/>
      <c r="Z140" s="19">
        <f t="shared" si="19"/>
        <v>0</v>
      </c>
    </row>
    <row r="141" spans="1:26" s="24" customFormat="1" hidden="1" outlineLevel="1" x14ac:dyDescent="0.25">
      <c r="A141" s="44"/>
      <c r="B141" s="11" t="str">
        <f>CONCATENATE("          ", "5501", " - ", "FREIGHT-IN-NEW TEXT")</f>
        <v xml:space="preserve">          5501 - FREIGHT-IN-NEW TEXT</v>
      </c>
      <c r="C141" s="11"/>
      <c r="D141" s="2">
        <v>490.07</v>
      </c>
      <c r="E141" s="2"/>
      <c r="F141" s="19">
        <f t="shared" si="12"/>
        <v>1.0881669949427007E-3</v>
      </c>
      <c r="G141" s="2"/>
      <c r="H141" s="2">
        <v>588.1</v>
      </c>
      <c r="I141" s="2"/>
      <c r="J141" s="19">
        <f t="shared" si="13"/>
        <v>1.6720326090995594E-3</v>
      </c>
      <c r="K141" s="2"/>
      <c r="L141" s="2">
        <f t="shared" si="14"/>
        <v>-98.03000000000003</v>
      </c>
      <c r="M141" s="2"/>
      <c r="N141" s="19">
        <f t="shared" si="15"/>
        <v>-0.16668933854786605</v>
      </c>
      <c r="O141" s="11"/>
      <c r="P141" s="2">
        <v>34507.550000000003</v>
      </c>
      <c r="Q141" s="2"/>
      <c r="R141" s="19">
        <f t="shared" si="16"/>
        <v>6.8046405927151979E-3</v>
      </c>
      <c r="S141" s="2"/>
      <c r="T141" s="2">
        <v>36798.959999999999</v>
      </c>
      <c r="U141" s="2"/>
      <c r="V141" s="19">
        <f t="shared" si="17"/>
        <v>6.8523677029606487E-3</v>
      </c>
      <c r="W141" s="2"/>
      <c r="X141" s="2">
        <f t="shared" si="18"/>
        <v>-2291.4099999999962</v>
      </c>
      <c r="Y141" s="2"/>
      <c r="Z141" s="19">
        <f t="shared" si="19"/>
        <v>-6.2268335844273756E-2</v>
      </c>
    </row>
    <row r="142" spans="1:26" s="24" customFormat="1" hidden="1" outlineLevel="1" x14ac:dyDescent="0.25">
      <c r="A142" s="44"/>
      <c r="B142" s="11" t="str">
        <f>CONCATENATE("          ", "5502", " - ", "FREIGHT-IN-USED TEXT")</f>
        <v xml:space="preserve">          5502 - FREIGHT-IN-USED TEXT</v>
      </c>
      <c r="C142" s="11"/>
      <c r="D142" s="2">
        <v>237.65</v>
      </c>
      <c r="E142" s="2"/>
      <c r="F142" s="19">
        <f t="shared" si="12"/>
        <v>5.276856088887972E-4</v>
      </c>
      <c r="G142" s="2"/>
      <c r="H142" s="2">
        <v>18.5</v>
      </c>
      <c r="I142" s="2"/>
      <c r="J142" s="19">
        <f t="shared" si="13"/>
        <v>5.2597522986468027E-5</v>
      </c>
      <c r="K142" s="2"/>
      <c r="L142" s="2">
        <f t="shared" si="14"/>
        <v>219.15</v>
      </c>
      <c r="M142" s="2"/>
      <c r="N142" s="19">
        <f t="shared" si="15"/>
        <v>11.845945945945946</v>
      </c>
      <c r="O142" s="11"/>
      <c r="P142" s="2">
        <v>7090.12</v>
      </c>
      <c r="Q142" s="2"/>
      <c r="R142" s="19">
        <f t="shared" si="16"/>
        <v>1.3981206535735476E-3</v>
      </c>
      <c r="S142" s="2"/>
      <c r="T142" s="2">
        <v>7751.05</v>
      </c>
      <c r="U142" s="2"/>
      <c r="V142" s="19">
        <f t="shared" si="17"/>
        <v>1.4433300474805033E-3</v>
      </c>
      <c r="W142" s="2"/>
      <c r="X142" s="2">
        <f t="shared" si="18"/>
        <v>-660.93000000000029</v>
      </c>
      <c r="Y142" s="2"/>
      <c r="Z142" s="19">
        <f t="shared" si="19"/>
        <v>-8.5269737648447669E-2</v>
      </c>
    </row>
    <row r="143" spans="1:26" s="24" customFormat="1" hidden="1" outlineLevel="1" x14ac:dyDescent="0.25">
      <c r="A143" s="44"/>
      <c r="B143" s="11" t="str">
        <f>CONCATENATE("          ", "5504", " - ", "FREIGHT-IN-DIGITAL TEXT")</f>
        <v xml:space="preserve">          5504 - FREIGHT-IN-DIGITAL TEXT</v>
      </c>
      <c r="C143" s="11"/>
      <c r="D143" s="2">
        <v>5</v>
      </c>
      <c r="E143" s="2"/>
      <c r="F143" s="19">
        <f t="shared" si="12"/>
        <v>1.1102158823664994E-5</v>
      </c>
      <c r="G143" s="2"/>
      <c r="H143" s="2"/>
      <c r="I143" s="2"/>
      <c r="J143" s="19">
        <f t="shared" si="13"/>
        <v>0</v>
      </c>
      <c r="K143" s="2"/>
      <c r="L143" s="2">
        <f t="shared" si="14"/>
        <v>5</v>
      </c>
      <c r="M143" s="2"/>
      <c r="N143" s="19">
        <f t="shared" si="15"/>
        <v>0</v>
      </c>
      <c r="O143" s="11"/>
      <c r="P143" s="2">
        <v>105.97</v>
      </c>
      <c r="Q143" s="2"/>
      <c r="R143" s="19">
        <f t="shared" si="16"/>
        <v>2.0896521590493369E-5</v>
      </c>
      <c r="S143" s="2"/>
      <c r="T143" s="2">
        <v>166.22</v>
      </c>
      <c r="U143" s="2"/>
      <c r="V143" s="19">
        <f t="shared" si="17"/>
        <v>3.095197689244802E-5</v>
      </c>
      <c r="W143" s="2"/>
      <c r="X143" s="2">
        <f t="shared" si="18"/>
        <v>-60.25</v>
      </c>
      <c r="Y143" s="2"/>
      <c r="Z143" s="19">
        <f t="shared" si="19"/>
        <v>-0.36247142341475153</v>
      </c>
    </row>
    <row r="144" spans="1:26" s="24" customFormat="1" hidden="1" outlineLevel="1" x14ac:dyDescent="0.25">
      <c r="A144" s="44"/>
      <c r="B144" s="11" t="str">
        <f>CONCATENATE("          ", "5513", " - ", "FREIGHT-IN-TRADE BOOKS")</f>
        <v xml:space="preserve">          5513 - FREIGHT-IN-TRADE BOOKS</v>
      </c>
      <c r="C144" s="11"/>
      <c r="D144" s="2">
        <v>12.33</v>
      </c>
      <c r="E144" s="2"/>
      <c r="F144" s="19">
        <f t="shared" si="12"/>
        <v>2.7377923659157872E-5</v>
      </c>
      <c r="G144" s="2"/>
      <c r="H144" s="2"/>
      <c r="I144" s="2"/>
      <c r="J144" s="19">
        <f t="shared" si="13"/>
        <v>0</v>
      </c>
      <c r="K144" s="2"/>
      <c r="L144" s="2">
        <f t="shared" si="14"/>
        <v>12.33</v>
      </c>
      <c r="M144" s="2"/>
      <c r="N144" s="19">
        <f t="shared" si="15"/>
        <v>0</v>
      </c>
      <c r="O144" s="11"/>
      <c r="P144" s="2">
        <v>12.33</v>
      </c>
      <c r="Q144" s="2"/>
      <c r="R144" s="19">
        <f t="shared" si="16"/>
        <v>2.4313872908444207E-6</v>
      </c>
      <c r="S144" s="2"/>
      <c r="T144" s="2">
        <v>12.22</v>
      </c>
      <c r="U144" s="2"/>
      <c r="V144" s="19">
        <f t="shared" si="17"/>
        <v>2.2754972784605633E-6</v>
      </c>
      <c r="W144" s="2"/>
      <c r="X144" s="2">
        <f t="shared" si="18"/>
        <v>0.10999999999999943</v>
      </c>
      <c r="Y144" s="2"/>
      <c r="Z144" s="19">
        <f t="shared" si="19"/>
        <v>9.0016366612110828E-3</v>
      </c>
    </row>
    <row r="145" spans="1:26" s="24" customFormat="1" hidden="1" outlineLevel="1" x14ac:dyDescent="0.25">
      <c r="A145" s="44"/>
      <c r="B145" s="11" t="str">
        <f>CONCATENATE("          ", "5518", " - ", "FREIGHT-IN-STUDY GUIDES")</f>
        <v xml:space="preserve">          5518 - FREIGHT-IN-STUDY GUIDES</v>
      </c>
      <c r="C145" s="11"/>
      <c r="D145" s="2">
        <v>12.26</v>
      </c>
      <c r="E145" s="2"/>
      <c r="F145" s="19">
        <f t="shared" si="12"/>
        <v>2.7222493435626565E-5</v>
      </c>
      <c r="G145" s="2"/>
      <c r="H145" s="2"/>
      <c r="I145" s="2"/>
      <c r="J145" s="19">
        <f t="shared" si="13"/>
        <v>0</v>
      </c>
      <c r="K145" s="2"/>
      <c r="L145" s="2">
        <f t="shared" si="14"/>
        <v>12.26</v>
      </c>
      <c r="M145" s="2"/>
      <c r="N145" s="19">
        <f t="shared" si="15"/>
        <v>0</v>
      </c>
      <c r="O145" s="11"/>
      <c r="P145" s="2">
        <v>12.26</v>
      </c>
      <c r="Q145" s="2"/>
      <c r="R145" s="19">
        <f t="shared" si="16"/>
        <v>2.4175837944649307E-6</v>
      </c>
      <c r="S145" s="2"/>
      <c r="T145" s="2"/>
      <c r="U145" s="2"/>
      <c r="V145" s="19">
        <f t="shared" si="17"/>
        <v>0</v>
      </c>
      <c r="W145" s="2"/>
      <c r="X145" s="2">
        <f t="shared" si="18"/>
        <v>12.26</v>
      </c>
      <c r="Y145" s="2"/>
      <c r="Z145" s="19">
        <f t="shared" si="19"/>
        <v>0</v>
      </c>
    </row>
    <row r="146" spans="1:26" s="24" customFormat="1" hidden="1" outlineLevel="1" x14ac:dyDescent="0.25">
      <c r="A146" s="44"/>
      <c r="B146" s="11" t="str">
        <f>CONCATENATE("          ", "5525", " - ", "FREIGHT-IN-TEST FORMS")</f>
        <v xml:space="preserve">          5525 - FREIGHT-IN-TEST FORMS</v>
      </c>
      <c r="C146" s="11"/>
      <c r="D146" s="2">
        <v>335.7</v>
      </c>
      <c r="E146" s="2"/>
      <c r="F146" s="19">
        <f t="shared" si="12"/>
        <v>7.4539894342086767E-4</v>
      </c>
      <c r="G146" s="2"/>
      <c r="H146" s="2"/>
      <c r="I146" s="2"/>
      <c r="J146" s="19">
        <f t="shared" si="13"/>
        <v>0</v>
      </c>
      <c r="K146" s="2"/>
      <c r="L146" s="2">
        <f t="shared" si="14"/>
        <v>335.7</v>
      </c>
      <c r="M146" s="2"/>
      <c r="N146" s="19">
        <f t="shared" si="15"/>
        <v>0</v>
      </c>
      <c r="O146" s="11"/>
      <c r="P146" s="2">
        <v>374.92</v>
      </c>
      <c r="Q146" s="2"/>
      <c r="R146" s="19">
        <f t="shared" si="16"/>
        <v>7.3931526608547466E-5</v>
      </c>
      <c r="S146" s="2"/>
      <c r="T146" s="2">
        <v>50.92</v>
      </c>
      <c r="U146" s="2"/>
      <c r="V146" s="19">
        <f t="shared" si="17"/>
        <v>9.4818593632742954E-6</v>
      </c>
      <c r="W146" s="2"/>
      <c r="X146" s="2">
        <f t="shared" si="18"/>
        <v>324</v>
      </c>
      <c r="Y146" s="2"/>
      <c r="Z146" s="19">
        <f t="shared" si="19"/>
        <v>6.3629222309505105</v>
      </c>
    </row>
    <row r="147" spans="1:26" s="24" customFormat="1" hidden="1" outlineLevel="1" x14ac:dyDescent="0.25">
      <c r="A147" s="44"/>
      <c r="B147" s="11" t="str">
        <f>CONCATENATE("          ", "5526", " - ", "FREIGHT-IN-WRITING INSTRUMENTS")</f>
        <v xml:space="preserve">          5526 - FREIGHT-IN-WRITING INSTRUMENTS</v>
      </c>
      <c r="C147" s="11"/>
      <c r="D147" s="2">
        <v>160.91999999999999</v>
      </c>
      <c r="E147" s="2"/>
      <c r="F147" s="19">
        <f t="shared" si="12"/>
        <v>3.5731187958083413E-4</v>
      </c>
      <c r="G147" s="2"/>
      <c r="H147" s="2">
        <v>33.840000000000003</v>
      </c>
      <c r="I147" s="2"/>
      <c r="J147" s="19">
        <f t="shared" si="13"/>
        <v>9.6210820424977197E-5</v>
      </c>
      <c r="K147" s="2"/>
      <c r="L147" s="2">
        <f t="shared" si="14"/>
        <v>127.07999999999998</v>
      </c>
      <c r="M147" s="2"/>
      <c r="N147" s="19">
        <f t="shared" si="15"/>
        <v>3.7553191489361692</v>
      </c>
      <c r="O147" s="11"/>
      <c r="P147" s="2">
        <v>217.49</v>
      </c>
      <c r="Q147" s="2"/>
      <c r="R147" s="19">
        <f t="shared" si="16"/>
        <v>4.2887463251074861E-5</v>
      </c>
      <c r="S147" s="2"/>
      <c r="T147" s="2">
        <v>100.32</v>
      </c>
      <c r="U147" s="2"/>
      <c r="V147" s="19">
        <f t="shared" si="17"/>
        <v>1.8680678148540399E-5</v>
      </c>
      <c r="W147" s="2"/>
      <c r="X147" s="2">
        <f t="shared" si="18"/>
        <v>117.17000000000002</v>
      </c>
      <c r="Y147" s="2"/>
      <c r="Z147" s="19">
        <f t="shared" si="19"/>
        <v>1.1679625199362045</v>
      </c>
    </row>
    <row r="148" spans="1:26" s="24" customFormat="1" hidden="1" outlineLevel="1" x14ac:dyDescent="0.25">
      <c r="A148" s="44"/>
      <c r="B148" s="11" t="str">
        <f>CONCATENATE("          ", "5527", " - ", "FREIGHT-IN-SCHOOL SUPPLIES")</f>
        <v xml:space="preserve">          5527 - FREIGHT-IN-SCHOOL SUPPLIES</v>
      </c>
      <c r="C148" s="11"/>
      <c r="D148" s="2">
        <v>134.09</v>
      </c>
      <c r="E148" s="2"/>
      <c r="F148" s="19">
        <f t="shared" si="12"/>
        <v>2.9773769533304783E-4</v>
      </c>
      <c r="G148" s="2"/>
      <c r="H148" s="2">
        <v>77.010000000000005</v>
      </c>
      <c r="I148" s="2"/>
      <c r="J148" s="19">
        <f t="shared" si="13"/>
        <v>2.18947851091238E-4</v>
      </c>
      <c r="K148" s="2"/>
      <c r="L148" s="2">
        <f t="shared" si="14"/>
        <v>57.08</v>
      </c>
      <c r="M148" s="2"/>
      <c r="N148" s="19">
        <f t="shared" si="15"/>
        <v>0.74120244124139711</v>
      </c>
      <c r="O148" s="11"/>
      <c r="P148" s="2">
        <v>872.58</v>
      </c>
      <c r="Q148" s="2"/>
      <c r="R148" s="19">
        <f t="shared" si="16"/>
        <v>1.7206649815450321E-4</v>
      </c>
      <c r="S148" s="2"/>
      <c r="T148" s="2">
        <v>1009.71</v>
      </c>
      <c r="U148" s="2"/>
      <c r="V148" s="19">
        <f t="shared" si="17"/>
        <v>1.8801901448726804E-4</v>
      </c>
      <c r="W148" s="2"/>
      <c r="X148" s="2">
        <f t="shared" si="18"/>
        <v>-137.13</v>
      </c>
      <c r="Y148" s="2"/>
      <c r="Z148" s="19">
        <f t="shared" si="19"/>
        <v>-0.13581127254360162</v>
      </c>
    </row>
    <row r="149" spans="1:26" s="24" customFormat="1" hidden="1" outlineLevel="1" x14ac:dyDescent="0.25">
      <c r="A149" s="44"/>
      <c r="B149" s="11" t="str">
        <f>CONCATENATE("          ", "5528", " - ", "FREIGHT-IN-ART/TECH")</f>
        <v xml:space="preserve">          5528 - FREIGHT-IN-ART/TECH</v>
      </c>
      <c r="C149" s="11"/>
      <c r="D149" s="2">
        <v>105.06</v>
      </c>
      <c r="E149" s="2"/>
      <c r="F149" s="19">
        <f t="shared" si="12"/>
        <v>2.3327856120284885E-4</v>
      </c>
      <c r="G149" s="2"/>
      <c r="H149" s="2">
        <v>3400.7</v>
      </c>
      <c r="I149" s="2"/>
      <c r="J149" s="19">
        <f t="shared" si="13"/>
        <v>9.6685619686530701E-3</v>
      </c>
      <c r="K149" s="2"/>
      <c r="L149" s="2">
        <f t="shared" si="14"/>
        <v>-3295.64</v>
      </c>
      <c r="M149" s="2"/>
      <c r="N149" s="19">
        <f t="shared" si="15"/>
        <v>-0.96910636045520038</v>
      </c>
      <c r="O149" s="11"/>
      <c r="P149" s="2">
        <v>923.5</v>
      </c>
      <c r="Q149" s="2"/>
      <c r="R149" s="19">
        <f t="shared" si="16"/>
        <v>1.8210755580655495E-4</v>
      </c>
      <c r="S149" s="2"/>
      <c r="T149" s="2">
        <v>4504.6499999999996</v>
      </c>
      <c r="U149" s="2"/>
      <c r="V149" s="19">
        <f t="shared" si="17"/>
        <v>8.3881496034512071E-4</v>
      </c>
      <c r="W149" s="2"/>
      <c r="X149" s="2">
        <f t="shared" si="18"/>
        <v>-3581.1499999999996</v>
      </c>
      <c r="Y149" s="2"/>
      <c r="Z149" s="19">
        <f t="shared" si="19"/>
        <v>-0.79498962183521471</v>
      </c>
    </row>
    <row r="150" spans="1:26" s="24" customFormat="1" hidden="1" outlineLevel="1" x14ac:dyDescent="0.25">
      <c r="A150" s="44"/>
      <c r="B150" s="11" t="str">
        <f>CONCATENATE("          ", "5540", " - ", "FREIGHT-IN-LOGO CLOTHING")</f>
        <v xml:space="preserve">          5540 - FREIGHT-IN-LOGO CLOTHING</v>
      </c>
      <c r="C150" s="11"/>
      <c r="D150" s="2">
        <v>6133.89</v>
      </c>
      <c r="E150" s="2"/>
      <c r="F150" s="19">
        <f t="shared" si="12"/>
        <v>1.3619884197378094E-2</v>
      </c>
      <c r="G150" s="2"/>
      <c r="H150" s="2">
        <v>1855.88</v>
      </c>
      <c r="I150" s="2"/>
      <c r="J150" s="19">
        <f t="shared" si="13"/>
        <v>5.2764697816284484E-3</v>
      </c>
      <c r="K150" s="2"/>
      <c r="L150" s="2">
        <f t="shared" si="14"/>
        <v>4278.01</v>
      </c>
      <c r="M150" s="2"/>
      <c r="N150" s="19">
        <f t="shared" si="15"/>
        <v>2.305111321852706</v>
      </c>
      <c r="O150" s="11"/>
      <c r="P150" s="2">
        <v>20241.329999999998</v>
      </c>
      <c r="Q150" s="2"/>
      <c r="R150" s="19">
        <f t="shared" si="16"/>
        <v>3.9914446481579798E-3</v>
      </c>
      <c r="S150" s="2"/>
      <c r="T150" s="2">
        <v>12199.19</v>
      </c>
      <c r="U150" s="2"/>
      <c r="V150" s="19">
        <f t="shared" si="17"/>
        <v>2.2716222294945432E-3</v>
      </c>
      <c r="W150" s="2"/>
      <c r="X150" s="2">
        <f t="shared" si="18"/>
        <v>8042.1399999999976</v>
      </c>
      <c r="Y150" s="2"/>
      <c r="Z150" s="19">
        <f t="shared" si="19"/>
        <v>0.65923557219782603</v>
      </c>
    </row>
    <row r="151" spans="1:26" s="24" customFormat="1" hidden="1" outlineLevel="1" x14ac:dyDescent="0.25">
      <c r="A151" s="44"/>
      <c r="B151" s="11" t="str">
        <f>CONCATENATE("          ", "5541", " - ", "FREIGHT-IN-LOGO GIFTS")</f>
        <v xml:space="preserve">          5541 - FREIGHT-IN-LOGO GIFTS</v>
      </c>
      <c r="C151" s="11"/>
      <c r="D151" s="2">
        <v>1315.98</v>
      </c>
      <c r="E151" s="2"/>
      <c r="F151" s="19">
        <f t="shared" si="12"/>
        <v>2.9220437937533318E-3</v>
      </c>
      <c r="G151" s="2"/>
      <c r="H151" s="2">
        <v>843.44</v>
      </c>
      <c r="I151" s="2"/>
      <c r="J151" s="19">
        <f t="shared" si="13"/>
        <v>2.397992150686843E-3</v>
      </c>
      <c r="K151" s="2"/>
      <c r="L151" s="2">
        <f t="shared" si="14"/>
        <v>472.53999999999996</v>
      </c>
      <c r="M151" s="2"/>
      <c r="N151" s="19">
        <f t="shared" si="15"/>
        <v>0.56025324860096737</v>
      </c>
      <c r="O151" s="11"/>
      <c r="P151" s="2">
        <v>2852.83</v>
      </c>
      <c r="Q151" s="2"/>
      <c r="R151" s="19">
        <f t="shared" si="16"/>
        <v>5.6255755108999903E-4</v>
      </c>
      <c r="S151" s="2"/>
      <c r="T151" s="2">
        <v>3968</v>
      </c>
      <c r="U151" s="2"/>
      <c r="V151" s="19">
        <f t="shared" si="17"/>
        <v>7.3888487732663786E-4</v>
      </c>
      <c r="W151" s="2"/>
      <c r="X151" s="2">
        <f t="shared" si="18"/>
        <v>-1115.17</v>
      </c>
      <c r="Y151" s="2"/>
      <c r="Z151" s="19">
        <f t="shared" si="19"/>
        <v>-0.28104082661290325</v>
      </c>
    </row>
    <row r="152" spans="1:26" s="24" customFormat="1" hidden="1" outlineLevel="1" x14ac:dyDescent="0.25">
      <c r="A152" s="44"/>
      <c r="B152" s="11" t="str">
        <f>CONCATENATE("          ", "5542", " - ", "FREIGHT-IN-EVERYDAY GIFTS")</f>
        <v xml:space="preserve">          5542 - FREIGHT-IN-EVERYDAY GIFTS</v>
      </c>
      <c r="C152" s="11"/>
      <c r="D152" s="2">
        <v>745.78</v>
      </c>
      <c r="E152" s="2"/>
      <c r="F152" s="19">
        <f t="shared" si="12"/>
        <v>1.6559536015025758E-3</v>
      </c>
      <c r="G152" s="2"/>
      <c r="H152" s="2">
        <v>336.12</v>
      </c>
      <c r="I152" s="2"/>
      <c r="J152" s="19">
        <f t="shared" si="13"/>
        <v>9.5562591493035857E-4</v>
      </c>
      <c r="K152" s="2"/>
      <c r="L152" s="2">
        <f t="shared" si="14"/>
        <v>409.65999999999997</v>
      </c>
      <c r="M152" s="2"/>
      <c r="N152" s="19">
        <f t="shared" si="15"/>
        <v>1.2187909080090442</v>
      </c>
      <c r="O152" s="11"/>
      <c r="P152" s="2">
        <v>1513.51</v>
      </c>
      <c r="Q152" s="2"/>
      <c r="R152" s="19">
        <f t="shared" si="16"/>
        <v>2.9845328293316616E-4</v>
      </c>
      <c r="S152" s="2"/>
      <c r="T152" s="2">
        <v>1129.44</v>
      </c>
      <c r="U152" s="2"/>
      <c r="V152" s="19">
        <f t="shared" si="17"/>
        <v>2.1031404633261038E-4</v>
      </c>
      <c r="W152" s="2"/>
      <c r="X152" s="2">
        <f t="shared" si="18"/>
        <v>384.06999999999994</v>
      </c>
      <c r="Y152" s="2"/>
      <c r="Z152" s="19">
        <f t="shared" si="19"/>
        <v>0.34005347782972084</v>
      </c>
    </row>
    <row r="153" spans="1:26" s="24" customFormat="1" hidden="1" outlineLevel="1" x14ac:dyDescent="0.25">
      <c r="A153" s="44"/>
      <c r="B153" s="11" t="str">
        <f>CONCATENATE("          ", "5543", " - ", "FREIGHT-IN-CARDS")</f>
        <v xml:space="preserve">          5543 - FREIGHT-IN-CARDS</v>
      </c>
      <c r="C153" s="11"/>
      <c r="D153" s="2">
        <v>39.01</v>
      </c>
      <c r="E153" s="2"/>
      <c r="F153" s="19">
        <f t="shared" si="12"/>
        <v>8.661904314223427E-5</v>
      </c>
      <c r="G153" s="2"/>
      <c r="H153" s="2">
        <v>12.47</v>
      </c>
      <c r="I153" s="2"/>
      <c r="J153" s="19">
        <f t="shared" si="13"/>
        <v>3.5453573602230073E-5</v>
      </c>
      <c r="K153" s="2"/>
      <c r="L153" s="2">
        <f t="shared" si="14"/>
        <v>26.54</v>
      </c>
      <c r="M153" s="2"/>
      <c r="N153" s="19">
        <f t="shared" si="15"/>
        <v>2.1283079390537289</v>
      </c>
      <c r="O153" s="11"/>
      <c r="P153" s="2">
        <v>43.59</v>
      </c>
      <c r="Q153" s="2"/>
      <c r="R153" s="19">
        <f t="shared" si="16"/>
        <v>8.595634388313731E-6</v>
      </c>
      <c r="S153" s="2"/>
      <c r="T153" s="2">
        <v>12.47</v>
      </c>
      <c r="U153" s="2"/>
      <c r="V153" s="19">
        <f t="shared" si="17"/>
        <v>2.3220500051066469E-6</v>
      </c>
      <c r="W153" s="2"/>
      <c r="X153" s="2">
        <f t="shared" si="18"/>
        <v>31.120000000000005</v>
      </c>
      <c r="Y153" s="2"/>
      <c r="Z153" s="19">
        <f t="shared" si="19"/>
        <v>2.4955894145950284</v>
      </c>
    </row>
    <row r="154" spans="1:26" s="24" customFormat="1" hidden="1" outlineLevel="1" x14ac:dyDescent="0.25">
      <c r="A154" s="44"/>
      <c r="B154" s="11" t="str">
        <f>CONCATENATE("          ", "5544", " - ", "FREIGHT-IN-ACCESSORIES")</f>
        <v xml:space="preserve">          5544 - FREIGHT-IN-ACCESSORIES</v>
      </c>
      <c r="C154" s="11"/>
      <c r="D154" s="2">
        <v>54.82</v>
      </c>
      <c r="E154" s="2"/>
      <c r="F154" s="19">
        <f t="shared" si="12"/>
        <v>1.2172406934266299E-4</v>
      </c>
      <c r="G154" s="2"/>
      <c r="H154" s="2">
        <v>12.48</v>
      </c>
      <c r="I154" s="2"/>
      <c r="J154" s="19">
        <f t="shared" si="13"/>
        <v>3.5482004695736269E-5</v>
      </c>
      <c r="K154" s="2"/>
      <c r="L154" s="2">
        <f t="shared" si="14"/>
        <v>42.34</v>
      </c>
      <c r="M154" s="2"/>
      <c r="N154" s="19">
        <f t="shared" si="15"/>
        <v>3.3926282051282053</v>
      </c>
      <c r="O154" s="11"/>
      <c r="P154" s="2">
        <v>413.91</v>
      </c>
      <c r="Q154" s="2"/>
      <c r="R154" s="19">
        <f t="shared" si="16"/>
        <v>8.1620074091923292E-5</v>
      </c>
      <c r="S154" s="2"/>
      <c r="T154" s="2">
        <v>590.45000000000005</v>
      </c>
      <c r="U154" s="2"/>
      <c r="V154" s="19">
        <f t="shared" si="17"/>
        <v>1.099482297927201E-4</v>
      </c>
      <c r="W154" s="2"/>
      <c r="X154" s="2">
        <f t="shared" si="18"/>
        <v>-176.54000000000002</v>
      </c>
      <c r="Y154" s="2"/>
      <c r="Z154" s="19">
        <f t="shared" si="19"/>
        <v>-0.29899229401304089</v>
      </c>
    </row>
    <row r="155" spans="1:26" s="24" customFormat="1" hidden="1" outlineLevel="1" x14ac:dyDescent="0.25">
      <c r="A155" s="44"/>
      <c r="B155" s="11" t="str">
        <f>CONCATENATE("          ", "5545", " - ", "FREIGHT-IN-SPECIAL ORDERS")</f>
        <v xml:space="preserve">          5545 - FREIGHT-IN-SPECIAL ORDERS</v>
      </c>
      <c r="C155" s="11"/>
      <c r="D155" s="2">
        <v>158.08000000000001</v>
      </c>
      <c r="E155" s="2"/>
      <c r="F155" s="19">
        <f t="shared" si="12"/>
        <v>3.5100585336899243E-4</v>
      </c>
      <c r="G155" s="2"/>
      <c r="H155" s="2">
        <v>46.54</v>
      </c>
      <c r="I155" s="2"/>
      <c r="J155" s="19">
        <f t="shared" si="13"/>
        <v>1.3231830917784983E-4</v>
      </c>
      <c r="K155" s="2"/>
      <c r="L155" s="2">
        <f t="shared" si="14"/>
        <v>111.54000000000002</v>
      </c>
      <c r="M155" s="2"/>
      <c r="N155" s="19">
        <f t="shared" si="15"/>
        <v>2.3966480446927378</v>
      </c>
      <c r="O155" s="11"/>
      <c r="P155" s="2">
        <v>505.06</v>
      </c>
      <c r="Q155" s="2"/>
      <c r="R155" s="19">
        <f t="shared" si="16"/>
        <v>9.9594198306073245E-5</v>
      </c>
      <c r="S155" s="2"/>
      <c r="T155" s="2">
        <v>1307.5999999999999</v>
      </c>
      <c r="U155" s="2"/>
      <c r="V155" s="19">
        <f t="shared" si="17"/>
        <v>2.4348938144967531E-4</v>
      </c>
      <c r="W155" s="2"/>
      <c r="X155" s="2">
        <f t="shared" si="18"/>
        <v>-802.54</v>
      </c>
      <c r="Y155" s="2"/>
      <c r="Z155" s="19">
        <f t="shared" si="19"/>
        <v>-0.61375038237993274</v>
      </c>
    </row>
    <row r="156" spans="1:26" s="24" customFormat="1" hidden="1" outlineLevel="1" x14ac:dyDescent="0.25">
      <c r="A156" s="44"/>
      <c r="B156" s="11" t="str">
        <f>CONCATENATE("          ", "5592", " - ", "FREIGHT-IN-GRAD MERCH")</f>
        <v xml:space="preserve">          5592 - FREIGHT-IN-GRAD MERCH</v>
      </c>
      <c r="C156" s="11"/>
      <c r="D156" s="2">
        <v>35</v>
      </c>
      <c r="E156" s="2"/>
      <c r="F156" s="19">
        <f t="shared" si="12"/>
        <v>7.7715111765654956E-5</v>
      </c>
      <c r="G156" s="2"/>
      <c r="H156" s="2"/>
      <c r="I156" s="2"/>
      <c r="J156" s="19">
        <f t="shared" si="13"/>
        <v>0</v>
      </c>
      <c r="K156" s="2"/>
      <c r="L156" s="2">
        <f t="shared" si="14"/>
        <v>35</v>
      </c>
      <c r="M156" s="2"/>
      <c r="N156" s="19">
        <f t="shared" si="15"/>
        <v>0</v>
      </c>
      <c r="O156" s="11"/>
      <c r="P156" s="2">
        <v>105.78</v>
      </c>
      <c r="Q156" s="2"/>
      <c r="R156" s="19">
        <f t="shared" si="16"/>
        <v>2.0859054957463325E-5</v>
      </c>
      <c r="S156" s="2"/>
      <c r="T156" s="2">
        <v>114.3</v>
      </c>
      <c r="U156" s="2"/>
      <c r="V156" s="19">
        <f t="shared" si="17"/>
        <v>2.1283906622589394E-5</v>
      </c>
      <c r="W156" s="2"/>
      <c r="X156" s="2">
        <f t="shared" si="18"/>
        <v>-8.519999999999996</v>
      </c>
      <c r="Y156" s="2"/>
      <c r="Z156" s="19">
        <f t="shared" si="19"/>
        <v>-7.4540682414698134E-2</v>
      </c>
    </row>
    <row r="157" spans="1:26" x14ac:dyDescent="0.25">
      <c r="A157" s="9"/>
      <c r="B157" s="10"/>
      <c r="C157" s="10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O157" s="10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x14ac:dyDescent="0.25">
      <c r="A158" s="10"/>
      <c r="B158" s="29" t="s">
        <v>6</v>
      </c>
      <c r="C158" s="29"/>
      <c r="D158" s="21">
        <f>D12-D106</f>
        <v>239292.17999999967</v>
      </c>
      <c r="E158" s="14"/>
      <c r="F158" s="20">
        <f>IF(D$12=0,0,D158/D$12)</f>
        <v>0.53133195752420559</v>
      </c>
      <c r="G158" s="14"/>
      <c r="H158" s="21">
        <f>H12-H106</f>
        <v>195883.18999999992</v>
      </c>
      <c r="I158" s="14"/>
      <c r="J158" s="20">
        <f>IF(H$12=0,0,H158/H$12)</f>
        <v>0.55691732911825298</v>
      </c>
      <c r="K158" s="15"/>
      <c r="L158" s="21">
        <f>+D158-H158</f>
        <v>43408.989999999758</v>
      </c>
      <c r="M158" s="15"/>
      <c r="N158" s="20">
        <f>IF(H158=0,0,L158/H158)</f>
        <v>0.22160650947128122</v>
      </c>
      <c r="O158" s="28"/>
      <c r="P158" s="21">
        <f>P12-P106</f>
        <v>2044915.0299999961</v>
      </c>
      <c r="Q158" s="14"/>
      <c r="R158" s="20">
        <f>IF(P$12=0,0,P158/P$12)</f>
        <v>0.40324253161384649</v>
      </c>
      <c r="S158" s="14"/>
      <c r="T158" s="21">
        <f>T12-T106</f>
        <v>2052203.3900000039</v>
      </c>
      <c r="U158" s="14"/>
      <c r="V158" s="20">
        <f>IF(T$12=0,0,T158/T$12)</f>
        <v>0.38214265374734457</v>
      </c>
      <c r="W158" s="15"/>
      <c r="X158" s="21">
        <f>+P158-T158</f>
        <v>-7288.3600000077859</v>
      </c>
      <c r="Y158" s="15"/>
      <c r="Z158" s="20">
        <f>IF(T158=0,0,X158/T158)</f>
        <v>-3.5514803432849665E-3</v>
      </c>
    </row>
    <row r="159" spans="1:26" x14ac:dyDescent="0.25">
      <c r="A159" s="9"/>
      <c r="B159" s="10"/>
      <c r="C159" s="9"/>
      <c r="D159" s="1"/>
      <c r="E159" s="1"/>
      <c r="F159" s="5"/>
      <c r="G159" s="1"/>
      <c r="H159" s="1"/>
      <c r="I159" s="1"/>
      <c r="J159" s="5"/>
      <c r="K159" s="1"/>
      <c r="L159" s="1"/>
      <c r="M159" s="1"/>
      <c r="N159" s="5"/>
      <c r="O159" s="37"/>
      <c r="P159" s="1"/>
      <c r="Q159" s="1"/>
      <c r="R159" s="5"/>
      <c r="S159" s="1"/>
      <c r="T159" s="1"/>
      <c r="U159" s="1"/>
      <c r="V159" s="5"/>
      <c r="W159" s="1"/>
      <c r="X159" s="1"/>
      <c r="Y159" s="1"/>
      <c r="Z159" s="5"/>
    </row>
    <row r="160" spans="1:26" s="23" customFormat="1" x14ac:dyDescent="0.25">
      <c r="A160" s="10"/>
      <c r="B160" s="28" t="s">
        <v>9</v>
      </c>
      <c r="C160" s="10"/>
      <c r="D160" s="22">
        <f>SUM(OSRRefD22x_0)</f>
        <v>372980.02</v>
      </c>
      <c r="E160" s="22"/>
      <c r="F160" s="33">
        <f t="shared" ref="F160:F170" si="20">IF(D$12=0,0,D160/D$12)</f>
        <v>0.82817668401874922</v>
      </c>
      <c r="G160" s="22"/>
      <c r="H160" s="22">
        <f>SUM(OSRRefH22x_0)</f>
        <v>358770.30000000005</v>
      </c>
      <c r="I160" s="22"/>
      <c r="J160" s="33">
        <f t="shared" ref="J160:J170" si="21">IF(H$12=0,0,H160/H$12)</f>
        <v>1.0200231946547045</v>
      </c>
      <c r="K160" s="4"/>
      <c r="L160" s="22">
        <f t="shared" ref="L160:L170" si="22">+D160-H160</f>
        <v>14209.719999999972</v>
      </c>
      <c r="M160" s="4"/>
      <c r="N160" s="33">
        <f t="shared" ref="N160:N170" si="23">IF(H160=0,0,L160/H160)</f>
        <v>3.9606734448196998E-2</v>
      </c>
      <c r="O160" s="10"/>
      <c r="P160" s="22">
        <f>SUM(OSRRefP22x_0)</f>
        <v>1896003.7299999995</v>
      </c>
      <c r="Q160" s="22"/>
      <c r="R160" s="33">
        <f t="shared" ref="R160:R170" si="24">IF(P$12=0,0,P160/P$12)</f>
        <v>0.37387829460791688</v>
      </c>
      <c r="S160" s="22"/>
      <c r="T160" s="22">
        <f>SUM(OSRRefT22x_0)</f>
        <v>1977649.05</v>
      </c>
      <c r="U160" s="22"/>
      <c r="V160" s="33">
        <f t="shared" ref="V160:V170" si="25">IF(T$12=0,0,T160/T$12)</f>
        <v>0.36825982250614719</v>
      </c>
      <c r="W160" s="4"/>
      <c r="X160" s="22">
        <f t="shared" ref="X160:X170" si="26">+P160-T160</f>
        <v>-81645.320000000531</v>
      </c>
      <c r="Y160" s="4"/>
      <c r="Z160" s="33">
        <f t="shared" ref="Z160:Z170" si="27">IF(T160=0,0,X160/T160)</f>
        <v>-4.1284028629852462E-2</v>
      </c>
    </row>
    <row r="161" spans="1:26" s="25" customFormat="1" outlineLevel="1" collapsed="1" x14ac:dyDescent="0.25">
      <c r="A161" s="27"/>
      <c r="B161" s="13" t="str">
        <f>CONCATENATE("     ","*Benefits                                         ")</f>
        <v xml:space="preserve">     *Benefits                                         </v>
      </c>
      <c r="C161" s="13"/>
      <c r="D161" s="1">
        <f>SUM(OSRRefD22_0x_0)</f>
        <v>42703.780000000006</v>
      </c>
      <c r="E161" s="1"/>
      <c r="F161" s="5">
        <f t="shared" si="20"/>
        <v>9.4820829586169747E-2</v>
      </c>
      <c r="G161" s="1"/>
      <c r="H161" s="1">
        <f>SUM(OSRRefH22_0x_0)</f>
        <v>47186.080000000009</v>
      </c>
      <c r="I161" s="1"/>
      <c r="J161" s="5">
        <f t="shared" si="21"/>
        <v>0.13415518526709835</v>
      </c>
      <c r="K161" s="1"/>
      <c r="L161" s="1">
        <f t="shared" si="22"/>
        <v>-4482.3000000000029</v>
      </c>
      <c r="M161" s="1"/>
      <c r="N161" s="5">
        <f t="shared" si="23"/>
        <v>-9.4991997639982007E-2</v>
      </c>
      <c r="O161" s="13"/>
      <c r="P161" s="1">
        <f>SUM(OSRRefP22_0x_0)</f>
        <v>260129.24000000002</v>
      </c>
      <c r="Q161" s="1"/>
      <c r="R161" s="5">
        <f t="shared" si="24"/>
        <v>5.1295614607706257E-2</v>
      </c>
      <c r="S161" s="1"/>
      <c r="T161" s="1">
        <f>SUM(OSRRefT22_0x_0)</f>
        <v>264710.83</v>
      </c>
      <c r="U161" s="1"/>
      <c r="V161" s="5">
        <f t="shared" si="25"/>
        <v>4.9292043636991557E-2</v>
      </c>
      <c r="W161" s="1"/>
      <c r="X161" s="1">
        <f t="shared" si="26"/>
        <v>-4581.5899999999965</v>
      </c>
      <c r="Y161" s="1"/>
      <c r="Z161" s="5">
        <f t="shared" si="27"/>
        <v>-1.7307905384906223E-2</v>
      </c>
    </row>
    <row r="162" spans="1:26" s="24" customFormat="1" hidden="1" outlineLevel="2" x14ac:dyDescent="0.25">
      <c r="A162" s="26"/>
      <c r="B162" s="11" t="str">
        <f>CONCATENATE("          ", "6111", " - ", "F.I.C.A.")</f>
        <v xml:space="preserve">          6111 - F.I.C.A.</v>
      </c>
      <c r="C162" s="11"/>
      <c r="D162" s="6">
        <v>6114.18</v>
      </c>
      <c r="E162" s="2"/>
      <c r="F162" s="7">
        <f t="shared" si="20"/>
        <v>1.3576119487295207E-2</v>
      </c>
      <c r="G162" s="2"/>
      <c r="H162" s="6">
        <v>6263.88</v>
      </c>
      <c r="I162" s="2"/>
      <c r="J162" s="7">
        <f t="shared" si="21"/>
        <v>1.7808895799160937E-2</v>
      </c>
      <c r="K162" s="2"/>
      <c r="L162" s="6">
        <f t="shared" si="22"/>
        <v>-149.69999999999982</v>
      </c>
      <c r="M162" s="2"/>
      <c r="N162" s="7">
        <f t="shared" si="23"/>
        <v>-2.3898925266767533E-2</v>
      </c>
      <c r="O162" s="11"/>
      <c r="P162" s="6">
        <v>54314.93</v>
      </c>
      <c r="Q162" s="2"/>
      <c r="R162" s="7">
        <f t="shared" si="24"/>
        <v>1.0710513422960612E-2</v>
      </c>
      <c r="S162" s="2"/>
      <c r="T162" s="6">
        <v>54800.67</v>
      </c>
      <c r="U162" s="2"/>
      <c r="V162" s="7">
        <f t="shared" si="25"/>
        <v>1.0204482442128923E-2</v>
      </c>
      <c r="W162" s="2"/>
      <c r="X162" s="6">
        <f t="shared" si="26"/>
        <v>-485.73999999999796</v>
      </c>
      <c r="Y162" s="2"/>
      <c r="Z162" s="7">
        <f t="shared" si="27"/>
        <v>-8.8637602423473644E-3</v>
      </c>
    </row>
    <row r="163" spans="1:26" s="24" customFormat="1" hidden="1" outlineLevel="2" x14ac:dyDescent="0.25">
      <c r="A163" s="26"/>
      <c r="B163" s="11" t="str">
        <f>CONCATENATE("          ", "6112", " - ", "COMPENSATION INSURANCE")</f>
        <v xml:space="preserve">          6112 - COMPENSATION INSURANCE</v>
      </c>
      <c r="C163" s="11"/>
      <c r="D163" s="6">
        <v>2155.17</v>
      </c>
      <c r="E163" s="2"/>
      <c r="F163" s="7">
        <f t="shared" si="20"/>
        <v>4.7854079263996169E-3</v>
      </c>
      <c r="G163" s="2"/>
      <c r="H163" s="6">
        <v>1345.51</v>
      </c>
      <c r="I163" s="2"/>
      <c r="J163" s="7">
        <f t="shared" si="21"/>
        <v>3.8254320623525725E-3</v>
      </c>
      <c r="K163" s="2"/>
      <c r="L163" s="6">
        <f t="shared" si="22"/>
        <v>809.66000000000008</v>
      </c>
      <c r="M163" s="2"/>
      <c r="N163" s="7">
        <f t="shared" si="23"/>
        <v>0.60174952248589764</v>
      </c>
      <c r="O163" s="11"/>
      <c r="P163" s="6">
        <v>10404.049999999999</v>
      </c>
      <c r="Q163" s="2"/>
      <c r="R163" s="7">
        <f t="shared" si="24"/>
        <v>2.0516038072433004E-3</v>
      </c>
      <c r="S163" s="2"/>
      <c r="T163" s="6">
        <v>8810.7099999999991</v>
      </c>
      <c r="U163" s="2"/>
      <c r="V163" s="7">
        <f t="shared" si="25"/>
        <v>1.6406502967516586E-3</v>
      </c>
      <c r="W163" s="2"/>
      <c r="X163" s="6">
        <f t="shared" si="26"/>
        <v>1593.3400000000001</v>
      </c>
      <c r="Y163" s="2"/>
      <c r="Z163" s="7">
        <f t="shared" si="27"/>
        <v>0.18084127158878233</v>
      </c>
    </row>
    <row r="164" spans="1:26" s="24" customFormat="1" hidden="1" outlineLevel="2" x14ac:dyDescent="0.25">
      <c r="A164" s="26"/>
      <c r="B164" s="11" t="str">
        <f>CONCATENATE("          ", "6113", " - ", "GROUP INSURANCE")</f>
        <v xml:space="preserve">          6113 - GROUP INSURANCE</v>
      </c>
      <c r="C164" s="11"/>
      <c r="D164" s="6">
        <v>18682.73</v>
      </c>
      <c r="E164" s="2"/>
      <c r="F164" s="7">
        <f t="shared" si="20"/>
        <v>4.1483727143930137E-2</v>
      </c>
      <c r="G164" s="2"/>
      <c r="H164" s="6">
        <v>22707.68</v>
      </c>
      <c r="I164" s="2"/>
      <c r="J164" s="7">
        <f t="shared" si="21"/>
        <v>6.4560417338884346E-2</v>
      </c>
      <c r="K164" s="2"/>
      <c r="L164" s="6">
        <f t="shared" si="22"/>
        <v>-4024.9500000000007</v>
      </c>
      <c r="M164" s="2"/>
      <c r="N164" s="7">
        <f t="shared" si="23"/>
        <v>-0.17725060420086952</v>
      </c>
      <c r="O164" s="11"/>
      <c r="P164" s="6">
        <v>94252.33</v>
      </c>
      <c r="Q164" s="2"/>
      <c r="R164" s="7">
        <f t="shared" si="24"/>
        <v>1.8585881370192563E-2</v>
      </c>
      <c r="S164" s="2"/>
      <c r="T164" s="6">
        <v>92455.4</v>
      </c>
      <c r="U164" s="2"/>
      <c r="V164" s="7">
        <f t="shared" si="25"/>
        <v>1.7216203852617247E-2</v>
      </c>
      <c r="W164" s="2"/>
      <c r="X164" s="6">
        <f t="shared" si="26"/>
        <v>1796.9300000000076</v>
      </c>
      <c r="Y164" s="2"/>
      <c r="Z164" s="7">
        <f t="shared" si="27"/>
        <v>1.9435641401151341E-2</v>
      </c>
    </row>
    <row r="165" spans="1:26" s="24" customFormat="1" hidden="1" outlineLevel="2" x14ac:dyDescent="0.25">
      <c r="A165" s="26"/>
      <c r="B165" s="11" t="str">
        <f>CONCATENATE("          ", "6114", " - ", "STATE UNEMPLOYMENT INSURANCE")</f>
        <v xml:space="preserve">          6114 - STATE UNEMPLOYMENT INSURANCE</v>
      </c>
      <c r="C165" s="11"/>
      <c r="D165" s="6">
        <v>392.56</v>
      </c>
      <c r="E165" s="2"/>
      <c r="F165" s="7">
        <f t="shared" si="20"/>
        <v>8.7165269356358601E-4</v>
      </c>
      <c r="G165" s="2"/>
      <c r="H165" s="6">
        <v>372.24</v>
      </c>
      <c r="I165" s="2"/>
      <c r="J165" s="7">
        <f t="shared" si="21"/>
        <v>1.0583190246747491E-3</v>
      </c>
      <c r="K165" s="2"/>
      <c r="L165" s="6">
        <f t="shared" si="22"/>
        <v>20.319999999999993</v>
      </c>
      <c r="M165" s="2"/>
      <c r="N165" s="7">
        <f t="shared" si="23"/>
        <v>5.4588437567160954E-2</v>
      </c>
      <c r="O165" s="11"/>
      <c r="P165" s="6">
        <v>2398.8000000000002</v>
      </c>
      <c r="Q165" s="2"/>
      <c r="R165" s="7">
        <f t="shared" si="24"/>
        <v>4.7302610164457392E-4</v>
      </c>
      <c r="S165" s="2"/>
      <c r="T165" s="6">
        <v>2488.94</v>
      </c>
      <c r="U165" s="2"/>
      <c r="V165" s="7">
        <f t="shared" si="25"/>
        <v>4.6346777383401262E-4</v>
      </c>
      <c r="W165" s="2"/>
      <c r="X165" s="6">
        <f t="shared" si="26"/>
        <v>-90.139999999999873</v>
      </c>
      <c r="Y165" s="2"/>
      <c r="Z165" s="7">
        <f t="shared" si="27"/>
        <v>-3.6216220559756311E-2</v>
      </c>
    </row>
    <row r="166" spans="1:26" s="24" customFormat="1" hidden="1" outlineLevel="2" x14ac:dyDescent="0.25">
      <c r="A166" s="26"/>
      <c r="B166" s="11" t="str">
        <f>CONCATENATE("          ", "6115", " - ", "P.E.R.S.")</f>
        <v xml:space="preserve">          6115 - P.E.R.S.</v>
      </c>
      <c r="C166" s="11"/>
      <c r="D166" s="6">
        <v>6181.43</v>
      </c>
      <c r="E166" s="2"/>
      <c r="F166" s="7">
        <f t="shared" si="20"/>
        <v>1.3725443523473501E-2</v>
      </c>
      <c r="G166" s="2"/>
      <c r="H166" s="6">
        <v>5611.84</v>
      </c>
      <c r="I166" s="2"/>
      <c r="J166" s="7">
        <f t="shared" si="21"/>
        <v>1.5955074778182744E-2</v>
      </c>
      <c r="K166" s="2"/>
      <c r="L166" s="6">
        <f t="shared" si="22"/>
        <v>569.59000000000015</v>
      </c>
      <c r="M166" s="2"/>
      <c r="N166" s="7">
        <f t="shared" si="23"/>
        <v>0.1014979044306324</v>
      </c>
      <c r="O166" s="11"/>
      <c r="P166" s="6">
        <v>35822.460000000006</v>
      </c>
      <c r="Q166" s="2"/>
      <c r="R166" s="7">
        <f t="shared" si="24"/>
        <v>7.0639313844916979E-3</v>
      </c>
      <c r="S166" s="2"/>
      <c r="T166" s="6">
        <v>35236.36</v>
      </c>
      <c r="U166" s="2"/>
      <c r="V166" s="7">
        <f t="shared" si="25"/>
        <v>6.5613945403319683E-3</v>
      </c>
      <c r="W166" s="2"/>
      <c r="X166" s="6">
        <f t="shared" si="26"/>
        <v>586.10000000000582</v>
      </c>
      <c r="Y166" s="2"/>
      <c r="Z166" s="7">
        <f t="shared" si="27"/>
        <v>1.6633386649472472E-2</v>
      </c>
    </row>
    <row r="167" spans="1:26" s="24" customFormat="1" hidden="1" outlineLevel="2" x14ac:dyDescent="0.25">
      <c r="A167" s="26"/>
      <c r="B167" s="11" t="str">
        <f>CONCATENATE("          ", "6117", " - ", "RETIREMENT STAFF HOURLY")</f>
        <v xml:space="preserve">          6117 - RETIREMENT STAFF HOURLY</v>
      </c>
      <c r="C167" s="11"/>
      <c r="D167" s="6">
        <v>93.57</v>
      </c>
      <c r="E167" s="2"/>
      <c r="F167" s="7">
        <f t="shared" si="20"/>
        <v>2.0776580022606667E-4</v>
      </c>
      <c r="G167" s="2"/>
      <c r="H167" s="6">
        <v>255.23</v>
      </c>
      <c r="I167" s="2"/>
      <c r="J167" s="7">
        <f t="shared" si="21"/>
        <v>7.2564679955871539E-4</v>
      </c>
      <c r="K167" s="2"/>
      <c r="L167" s="6">
        <f t="shared" si="22"/>
        <v>-161.66</v>
      </c>
      <c r="M167" s="2"/>
      <c r="N167" s="7">
        <f t="shared" si="23"/>
        <v>-0.63338949183089766</v>
      </c>
      <c r="O167" s="11"/>
      <c r="P167" s="6">
        <v>646.20000000000005</v>
      </c>
      <c r="Q167" s="2"/>
      <c r="R167" s="7">
        <f t="shared" si="24"/>
        <v>1.2742599086323315E-4</v>
      </c>
      <c r="S167" s="2"/>
      <c r="T167" s="6">
        <v>1656.02</v>
      </c>
      <c r="U167" s="2"/>
      <c r="V167" s="7">
        <f t="shared" si="25"/>
        <v>3.0836898552178901E-4</v>
      </c>
      <c r="W167" s="2"/>
      <c r="X167" s="6">
        <f t="shared" si="26"/>
        <v>-1009.8199999999999</v>
      </c>
      <c r="Y167" s="2"/>
      <c r="Z167" s="7">
        <f t="shared" si="27"/>
        <v>-0.6097873214091617</v>
      </c>
    </row>
    <row r="168" spans="1:26" s="24" customFormat="1" hidden="1" outlineLevel="2" x14ac:dyDescent="0.25">
      <c r="A168" s="26"/>
      <c r="B168" s="11" t="str">
        <f>CONCATENATE("          ", "6118", " - ", "VACATION")</f>
        <v xml:space="preserve">          6118 - VACATION</v>
      </c>
      <c r="C168" s="11"/>
      <c r="D168" s="6">
        <v>4811.3900000000003</v>
      </c>
      <c r="E168" s="2"/>
      <c r="F168" s="7">
        <f t="shared" si="20"/>
        <v>1.0683363188518704E-2</v>
      </c>
      <c r="G168" s="2"/>
      <c r="H168" s="6">
        <v>5316.32</v>
      </c>
      <c r="I168" s="2"/>
      <c r="J168" s="7">
        <f t="shared" si="21"/>
        <v>1.511487910288755E-2</v>
      </c>
      <c r="K168" s="2"/>
      <c r="L168" s="6">
        <f t="shared" si="22"/>
        <v>-504.92999999999938</v>
      </c>
      <c r="M168" s="2"/>
      <c r="N168" s="7">
        <f t="shared" si="23"/>
        <v>-9.4977352755289263E-2</v>
      </c>
      <c r="O168" s="11"/>
      <c r="P168" s="6">
        <v>29509.37</v>
      </c>
      <c r="Q168" s="2"/>
      <c r="R168" s="7">
        <f t="shared" si="24"/>
        <v>5.8190354565146483E-3</v>
      </c>
      <c r="S168" s="2"/>
      <c r="T168" s="6">
        <v>32874.409999999996</v>
      </c>
      <c r="U168" s="2"/>
      <c r="V168" s="7">
        <f t="shared" si="25"/>
        <v>6.1215736895250993E-3</v>
      </c>
      <c r="W168" s="2"/>
      <c r="X168" s="6">
        <f t="shared" si="26"/>
        <v>-3365.0399999999972</v>
      </c>
      <c r="Y168" s="2"/>
      <c r="Z168" s="7">
        <f t="shared" si="27"/>
        <v>-0.10236046821828887</v>
      </c>
    </row>
    <row r="169" spans="1:26" s="24" customFormat="1" hidden="1" outlineLevel="2" x14ac:dyDescent="0.25">
      <c r="A169" s="26"/>
      <c r="B169" s="11" t="str">
        <f>CONCATENATE("          ", "6119", " - ", "SICK LEAVE")</f>
        <v xml:space="preserve">          6119 - SICK LEAVE</v>
      </c>
      <c r="C169" s="11"/>
      <c r="D169" s="6">
        <v>2483.15</v>
      </c>
      <c r="E169" s="2"/>
      <c r="F169" s="7">
        <f t="shared" si="20"/>
        <v>5.5136651365967461E-3</v>
      </c>
      <c r="G169" s="2"/>
      <c r="H169" s="6">
        <v>3277.22</v>
      </c>
      <c r="I169" s="2"/>
      <c r="J169" s="7">
        <f t="shared" si="21"/>
        <v>9.3174948260385266E-3</v>
      </c>
      <c r="K169" s="2"/>
      <c r="L169" s="6">
        <f t="shared" si="22"/>
        <v>-794.06999999999971</v>
      </c>
      <c r="M169" s="2"/>
      <c r="N169" s="7">
        <f t="shared" si="23"/>
        <v>-0.24229987611451162</v>
      </c>
      <c r="O169" s="11"/>
      <c r="P169" s="6">
        <v>23054.5</v>
      </c>
      <c r="Q169" s="2"/>
      <c r="R169" s="7">
        <f t="shared" si="24"/>
        <v>4.5461815325849707E-3</v>
      </c>
      <c r="S169" s="2"/>
      <c r="T169" s="6">
        <v>25980.720000000001</v>
      </c>
      <c r="U169" s="2"/>
      <c r="V169" s="7">
        <f t="shared" si="25"/>
        <v>4.8378934249137424E-3</v>
      </c>
      <c r="W169" s="2"/>
      <c r="X169" s="6">
        <f t="shared" si="26"/>
        <v>-2926.2200000000012</v>
      </c>
      <c r="Y169" s="2"/>
      <c r="Z169" s="7">
        <f t="shared" si="27"/>
        <v>-0.11263044288226043</v>
      </c>
    </row>
    <row r="170" spans="1:26" s="24" customFormat="1" hidden="1" outlineLevel="2" x14ac:dyDescent="0.25">
      <c r="A170" s="26"/>
      <c r="B170" s="11" t="str">
        <f>CONCATENATE("          ", "6156", " - ", "EMPLOYEE MEALS")</f>
        <v xml:space="preserve">          6156 - EMPLOYEE MEALS</v>
      </c>
      <c r="C170" s="11"/>
      <c r="D170" s="6">
        <v>1789.6</v>
      </c>
      <c r="E170" s="2"/>
      <c r="F170" s="7">
        <f t="shared" si="20"/>
        <v>3.9736846861661741E-3</v>
      </c>
      <c r="G170" s="2"/>
      <c r="H170" s="6">
        <v>2036.16</v>
      </c>
      <c r="I170" s="2"/>
      <c r="J170" s="7">
        <f t="shared" si="21"/>
        <v>5.7890255353582019E-3</v>
      </c>
      <c r="K170" s="2"/>
      <c r="L170" s="6">
        <f t="shared" si="22"/>
        <v>-246.56000000000017</v>
      </c>
      <c r="M170" s="2"/>
      <c r="N170" s="7">
        <f t="shared" si="23"/>
        <v>-0.12109068049662117</v>
      </c>
      <c r="O170" s="11"/>
      <c r="P170" s="6">
        <v>9726.6</v>
      </c>
      <c r="Q170" s="2"/>
      <c r="R170" s="7">
        <f t="shared" si="24"/>
        <v>1.9180155412106522E-3</v>
      </c>
      <c r="S170" s="2"/>
      <c r="T170" s="6">
        <v>10407.6</v>
      </c>
      <c r="U170" s="2"/>
      <c r="V170" s="7">
        <f t="shared" si="25"/>
        <v>1.9380086313671161E-3</v>
      </c>
      <c r="W170" s="2"/>
      <c r="X170" s="6">
        <f t="shared" si="26"/>
        <v>-681</v>
      </c>
      <c r="Y170" s="2"/>
      <c r="Z170" s="7">
        <f t="shared" si="27"/>
        <v>-6.5432952842153808E-2</v>
      </c>
    </row>
    <row r="171" spans="1:26" s="25" customFormat="1" outlineLevel="1" collapsed="1" x14ac:dyDescent="0.25">
      <c r="A171" s="27"/>
      <c r="B171" s="13" t="str">
        <f>CONCATENATE("     ","*Payroll                                          ")</f>
        <v xml:space="preserve">     *Payroll                                          </v>
      </c>
      <c r="C171" s="13"/>
      <c r="D171" s="1">
        <f>SUM(OSRRefD22_1x_0)</f>
        <v>139539.44</v>
      </c>
      <c r="E171" s="1"/>
      <c r="F171" s="5">
        <f t="shared" ref="F171:F178" si="28">IF(D$12=0,0,D171/D$12)</f>
        <v>0.30983780500905439</v>
      </c>
      <c r="G171" s="1"/>
      <c r="H171" s="1">
        <f>SUM(OSRRefH22_1x_0)</f>
        <v>129103.01999999999</v>
      </c>
      <c r="I171" s="1"/>
      <c r="J171" s="5">
        <f t="shared" ref="J171:J178" si="29">IF(H$12=0,0,H171/H$12)</f>
        <v>0.36705400335526706</v>
      </c>
      <c r="K171" s="1"/>
      <c r="L171" s="1">
        <f t="shared" ref="L171:L178" si="30">+D171-H171</f>
        <v>10436.420000000013</v>
      </c>
      <c r="M171" s="1"/>
      <c r="N171" s="5">
        <f t="shared" ref="N171:N178" si="31">IF(H171=0,0,L171/H171)</f>
        <v>8.0837923078794074E-2</v>
      </c>
      <c r="O171" s="13"/>
      <c r="P171" s="1">
        <f>SUM(OSRRefP22_1x_0)</f>
        <v>890937.86</v>
      </c>
      <c r="Q171" s="1"/>
      <c r="R171" s="5">
        <f t="shared" ref="R171:R178" si="32">IF(P$12=0,0,P171/P$12)</f>
        <v>0.17568653606943435</v>
      </c>
      <c r="S171" s="1"/>
      <c r="T171" s="1">
        <f>SUM(OSRRefT22_1x_0)</f>
        <v>847782.40000000002</v>
      </c>
      <c r="U171" s="1"/>
      <c r="V171" s="5">
        <f t="shared" ref="V171:V178" si="33">IF(T$12=0,0,T171/T$12)</f>
        <v>0.15786632929024261</v>
      </c>
      <c r="W171" s="1"/>
      <c r="X171" s="1">
        <f t="shared" ref="X171:X178" si="34">+P171-T171</f>
        <v>43155.459999999963</v>
      </c>
      <c r="Y171" s="1"/>
      <c r="Z171" s="5">
        <f t="shared" ref="Z171:Z178" si="35">IF(T171=0,0,X171/T171)</f>
        <v>5.0903934783265097E-2</v>
      </c>
    </row>
    <row r="172" spans="1:26" s="24" customFormat="1" hidden="1" outlineLevel="2" x14ac:dyDescent="0.25">
      <c r="A172" s="26"/>
      <c r="B172" s="11" t="str">
        <f>CONCATENATE("          ", "6001", " - ", "ADMINISTRATIVE SALARIES")</f>
        <v xml:space="preserve">          6001 - ADMINISTRATIVE SALARIES</v>
      </c>
      <c r="C172" s="11"/>
      <c r="D172" s="6">
        <v>10717.14</v>
      </c>
      <c r="E172" s="2"/>
      <c r="F172" s="7">
        <f t="shared" si="28"/>
        <v>2.3796678083090609E-2</v>
      </c>
      <c r="G172" s="2"/>
      <c r="H172" s="6">
        <v>10405</v>
      </c>
      <c r="I172" s="2"/>
      <c r="J172" s="7">
        <f t="shared" si="29"/>
        <v>2.958255279319999E-2</v>
      </c>
      <c r="K172" s="2"/>
      <c r="L172" s="6">
        <f t="shared" si="30"/>
        <v>312.13999999999942</v>
      </c>
      <c r="M172" s="2"/>
      <c r="N172" s="7">
        <f t="shared" si="31"/>
        <v>2.999903892359437E-2</v>
      </c>
      <c r="O172" s="11"/>
      <c r="P172" s="6">
        <v>56800.83</v>
      </c>
      <c r="Q172" s="2"/>
      <c r="R172" s="7">
        <f t="shared" si="32"/>
        <v>1.120071501795738E-2</v>
      </c>
      <c r="S172" s="2"/>
      <c r="T172" s="6">
        <v>56707.25</v>
      </c>
      <c r="U172" s="2"/>
      <c r="V172" s="7">
        <f t="shared" si="33"/>
        <v>1.0559508432404482E-2</v>
      </c>
      <c r="W172" s="2"/>
      <c r="X172" s="6">
        <f t="shared" si="34"/>
        <v>93.580000000001746</v>
      </c>
      <c r="Y172" s="2"/>
      <c r="Z172" s="7">
        <f t="shared" si="35"/>
        <v>1.6502299088741166E-3</v>
      </c>
    </row>
    <row r="173" spans="1:26" s="24" customFormat="1" hidden="1" outlineLevel="2" x14ac:dyDescent="0.25">
      <c r="A173" s="26"/>
      <c r="B173" s="11" t="str">
        <f>CONCATENATE("          ", "6002", " - ", "STAFF SALARIES")</f>
        <v xml:space="preserve">          6002 - STAFF SALARIES</v>
      </c>
      <c r="C173" s="11"/>
      <c r="D173" s="6">
        <v>52570.12</v>
      </c>
      <c r="E173" s="2"/>
      <c r="F173" s="7">
        <f t="shared" si="28"/>
        <v>0.11672836432382551</v>
      </c>
      <c r="G173" s="2"/>
      <c r="H173" s="6">
        <v>48334.8</v>
      </c>
      <c r="I173" s="2"/>
      <c r="J173" s="7">
        <f t="shared" si="29"/>
        <v>0.13742112184034244</v>
      </c>
      <c r="K173" s="2"/>
      <c r="L173" s="6">
        <f t="shared" si="30"/>
        <v>4235.32</v>
      </c>
      <c r="M173" s="2"/>
      <c r="N173" s="7">
        <f t="shared" si="31"/>
        <v>8.7624651389888841E-2</v>
      </c>
      <c r="O173" s="11"/>
      <c r="P173" s="6">
        <v>297614.38</v>
      </c>
      <c r="Q173" s="2"/>
      <c r="R173" s="7">
        <f t="shared" si="32"/>
        <v>5.8687414525915811E-2</v>
      </c>
      <c r="S173" s="2"/>
      <c r="T173" s="6">
        <v>274185.45</v>
      </c>
      <c r="U173" s="2"/>
      <c r="V173" s="7">
        <f t="shared" si="33"/>
        <v>5.1056321216733626E-2</v>
      </c>
      <c r="W173" s="2"/>
      <c r="X173" s="6">
        <f t="shared" si="34"/>
        <v>23428.929999999993</v>
      </c>
      <c r="Y173" s="2"/>
      <c r="Z173" s="7">
        <f t="shared" si="35"/>
        <v>8.5449209649892041E-2</v>
      </c>
    </row>
    <row r="174" spans="1:26" s="24" customFormat="1" hidden="1" outlineLevel="2" x14ac:dyDescent="0.25">
      <c r="A174" s="26"/>
      <c r="B174" s="11" t="str">
        <f>CONCATENATE("          ", "6004", " - ", "STAFF HOURLY")</f>
        <v xml:space="preserve">          6004 - STAFF HOURLY</v>
      </c>
      <c r="C174" s="11"/>
      <c r="D174" s="6">
        <v>2163.25</v>
      </c>
      <c r="E174" s="2"/>
      <c r="F174" s="7">
        <f t="shared" si="28"/>
        <v>4.8033490150586593E-3</v>
      </c>
      <c r="G174" s="2"/>
      <c r="H174" s="6">
        <v>6226.82</v>
      </c>
      <c r="I174" s="2"/>
      <c r="J174" s="7">
        <f t="shared" si="29"/>
        <v>1.7703530166626964E-2</v>
      </c>
      <c r="K174" s="2"/>
      <c r="L174" s="6">
        <f t="shared" si="30"/>
        <v>-4063.5699999999997</v>
      </c>
      <c r="M174" s="2"/>
      <c r="N174" s="7">
        <f t="shared" si="31"/>
        <v>-0.65259153147192306</v>
      </c>
      <c r="O174" s="11"/>
      <c r="P174" s="6">
        <v>12705.41</v>
      </c>
      <c r="Q174" s="2"/>
      <c r="R174" s="7">
        <f t="shared" si="32"/>
        <v>2.5054154419276243E-3</v>
      </c>
      <c r="S174" s="2"/>
      <c r="T174" s="6">
        <v>31097.32</v>
      </c>
      <c r="U174" s="2"/>
      <c r="V174" s="7">
        <f t="shared" si="33"/>
        <v>5.7906601495431457E-3</v>
      </c>
      <c r="W174" s="2"/>
      <c r="X174" s="6">
        <f t="shared" si="34"/>
        <v>-18391.91</v>
      </c>
      <c r="Y174" s="2"/>
      <c r="Z174" s="7">
        <f t="shared" si="35"/>
        <v>-0.59143070849835289</v>
      </c>
    </row>
    <row r="175" spans="1:26" s="24" customFormat="1" hidden="1" outlineLevel="2" x14ac:dyDescent="0.25">
      <c r="A175" s="26"/>
      <c r="B175" s="11" t="str">
        <f>CONCATENATE("          ", "6005", " - ", "TEMPORARY WAGES-HOURLY")</f>
        <v xml:space="preserve">          6005 - TEMPORARY WAGES-HOURLY</v>
      </c>
      <c r="C175" s="11"/>
      <c r="D175" s="6">
        <v>16229.110000000002</v>
      </c>
      <c r="E175" s="2"/>
      <c r="F175" s="7">
        <f t="shared" si="28"/>
        <v>3.6035631357345964E-2</v>
      </c>
      <c r="G175" s="2"/>
      <c r="H175" s="6">
        <v>16231.329999999998</v>
      </c>
      <c r="I175" s="2"/>
      <c r="J175" s="7">
        <f t="shared" si="29"/>
        <v>4.6147446095997191E-2</v>
      </c>
      <c r="K175" s="2"/>
      <c r="L175" s="6">
        <f t="shared" si="30"/>
        <v>-2.2199999999957072</v>
      </c>
      <c r="M175" s="2"/>
      <c r="N175" s="7">
        <f t="shared" si="31"/>
        <v>-1.3677252572621637E-4</v>
      </c>
      <c r="O175" s="11"/>
      <c r="P175" s="6">
        <v>90997.37999999999</v>
      </c>
      <c r="Q175" s="2"/>
      <c r="R175" s="7">
        <f t="shared" si="32"/>
        <v>1.7944028648186557E-2</v>
      </c>
      <c r="S175" s="2"/>
      <c r="T175" s="6">
        <v>94538.680000000008</v>
      </c>
      <c r="U175" s="2"/>
      <c r="V175" s="7">
        <f t="shared" si="33"/>
        <v>1.760413331008626E-2</v>
      </c>
      <c r="W175" s="2"/>
      <c r="X175" s="6">
        <f t="shared" si="34"/>
        <v>-3541.3000000000175</v>
      </c>
      <c r="Y175" s="2"/>
      <c r="Z175" s="7">
        <f t="shared" si="35"/>
        <v>-3.7458741755226718E-2</v>
      </c>
    </row>
    <row r="176" spans="1:26" s="24" customFormat="1" hidden="1" outlineLevel="2" x14ac:dyDescent="0.25">
      <c r="A176" s="26"/>
      <c r="B176" s="11" t="str">
        <f>CONCATENATE("          ", "6006", " - ", "TEMPORARY PART TIME")</f>
        <v xml:space="preserve">          6006 - TEMPORARY PART TIME</v>
      </c>
      <c r="C176" s="11"/>
      <c r="D176" s="6">
        <v>1297.75</v>
      </c>
      <c r="E176" s="2"/>
      <c r="F176" s="7">
        <f t="shared" si="28"/>
        <v>2.881565322682249E-3</v>
      </c>
      <c r="G176" s="2"/>
      <c r="H176" s="6">
        <v>2394.4699999999998</v>
      </c>
      <c r="I176" s="2"/>
      <c r="J176" s="7">
        <f t="shared" si="29"/>
        <v>6.8077400467788157E-3</v>
      </c>
      <c r="K176" s="2"/>
      <c r="L176" s="6">
        <f t="shared" si="30"/>
        <v>-1096.7199999999998</v>
      </c>
      <c r="M176" s="2"/>
      <c r="N176" s="7">
        <f t="shared" si="31"/>
        <v>-0.4580220257510012</v>
      </c>
      <c r="O176" s="11"/>
      <c r="P176" s="6">
        <v>19835.75</v>
      </c>
      <c r="Q176" s="2"/>
      <c r="R176" s="7">
        <f t="shared" si="32"/>
        <v>3.9114671901352158E-3</v>
      </c>
      <c r="S176" s="2"/>
      <c r="T176" s="6">
        <v>39848.259999999995</v>
      </c>
      <c r="U176" s="2"/>
      <c r="V176" s="7">
        <f t="shared" si="33"/>
        <v>7.4201806204082579E-3</v>
      </c>
      <c r="W176" s="2"/>
      <c r="X176" s="6">
        <f t="shared" si="34"/>
        <v>-20012.509999999995</v>
      </c>
      <c r="Y176" s="2"/>
      <c r="Z176" s="7">
        <f t="shared" si="35"/>
        <v>-0.50221791365545188</v>
      </c>
    </row>
    <row r="177" spans="1:26" s="24" customFormat="1" hidden="1" outlineLevel="2" x14ac:dyDescent="0.25">
      <c r="A177" s="26"/>
      <c r="B177" s="11" t="str">
        <f>CONCATENATE("          ", "6007", " - ", "STUDENT HOURLY")</f>
        <v xml:space="preserve">          6007 - STUDENT HOURLY</v>
      </c>
      <c r="C177" s="11"/>
      <c r="D177" s="6">
        <v>56010.07</v>
      </c>
      <c r="E177" s="2"/>
      <c r="F177" s="7">
        <f t="shared" si="28"/>
        <v>0.12436653857291878</v>
      </c>
      <c r="G177" s="2"/>
      <c r="H177" s="6">
        <v>44253.85</v>
      </c>
      <c r="I177" s="2"/>
      <c r="J177" s="7">
        <f t="shared" si="29"/>
        <v>0.12581853473593016</v>
      </c>
      <c r="K177" s="2"/>
      <c r="L177" s="6">
        <f t="shared" si="30"/>
        <v>11756.220000000001</v>
      </c>
      <c r="M177" s="2"/>
      <c r="N177" s="7">
        <f t="shared" si="31"/>
        <v>0.26565417472152142</v>
      </c>
      <c r="O177" s="11"/>
      <c r="P177" s="6">
        <v>407701.11</v>
      </c>
      <c r="Q177" s="2"/>
      <c r="R177" s="7">
        <f t="shared" si="32"/>
        <v>8.0395725654271138E-2</v>
      </c>
      <c r="S177" s="2"/>
      <c r="T177" s="6">
        <v>340300.94</v>
      </c>
      <c r="U177" s="2"/>
      <c r="V177" s="7">
        <f t="shared" si="33"/>
        <v>6.3367746548901094E-2</v>
      </c>
      <c r="W177" s="2"/>
      <c r="X177" s="6">
        <f t="shared" si="34"/>
        <v>67400.169999999984</v>
      </c>
      <c r="Y177" s="2"/>
      <c r="Z177" s="7">
        <f t="shared" si="35"/>
        <v>0.19806048728516584</v>
      </c>
    </row>
    <row r="178" spans="1:26" s="24" customFormat="1" hidden="1" outlineLevel="2" x14ac:dyDescent="0.25">
      <c r="A178" s="26"/>
      <c r="B178" s="11" t="str">
        <f>CONCATENATE("          ", "6008", " - ", "STUDENT HOURLY-FICA EXEMPT")</f>
        <v xml:space="preserve">          6008 - STUDENT HOURLY-FICA EXEMPT</v>
      </c>
      <c r="C178" s="11"/>
      <c r="D178" s="6">
        <v>552</v>
      </c>
      <c r="E178" s="2"/>
      <c r="F178" s="7">
        <f t="shared" si="28"/>
        <v>1.2256783341326152E-3</v>
      </c>
      <c r="G178" s="2"/>
      <c r="H178" s="6">
        <v>1256.75</v>
      </c>
      <c r="I178" s="2"/>
      <c r="J178" s="7">
        <f t="shared" si="29"/>
        <v>3.5730776763915509E-3</v>
      </c>
      <c r="K178" s="2"/>
      <c r="L178" s="6">
        <f t="shared" si="30"/>
        <v>-704.75</v>
      </c>
      <c r="M178" s="2"/>
      <c r="N178" s="7">
        <f t="shared" si="31"/>
        <v>-0.56077183210662418</v>
      </c>
      <c r="O178" s="11"/>
      <c r="P178" s="6">
        <v>5283</v>
      </c>
      <c r="Q178" s="2"/>
      <c r="R178" s="7">
        <f t="shared" si="32"/>
        <v>1.0417695910406386E-3</v>
      </c>
      <c r="S178" s="2"/>
      <c r="T178" s="6">
        <v>11104.5</v>
      </c>
      <c r="U178" s="2"/>
      <c r="V178" s="7">
        <f t="shared" si="33"/>
        <v>2.0677790121657385E-3</v>
      </c>
      <c r="W178" s="2"/>
      <c r="X178" s="6">
        <f t="shared" si="34"/>
        <v>-5821.5</v>
      </c>
      <c r="Y178" s="2"/>
      <c r="Z178" s="7">
        <f t="shared" si="35"/>
        <v>-0.52424692692151831</v>
      </c>
    </row>
    <row r="179" spans="1:26" s="25" customFormat="1" outlineLevel="1" collapsed="1" x14ac:dyDescent="0.25">
      <c r="A179" s="27"/>
      <c r="B179" s="13" t="str">
        <f>CONCATENATE("     ","Advertising/Promo                                 ")</f>
        <v xml:space="preserve">     Advertising/Promo                                 </v>
      </c>
      <c r="C179" s="13"/>
      <c r="D179" s="1">
        <f>SUM(OSRRefD22_2x_0)</f>
        <v>14854.550000000001</v>
      </c>
      <c r="E179" s="1"/>
      <c r="F179" s="5">
        <f t="shared" ref="F179:F183" si="36">IF(D$12=0,0,D179/D$12)</f>
        <v>3.2983514670814569E-2</v>
      </c>
      <c r="G179" s="1"/>
      <c r="H179" s="1">
        <f>SUM(OSRRefH22_2x_0)</f>
        <v>20344.68</v>
      </c>
      <c r="I179" s="1"/>
      <c r="J179" s="5">
        <f t="shared" ref="J179:J183" si="37">IF(H$12=0,0,H179/H$12)</f>
        <v>5.7842149943369531E-2</v>
      </c>
      <c r="K179" s="1"/>
      <c r="L179" s="1">
        <f t="shared" ref="L179:L183" si="38">+D179-H179</f>
        <v>-5490.1299999999992</v>
      </c>
      <c r="M179" s="1"/>
      <c r="N179" s="5">
        <f t="shared" ref="N179:N183" si="39">IF(H179=0,0,L179/H179)</f>
        <v>-0.26985580505567053</v>
      </c>
      <c r="O179" s="13"/>
      <c r="P179" s="1">
        <f>SUM(OSRRefP22_2x_0)</f>
        <v>32621.350000000002</v>
      </c>
      <c r="Q179" s="1"/>
      <c r="R179" s="5">
        <f t="shared" ref="R179:R183" si="40">IF(P$12=0,0,P179/P$12)</f>
        <v>6.4326955231295739E-3</v>
      </c>
      <c r="S179" s="1"/>
      <c r="T179" s="1">
        <f>SUM(OSRRefT22_2x_0)</f>
        <v>38494.140000000007</v>
      </c>
      <c r="U179" s="1"/>
      <c r="V179" s="5">
        <f t="shared" ref="V179:V183" si="41">IF(T$12=0,0,T179/T$12)</f>
        <v>7.1680287075842819E-3</v>
      </c>
      <c r="W179" s="1"/>
      <c r="X179" s="1">
        <f t="shared" ref="X179:X183" si="42">+P179-T179</f>
        <v>-5872.7900000000045</v>
      </c>
      <c r="Y179" s="1"/>
      <c r="Z179" s="5">
        <f t="shared" ref="Z179:Z183" si="43">IF(T179=0,0,X179/T179)</f>
        <v>-0.15256322131108796</v>
      </c>
    </row>
    <row r="180" spans="1:26" s="24" customFormat="1" hidden="1" outlineLevel="2" x14ac:dyDescent="0.25">
      <c r="A180" s="26"/>
      <c r="B180" s="11" t="str">
        <f>CONCATENATE("          ", "6362", " - ", "ADVERTISING EXPENSE")</f>
        <v xml:space="preserve">          6362 - ADVERTISING EXPENSE</v>
      </c>
      <c r="C180" s="11"/>
      <c r="D180" s="6">
        <v>14854.550000000001</v>
      </c>
      <c r="E180" s="2"/>
      <c r="F180" s="7">
        <f t="shared" si="36"/>
        <v>3.2983514670814569E-2</v>
      </c>
      <c r="G180" s="2"/>
      <c r="H180" s="6">
        <v>20344.68</v>
      </c>
      <c r="I180" s="2"/>
      <c r="J180" s="7">
        <f t="shared" si="37"/>
        <v>5.7842149943369531E-2</v>
      </c>
      <c r="K180" s="2"/>
      <c r="L180" s="6">
        <f t="shared" si="38"/>
        <v>-5490.1299999999992</v>
      </c>
      <c r="M180" s="2"/>
      <c r="N180" s="7">
        <f t="shared" si="39"/>
        <v>-0.26985580505567053</v>
      </c>
      <c r="O180" s="11"/>
      <c r="P180" s="6">
        <v>32621.350000000002</v>
      </c>
      <c r="Q180" s="2"/>
      <c r="R180" s="7">
        <f t="shared" si="40"/>
        <v>6.4326955231295739E-3</v>
      </c>
      <c r="S180" s="2"/>
      <c r="T180" s="6">
        <v>38494.140000000007</v>
      </c>
      <c r="U180" s="2"/>
      <c r="V180" s="7">
        <f t="shared" si="41"/>
        <v>7.1680287075842819E-3</v>
      </c>
      <c r="W180" s="2"/>
      <c r="X180" s="6">
        <f t="shared" si="42"/>
        <v>-5872.7900000000045</v>
      </c>
      <c r="Y180" s="2"/>
      <c r="Z180" s="7">
        <f t="shared" si="43"/>
        <v>-0.15256322131108796</v>
      </c>
    </row>
    <row r="181" spans="1:26" s="25" customFormat="1" outlineLevel="1" collapsed="1" x14ac:dyDescent="0.25">
      <c r="A181" s="27"/>
      <c r="B181" s="13" t="str">
        <f>CONCATENATE("     ","Bad Debts/Over/Short                              ")</f>
        <v xml:space="preserve">     Bad Debts/Over/Short                              </v>
      </c>
      <c r="C181" s="13"/>
      <c r="D181" s="1">
        <f>SUM(OSRRefD22_3x_0)</f>
        <v>150.11000000000001</v>
      </c>
      <c r="E181" s="1"/>
      <c r="F181" s="5">
        <f t="shared" si="36"/>
        <v>3.3330901220407044E-4</v>
      </c>
      <c r="G181" s="1"/>
      <c r="H181" s="1">
        <f>SUM(OSRRefH22_3x_0)</f>
        <v>55.58</v>
      </c>
      <c r="I181" s="1"/>
      <c r="J181" s="5">
        <f t="shared" si="37"/>
        <v>1.5802001770745368E-4</v>
      </c>
      <c r="K181" s="1"/>
      <c r="L181" s="1">
        <f t="shared" si="38"/>
        <v>94.530000000000015</v>
      </c>
      <c r="M181" s="1"/>
      <c r="N181" s="5">
        <f t="shared" si="39"/>
        <v>1.7007916516732642</v>
      </c>
      <c r="O181" s="13"/>
      <c r="P181" s="1">
        <f>SUM(OSRRefP22_3x_0)</f>
        <v>72.459999999999994</v>
      </c>
      <c r="Q181" s="1"/>
      <c r="R181" s="5">
        <f t="shared" si="40"/>
        <v>1.4288590680826172E-5</v>
      </c>
      <c r="S181" s="1"/>
      <c r="T181" s="1">
        <f>SUM(OSRRefT22_3x_0)</f>
        <v>1117.98</v>
      </c>
      <c r="U181" s="1"/>
      <c r="V181" s="5">
        <f t="shared" si="41"/>
        <v>2.0818006934315389E-4</v>
      </c>
      <c r="W181" s="1"/>
      <c r="X181" s="1">
        <f t="shared" si="42"/>
        <v>-1045.52</v>
      </c>
      <c r="Y181" s="1"/>
      <c r="Z181" s="5">
        <f t="shared" si="43"/>
        <v>-0.93518667596915861</v>
      </c>
    </row>
    <row r="182" spans="1:26" s="24" customFormat="1" hidden="1" outlineLevel="2" x14ac:dyDescent="0.25">
      <c r="A182" s="26"/>
      <c r="B182" s="11" t="str">
        <f>CONCATENATE("          ", "6272", " - ", "CASH (OVER/SHORT)")</f>
        <v xml:space="preserve">          6272 - CASH (OVER/SHORT)</v>
      </c>
      <c r="C182" s="11"/>
      <c r="D182" s="6">
        <v>150.11000000000001</v>
      </c>
      <c r="E182" s="2"/>
      <c r="F182" s="7">
        <f t="shared" si="36"/>
        <v>3.3330901220407044E-4</v>
      </c>
      <c r="G182" s="2"/>
      <c r="H182" s="6">
        <v>55.58</v>
      </c>
      <c r="I182" s="2"/>
      <c r="J182" s="7">
        <f t="shared" si="37"/>
        <v>1.5802001770745368E-4</v>
      </c>
      <c r="K182" s="2"/>
      <c r="L182" s="6">
        <f t="shared" si="38"/>
        <v>94.530000000000015</v>
      </c>
      <c r="M182" s="2"/>
      <c r="N182" s="7">
        <f t="shared" si="39"/>
        <v>1.7007916516732642</v>
      </c>
      <c r="O182" s="11"/>
      <c r="P182" s="6">
        <v>27.66</v>
      </c>
      <c r="Q182" s="2"/>
      <c r="R182" s="7">
        <f t="shared" si="40"/>
        <v>5.4543529979526905E-6</v>
      </c>
      <c r="S182" s="2"/>
      <c r="T182" s="6">
        <v>1117.98</v>
      </c>
      <c r="U182" s="2"/>
      <c r="V182" s="7">
        <f t="shared" si="41"/>
        <v>2.0818006934315389E-4</v>
      </c>
      <c r="W182" s="2"/>
      <c r="X182" s="6">
        <f t="shared" si="42"/>
        <v>-1090.32</v>
      </c>
      <c r="Y182" s="2"/>
      <c r="Z182" s="7">
        <f t="shared" si="43"/>
        <v>-0.97525894917619271</v>
      </c>
    </row>
    <row r="183" spans="1:26" s="24" customFormat="1" hidden="1" outlineLevel="2" x14ac:dyDescent="0.25">
      <c r="A183" s="26"/>
      <c r="B183" s="11" t="str">
        <f>CONCATENATE("          ", "6342", " - ", "BAD DEBT")</f>
        <v xml:space="preserve">          6342 - BAD DEBT</v>
      </c>
      <c r="C183" s="11"/>
      <c r="D183" s="6"/>
      <c r="E183" s="2"/>
      <c r="F183" s="7">
        <f t="shared" si="36"/>
        <v>0</v>
      </c>
      <c r="G183" s="2"/>
      <c r="H183" s="6"/>
      <c r="I183" s="2"/>
      <c r="J183" s="7">
        <f t="shared" si="37"/>
        <v>0</v>
      </c>
      <c r="K183" s="2"/>
      <c r="L183" s="6">
        <f t="shared" si="38"/>
        <v>0</v>
      </c>
      <c r="M183" s="2"/>
      <c r="N183" s="7">
        <f t="shared" si="39"/>
        <v>0</v>
      </c>
      <c r="O183" s="11"/>
      <c r="P183" s="6">
        <v>44.8</v>
      </c>
      <c r="Q183" s="2"/>
      <c r="R183" s="7">
        <f t="shared" si="40"/>
        <v>8.8342376828734817E-6</v>
      </c>
      <c r="S183" s="2"/>
      <c r="T183" s="6"/>
      <c r="U183" s="2"/>
      <c r="V183" s="7">
        <f t="shared" si="41"/>
        <v>0</v>
      </c>
      <c r="W183" s="2"/>
      <c r="X183" s="6">
        <f t="shared" si="42"/>
        <v>44.8</v>
      </c>
      <c r="Y183" s="2"/>
      <c r="Z183" s="7">
        <f t="shared" si="43"/>
        <v>0</v>
      </c>
    </row>
    <row r="184" spans="1:26" s="25" customFormat="1" outlineLevel="1" collapsed="1" x14ac:dyDescent="0.25">
      <c r="A184" s="27"/>
      <c r="B184" s="13" t="str">
        <f>CONCATENATE("     ","Bank/card Fees                                    ")</f>
        <v xml:space="preserve">     Bank/card Fees                                    </v>
      </c>
      <c r="C184" s="13"/>
      <c r="D184" s="1">
        <f>SUM(OSRRefD22_4x_0)</f>
        <v>10714.71</v>
      </c>
      <c r="E184" s="1"/>
      <c r="F184" s="5">
        <f t="shared" ref="F184:F188" si="44">IF(D$12=0,0,D184/D$12)</f>
        <v>2.3791282433902307E-2</v>
      </c>
      <c r="G184" s="1"/>
      <c r="H184" s="1">
        <f>SUM(OSRRefH22_4x_0)</f>
        <v>9526.41</v>
      </c>
      <c r="I184" s="1"/>
      <c r="J184" s="5">
        <f t="shared" ref="J184:J188" si="45">IF(H$12=0,0,H184/H$12)</f>
        <v>2.7084625348838858E-2</v>
      </c>
      <c r="K184" s="1"/>
      <c r="L184" s="1">
        <f t="shared" ref="L184:L188" si="46">+D184-H184</f>
        <v>1188.2999999999993</v>
      </c>
      <c r="M184" s="1"/>
      <c r="N184" s="5">
        <f t="shared" ref="N184:N188" si="47">IF(H184=0,0,L184/H184)</f>
        <v>0.12473744044188727</v>
      </c>
      <c r="O184" s="13"/>
      <c r="P184" s="1">
        <f>SUM(OSRRefP22_4x_0)</f>
        <v>82063.73000000001</v>
      </c>
      <c r="Q184" s="1"/>
      <c r="R184" s="5">
        <f t="shared" ref="R184:R188" si="48">IF(P$12=0,0,P184/P$12)</f>
        <v>1.6182377142034715E-2</v>
      </c>
      <c r="S184" s="1"/>
      <c r="T184" s="1">
        <f>SUM(OSRRefT22_4x_0)</f>
        <v>80529.05</v>
      </c>
      <c r="U184" s="1"/>
      <c r="V184" s="5">
        <f t="shared" ref="V184:V188" si="49">IF(T$12=0,0,T184/T$12)</f>
        <v>1.4995387406875175E-2</v>
      </c>
      <c r="W184" s="1"/>
      <c r="X184" s="1">
        <f t="shared" ref="X184:X188" si="50">+P184-T184</f>
        <v>1534.6800000000076</v>
      </c>
      <c r="Y184" s="1"/>
      <c r="Z184" s="5">
        <f t="shared" ref="Z184:Z188" si="51">IF(T184=0,0,X184/T184)</f>
        <v>1.9057470564970126E-2</v>
      </c>
    </row>
    <row r="185" spans="1:26" s="24" customFormat="1" hidden="1" outlineLevel="2" x14ac:dyDescent="0.25">
      <c r="A185" s="26"/>
      <c r="B185" s="11" t="str">
        <f>CONCATENATE("          ", "6381", " - ", "BANK/CREDIT CARD FEES")</f>
        <v xml:space="preserve">          6381 - BANK/CREDIT CARD FEES</v>
      </c>
      <c r="C185" s="11"/>
      <c r="D185" s="6">
        <v>10714.71</v>
      </c>
      <c r="E185" s="2"/>
      <c r="F185" s="7">
        <f t="shared" si="44"/>
        <v>2.3791282433902307E-2</v>
      </c>
      <c r="G185" s="2"/>
      <c r="H185" s="6">
        <v>9526.41</v>
      </c>
      <c r="I185" s="2"/>
      <c r="J185" s="7">
        <f t="shared" si="45"/>
        <v>2.7084625348838858E-2</v>
      </c>
      <c r="K185" s="2"/>
      <c r="L185" s="6">
        <f t="shared" si="46"/>
        <v>1188.2999999999993</v>
      </c>
      <c r="M185" s="2"/>
      <c r="N185" s="7">
        <f t="shared" si="47"/>
        <v>0.12473744044188727</v>
      </c>
      <c r="O185" s="11"/>
      <c r="P185" s="6">
        <v>82063.73000000001</v>
      </c>
      <c r="Q185" s="2"/>
      <c r="R185" s="7">
        <f t="shared" si="48"/>
        <v>1.6182377142034715E-2</v>
      </c>
      <c r="S185" s="2"/>
      <c r="T185" s="6">
        <v>80529.05</v>
      </c>
      <c r="U185" s="2"/>
      <c r="V185" s="7">
        <f t="shared" si="49"/>
        <v>1.4995387406875175E-2</v>
      </c>
      <c r="W185" s="2"/>
      <c r="X185" s="6">
        <f t="shared" si="50"/>
        <v>1534.6800000000076</v>
      </c>
      <c r="Y185" s="2"/>
      <c r="Z185" s="7">
        <f t="shared" si="51"/>
        <v>1.9057470564970126E-2</v>
      </c>
    </row>
    <row r="186" spans="1:26" s="25" customFormat="1" outlineLevel="1" collapsed="1" x14ac:dyDescent="0.25">
      <c r="A186" s="27"/>
      <c r="B186" s="13" t="str">
        <f>CONCATENATE("     ","Depreciation                                      ")</f>
        <v xml:space="preserve">     Depreciation                                      </v>
      </c>
      <c r="C186" s="13"/>
      <c r="D186" s="1">
        <f>SUM(OSRRefD22_5x_0)</f>
        <v>29607.43</v>
      </c>
      <c r="E186" s="1"/>
      <c r="F186" s="5">
        <f t="shared" si="44"/>
        <v>6.5741278044108731E-2</v>
      </c>
      <c r="G186" s="1"/>
      <c r="H186" s="1">
        <f>SUM(OSRRefH22_5x_0)</f>
        <v>29330.07</v>
      </c>
      <c r="I186" s="1"/>
      <c r="J186" s="5">
        <f t="shared" si="45"/>
        <v>8.3388596271336018E-2</v>
      </c>
      <c r="K186" s="1"/>
      <c r="L186" s="1">
        <f t="shared" si="46"/>
        <v>277.36000000000058</v>
      </c>
      <c r="M186" s="1"/>
      <c r="N186" s="5">
        <f t="shared" si="47"/>
        <v>9.4565065818117914E-3</v>
      </c>
      <c r="O186" s="13"/>
      <c r="P186" s="1">
        <f>SUM(OSRRefP22_5x_0)</f>
        <v>148037.15</v>
      </c>
      <c r="Q186" s="1"/>
      <c r="R186" s="5">
        <f t="shared" si="48"/>
        <v>2.9191860915071297E-2</v>
      </c>
      <c r="S186" s="1"/>
      <c r="T186" s="1">
        <f>SUM(OSRRefT22_5x_0)</f>
        <v>146650.34999999998</v>
      </c>
      <c r="U186" s="1"/>
      <c r="V186" s="5">
        <f t="shared" si="49"/>
        <v>2.7307894624409901E-2</v>
      </c>
      <c r="W186" s="1"/>
      <c r="X186" s="1">
        <f t="shared" si="50"/>
        <v>1386.8000000000175</v>
      </c>
      <c r="Y186" s="1"/>
      <c r="Z186" s="5">
        <f t="shared" si="51"/>
        <v>9.456506581811892E-3</v>
      </c>
    </row>
    <row r="187" spans="1:26" s="24" customFormat="1" hidden="1" outlineLevel="2" x14ac:dyDescent="0.25">
      <c r="A187" s="26"/>
      <c r="B187" s="11" t="str">
        <f>CONCATENATE("          ", "6321", " - ", "BUILDING DEPRECIATION")</f>
        <v xml:space="preserve">          6321 - BUILDING DEPRECIATION</v>
      </c>
      <c r="C187" s="11"/>
      <c r="D187" s="6">
        <v>16396.52</v>
      </c>
      <c r="E187" s="2"/>
      <c r="F187" s="7">
        <f t="shared" si="44"/>
        <v>3.6407353839079906E-2</v>
      </c>
      <c r="G187" s="2"/>
      <c r="H187" s="6">
        <v>16453.38</v>
      </c>
      <c r="I187" s="2"/>
      <c r="J187" s="7">
        <f t="shared" si="45"/>
        <v>4.6778758527302344E-2</v>
      </c>
      <c r="K187" s="2"/>
      <c r="L187" s="6">
        <f t="shared" si="46"/>
        <v>-56.860000000000582</v>
      </c>
      <c r="M187" s="2"/>
      <c r="N187" s="7">
        <f t="shared" si="47"/>
        <v>-3.4558248821822978E-3</v>
      </c>
      <c r="O187" s="11"/>
      <c r="P187" s="6">
        <v>81982.599999999991</v>
      </c>
      <c r="Q187" s="2"/>
      <c r="R187" s="7">
        <f t="shared" si="48"/>
        <v>1.6166378889730881E-2</v>
      </c>
      <c r="S187" s="2"/>
      <c r="T187" s="6">
        <v>82266.899999999994</v>
      </c>
      <c r="U187" s="2"/>
      <c r="V187" s="7">
        <f t="shared" si="49"/>
        <v>1.5318994030882757E-2</v>
      </c>
      <c r="W187" s="2"/>
      <c r="X187" s="6">
        <f t="shared" si="50"/>
        <v>-284.30000000000291</v>
      </c>
      <c r="Y187" s="2"/>
      <c r="Z187" s="7">
        <f t="shared" si="51"/>
        <v>-3.4558248821822983E-3</v>
      </c>
    </row>
    <row r="188" spans="1:26" s="24" customFormat="1" hidden="1" outlineLevel="2" x14ac:dyDescent="0.25">
      <c r="A188" s="26"/>
      <c r="B188" s="11" t="str">
        <f>CONCATENATE("          ", "6322", " - ", "EQUIPMENT DEPRECIATION EXPENSE")</f>
        <v xml:space="preserve">          6322 - EQUIPMENT DEPRECIATION EXPENSE</v>
      </c>
      <c r="C188" s="11"/>
      <c r="D188" s="6">
        <v>13210.91</v>
      </c>
      <c r="E188" s="2"/>
      <c r="F188" s="7">
        <f t="shared" si="44"/>
        <v>2.9333924205028818E-2</v>
      </c>
      <c r="G188" s="2"/>
      <c r="H188" s="6">
        <v>12876.69</v>
      </c>
      <c r="I188" s="2"/>
      <c r="J188" s="7">
        <f t="shared" si="45"/>
        <v>3.6609837744033674E-2</v>
      </c>
      <c r="K188" s="2"/>
      <c r="L188" s="6">
        <f t="shared" si="46"/>
        <v>334.21999999999935</v>
      </c>
      <c r="M188" s="2"/>
      <c r="N188" s="7">
        <f t="shared" si="47"/>
        <v>2.5955427986539967E-2</v>
      </c>
      <c r="O188" s="11"/>
      <c r="P188" s="6">
        <v>66054.55</v>
      </c>
      <c r="Q188" s="2"/>
      <c r="R188" s="7">
        <f t="shared" si="48"/>
        <v>1.3025482025340415E-2</v>
      </c>
      <c r="S188" s="2"/>
      <c r="T188" s="6">
        <v>64383.45</v>
      </c>
      <c r="U188" s="2"/>
      <c r="V188" s="7">
        <f t="shared" si="49"/>
        <v>1.1988900593527148E-2</v>
      </c>
      <c r="W188" s="2"/>
      <c r="X188" s="6">
        <f t="shared" si="50"/>
        <v>1671.1000000000058</v>
      </c>
      <c r="Y188" s="2"/>
      <c r="Z188" s="7">
        <f t="shared" si="51"/>
        <v>2.595542798654011E-2</v>
      </c>
    </row>
    <row r="189" spans="1:26" s="25" customFormat="1" outlineLevel="1" collapsed="1" x14ac:dyDescent="0.25">
      <c r="A189" s="27"/>
      <c r="B189" s="13" t="str">
        <f>CONCATENATE("     ","Discounts and Markdowns                           ")</f>
        <v xml:space="preserve">     Discounts and Markdowns                           </v>
      </c>
      <c r="C189" s="13"/>
      <c r="D189" s="1">
        <f>SUM(OSRRefD22_6x_0)</f>
        <v>49084.14</v>
      </c>
      <c r="E189" s="1"/>
      <c r="F189" s="5">
        <f t="shared" ref="F189:F191" si="52">IF(D$12=0,0,D189/D$12)</f>
        <v>0.10898798360060157</v>
      </c>
      <c r="G189" s="1"/>
      <c r="H189" s="1">
        <f>SUM(OSRRefH22_6x_0)</f>
        <v>24376.7</v>
      </c>
      <c r="I189" s="1"/>
      <c r="J189" s="5">
        <f t="shared" ref="J189:J191" si="53">IF(H$12=0,0,H189/H$12)</f>
        <v>6.9305623707255959E-2</v>
      </c>
      <c r="K189" s="1"/>
      <c r="L189" s="1">
        <f t="shared" ref="L189:L191" si="54">+D189-H189</f>
        <v>24707.439999999999</v>
      </c>
      <c r="M189" s="1"/>
      <c r="N189" s="5">
        <f t="shared" ref="N189:N191" si="55">IF(H189=0,0,L189/H189)</f>
        <v>1.0135678742405656</v>
      </c>
      <c r="O189" s="13"/>
      <c r="P189" s="1">
        <f>SUM(OSRRefP22_6x_0)</f>
        <v>146884.93000000002</v>
      </c>
      <c r="Q189" s="1"/>
      <c r="R189" s="5">
        <f t="shared" ref="R189:R191" si="56">IF(P$12=0,0,P189/P$12)</f>
        <v>2.8964651420808792E-2</v>
      </c>
      <c r="S189" s="1"/>
      <c r="T189" s="1">
        <f>SUM(OSRRefT22_6x_0)</f>
        <v>116189.02999999998</v>
      </c>
      <c r="U189" s="1"/>
      <c r="V189" s="5">
        <f t="shared" ref="V189:V191" si="57">IF(T$12=0,0,T189/T$12)</f>
        <v>2.1635664611454396E-2</v>
      </c>
      <c r="W189" s="1"/>
      <c r="X189" s="1">
        <f t="shared" ref="X189:X191" si="58">+P189-T189</f>
        <v>30695.900000000038</v>
      </c>
      <c r="Y189" s="1"/>
      <c r="Z189" s="5">
        <f t="shared" ref="Z189:Z191" si="59">IF(T189=0,0,X189/T189)</f>
        <v>0.26418931288091518</v>
      </c>
    </row>
    <row r="190" spans="1:26" s="24" customFormat="1" hidden="1" outlineLevel="2" x14ac:dyDescent="0.25">
      <c r="A190" s="26"/>
      <c r="B190" s="11" t="str">
        <f>CONCATENATE("          ", "6382", " - ", "DISCOUNTS/MARK DOWNS")</f>
        <v xml:space="preserve">          6382 - DISCOUNTS/MARK DOWNS</v>
      </c>
      <c r="C190" s="11"/>
      <c r="D190" s="6">
        <v>49331.64</v>
      </c>
      <c r="E190" s="2"/>
      <c r="F190" s="7">
        <f t="shared" si="52"/>
        <v>0.10953754046237299</v>
      </c>
      <c r="G190" s="2"/>
      <c r="H190" s="6">
        <v>24528.670000000002</v>
      </c>
      <c r="I190" s="2"/>
      <c r="J190" s="7">
        <f t="shared" si="53"/>
        <v>6.9737691035269667E-2</v>
      </c>
      <c r="K190" s="2"/>
      <c r="L190" s="6">
        <f t="shared" si="54"/>
        <v>24802.969999999998</v>
      </c>
      <c r="M190" s="2"/>
      <c r="N190" s="7">
        <f t="shared" si="55"/>
        <v>1.0111828321714955</v>
      </c>
      <c r="O190" s="11"/>
      <c r="P190" s="6">
        <v>149250.18000000002</v>
      </c>
      <c r="Q190" s="2"/>
      <c r="R190" s="7">
        <f t="shared" si="56"/>
        <v>2.9431061703831481E-2</v>
      </c>
      <c r="S190" s="2"/>
      <c r="T190" s="6">
        <v>118868.01999999999</v>
      </c>
      <c r="U190" s="2"/>
      <c r="V190" s="7">
        <f t="shared" si="57"/>
        <v>2.213452176808476E-2</v>
      </c>
      <c r="W190" s="2"/>
      <c r="X190" s="6">
        <f t="shared" si="58"/>
        <v>30382.160000000033</v>
      </c>
      <c r="Y190" s="2"/>
      <c r="Z190" s="7">
        <f t="shared" si="59"/>
        <v>0.25559574391833934</v>
      </c>
    </row>
    <row r="191" spans="1:26" s="24" customFormat="1" hidden="1" outlineLevel="2" x14ac:dyDescent="0.25">
      <c r="A191" s="26"/>
      <c r="B191" s="11" t="str">
        <f>CONCATENATE("          ", "9175", " - ", "EARNED DISCOUNTS")</f>
        <v xml:space="preserve">          9175 - EARNED DISCOUNTS</v>
      </c>
      <c r="C191" s="11"/>
      <c r="D191" s="6">
        <v>-247.5</v>
      </c>
      <c r="E191" s="2"/>
      <c r="F191" s="7">
        <f t="shared" si="52"/>
        <v>-5.4955686177141712E-4</v>
      </c>
      <c r="G191" s="2"/>
      <c r="H191" s="6">
        <v>-151.97</v>
      </c>
      <c r="I191" s="2"/>
      <c r="J191" s="7">
        <f t="shared" si="53"/>
        <v>-4.3206732801370518E-4</v>
      </c>
      <c r="K191" s="2"/>
      <c r="L191" s="6">
        <f t="shared" si="54"/>
        <v>-95.53</v>
      </c>
      <c r="M191" s="2"/>
      <c r="N191" s="7">
        <f t="shared" si="55"/>
        <v>0.62861091004803582</v>
      </c>
      <c r="O191" s="11"/>
      <c r="P191" s="6">
        <v>-2365.25</v>
      </c>
      <c r="Q191" s="2"/>
      <c r="R191" s="7">
        <f t="shared" si="56"/>
        <v>-4.6641028302268987E-4</v>
      </c>
      <c r="S191" s="2"/>
      <c r="T191" s="6">
        <v>-2678.99</v>
      </c>
      <c r="U191" s="2"/>
      <c r="V191" s="7">
        <f t="shared" si="57"/>
        <v>-4.9885715663036526E-4</v>
      </c>
      <c r="W191" s="2"/>
      <c r="X191" s="6">
        <f t="shared" si="58"/>
        <v>313.73999999999978</v>
      </c>
      <c r="Y191" s="2"/>
      <c r="Z191" s="7">
        <f t="shared" si="59"/>
        <v>-0.1171112994076125</v>
      </c>
    </row>
    <row r="192" spans="1:26" s="25" customFormat="1" outlineLevel="1" collapsed="1" x14ac:dyDescent="0.25">
      <c r="A192" s="27"/>
      <c r="B192" s="13" t="str">
        <f>CONCATENATE("     ","Donations                                         ")</f>
        <v xml:space="preserve">     Donations                                         </v>
      </c>
      <c r="C192" s="13"/>
      <c r="D192" s="1">
        <f>SUM(OSRRefD22_7x_0)</f>
        <v>3415.9</v>
      </c>
      <c r="E192" s="1"/>
      <c r="F192" s="5">
        <f t="shared" ref="F192:F200" si="60">IF(D$12=0,0,D192/D$12)</f>
        <v>7.5847728651514505E-3</v>
      </c>
      <c r="G192" s="1"/>
      <c r="H192" s="1">
        <f>SUM(OSRRefH22_7x_0)</f>
        <v>320.8</v>
      </c>
      <c r="I192" s="1"/>
      <c r="J192" s="5">
        <f t="shared" ref="J192:J200" si="61">IF(H$12=0,0,H192/H$12)</f>
        <v>9.1206947967886179E-4</v>
      </c>
      <c r="K192" s="1"/>
      <c r="L192" s="1">
        <f t="shared" ref="L192:L200" si="62">+D192-H192</f>
        <v>3095.1</v>
      </c>
      <c r="M192" s="1"/>
      <c r="N192" s="5">
        <f t="shared" ref="N192:N200" si="63">IF(H192=0,0,L192/H192)</f>
        <v>9.6480673316708216</v>
      </c>
      <c r="O192" s="13"/>
      <c r="P192" s="1">
        <f>SUM(OSRRefP22_7x_0)</f>
        <v>9647.3799999999992</v>
      </c>
      <c r="Q192" s="1"/>
      <c r="R192" s="5">
        <f t="shared" ref="R192:R200" si="64">IF(P$12=0,0,P192/P$12)</f>
        <v>1.902393927165178E-3</v>
      </c>
      <c r="S192" s="1"/>
      <c r="T192" s="1">
        <f>SUM(OSRRefT22_7x_0)</f>
        <v>4987.4799999999996</v>
      </c>
      <c r="U192" s="1"/>
      <c r="V192" s="5">
        <f t="shared" ref="V192:V200" si="65">IF(T$12=0,0,T192/T$12)</f>
        <v>9.287231723712348E-4</v>
      </c>
      <c r="W192" s="1"/>
      <c r="X192" s="1">
        <f t="shared" ref="X192:X200" si="66">+P192-T192</f>
        <v>4659.8999999999996</v>
      </c>
      <c r="Y192" s="1"/>
      <c r="Z192" s="5">
        <f t="shared" ref="Z192:Z200" si="67">IF(T192=0,0,X192/T192)</f>
        <v>0.93431953611844054</v>
      </c>
    </row>
    <row r="193" spans="1:26" s="24" customFormat="1" hidden="1" outlineLevel="2" x14ac:dyDescent="0.25">
      <c r="A193" s="26"/>
      <c r="B193" s="11" t="str">
        <f>CONCATENATE("          ", "6399", " - ", "DONATION-ON CAMPUS")</f>
        <v xml:space="preserve">          6399 - DONATION-ON CAMPUS</v>
      </c>
      <c r="C193" s="11"/>
      <c r="D193" s="6">
        <v>3415.9</v>
      </c>
      <c r="E193" s="2"/>
      <c r="F193" s="7">
        <f t="shared" si="60"/>
        <v>7.5847728651514505E-3</v>
      </c>
      <c r="G193" s="2"/>
      <c r="H193" s="6">
        <v>320.8</v>
      </c>
      <c r="I193" s="2"/>
      <c r="J193" s="7">
        <f t="shared" si="61"/>
        <v>9.1206947967886179E-4</v>
      </c>
      <c r="K193" s="2"/>
      <c r="L193" s="6">
        <f t="shared" si="62"/>
        <v>3095.1</v>
      </c>
      <c r="M193" s="2"/>
      <c r="N193" s="7">
        <f t="shared" si="63"/>
        <v>9.6480673316708216</v>
      </c>
      <c r="O193" s="11"/>
      <c r="P193" s="6">
        <v>9647.3799999999992</v>
      </c>
      <c r="Q193" s="2"/>
      <c r="R193" s="7">
        <f t="shared" si="64"/>
        <v>1.902393927165178E-3</v>
      </c>
      <c r="S193" s="2"/>
      <c r="T193" s="6">
        <v>4987.4799999999996</v>
      </c>
      <c r="U193" s="2"/>
      <c r="V193" s="7">
        <f t="shared" si="65"/>
        <v>9.287231723712348E-4</v>
      </c>
      <c r="W193" s="2"/>
      <c r="X193" s="6">
        <f t="shared" si="66"/>
        <v>4659.8999999999996</v>
      </c>
      <c r="Y193" s="2"/>
      <c r="Z193" s="7">
        <f t="shared" si="67"/>
        <v>0.93431953611844054</v>
      </c>
    </row>
    <row r="194" spans="1:26" s="25" customFormat="1" outlineLevel="1" collapsed="1" x14ac:dyDescent="0.25">
      <c r="A194" s="27"/>
      <c r="B194" s="13" t="str">
        <f>CONCATENATE("     ","Employees' Appreciation                           ")</f>
        <v xml:space="preserve">     Employees' Appreciation                           </v>
      </c>
      <c r="C194" s="13"/>
      <c r="D194" s="1">
        <f>SUM(OSRRefD22_8x_0)</f>
        <v>396.51</v>
      </c>
      <c r="E194" s="1"/>
      <c r="F194" s="5">
        <f t="shared" si="60"/>
        <v>8.8042339903428128E-4</v>
      </c>
      <c r="G194" s="1"/>
      <c r="H194" s="1">
        <f>SUM(OSRRefH22_8x_0)</f>
        <v>246.04</v>
      </c>
      <c r="I194" s="1"/>
      <c r="J194" s="5">
        <f t="shared" si="61"/>
        <v>6.9951862462651858E-4</v>
      </c>
      <c r="K194" s="1"/>
      <c r="L194" s="1">
        <f t="shared" si="62"/>
        <v>150.47</v>
      </c>
      <c r="M194" s="1"/>
      <c r="N194" s="5">
        <f t="shared" si="63"/>
        <v>0.61156722484148918</v>
      </c>
      <c r="O194" s="13"/>
      <c r="P194" s="1">
        <f>SUM(OSRRefP22_8x_0)</f>
        <v>1041.6400000000001</v>
      </c>
      <c r="Q194" s="1"/>
      <c r="R194" s="5">
        <f t="shared" si="64"/>
        <v>2.0540391383902534E-4</v>
      </c>
      <c r="S194" s="1"/>
      <c r="T194" s="1">
        <f>SUM(OSRRefT22_8x_0)</f>
        <v>2638.52</v>
      </c>
      <c r="U194" s="1"/>
      <c r="V194" s="5">
        <f t="shared" si="65"/>
        <v>4.9132120124089729E-4</v>
      </c>
      <c r="W194" s="1"/>
      <c r="X194" s="1">
        <f t="shared" si="66"/>
        <v>-1596.8799999999999</v>
      </c>
      <c r="Y194" s="1"/>
      <c r="Z194" s="5">
        <f t="shared" si="67"/>
        <v>-0.60521807680063067</v>
      </c>
    </row>
    <row r="195" spans="1:26" s="24" customFormat="1" hidden="1" outlineLevel="2" x14ac:dyDescent="0.25">
      <c r="A195" s="26"/>
      <c r="B195" s="11" t="str">
        <f>CONCATENATE("          ", "6277", " - ", "EMPLOYEE APPRECIATION")</f>
        <v xml:space="preserve">          6277 - EMPLOYEE APPRECIATION</v>
      </c>
      <c r="C195" s="11"/>
      <c r="D195" s="6">
        <v>396.51</v>
      </c>
      <c r="E195" s="2"/>
      <c r="F195" s="7">
        <f t="shared" si="60"/>
        <v>8.8042339903428128E-4</v>
      </c>
      <c r="G195" s="2"/>
      <c r="H195" s="6">
        <v>246.04</v>
      </c>
      <c r="I195" s="2"/>
      <c r="J195" s="7">
        <f t="shared" si="61"/>
        <v>6.9951862462651858E-4</v>
      </c>
      <c r="K195" s="2"/>
      <c r="L195" s="6">
        <f t="shared" si="62"/>
        <v>150.47</v>
      </c>
      <c r="M195" s="2"/>
      <c r="N195" s="7">
        <f t="shared" si="63"/>
        <v>0.61156722484148918</v>
      </c>
      <c r="O195" s="11"/>
      <c r="P195" s="6">
        <v>1041.6400000000001</v>
      </c>
      <c r="Q195" s="2"/>
      <c r="R195" s="7">
        <f t="shared" si="64"/>
        <v>2.0540391383902534E-4</v>
      </c>
      <c r="S195" s="2"/>
      <c r="T195" s="6">
        <v>2638.52</v>
      </c>
      <c r="U195" s="2"/>
      <c r="V195" s="7">
        <f t="shared" si="65"/>
        <v>4.9132120124089729E-4</v>
      </c>
      <c r="W195" s="2"/>
      <c r="X195" s="6">
        <f t="shared" si="66"/>
        <v>-1596.8799999999999</v>
      </c>
      <c r="Y195" s="2"/>
      <c r="Z195" s="7">
        <f t="shared" si="67"/>
        <v>-0.60521807680063067</v>
      </c>
    </row>
    <row r="196" spans="1:26" s="25" customFormat="1" outlineLevel="1" collapsed="1" x14ac:dyDescent="0.25">
      <c r="A196" s="27"/>
      <c r="B196" s="13" t="str">
        <f>CONCATENATE("     ","Equipment Rental                                  ")</f>
        <v xml:space="preserve">     Equipment Rental                                  </v>
      </c>
      <c r="C196" s="13"/>
      <c r="D196" s="1">
        <f>SUM(OSRRefD22_9x_0)</f>
        <v>4423.12</v>
      </c>
      <c r="E196" s="1"/>
      <c r="F196" s="5">
        <f t="shared" si="60"/>
        <v>9.8212361472258206E-3</v>
      </c>
      <c r="G196" s="1"/>
      <c r="H196" s="1">
        <f>SUM(OSRRefH22_9x_0)</f>
        <v>3400.41</v>
      </c>
      <c r="I196" s="1"/>
      <c r="J196" s="5">
        <f t="shared" si="61"/>
        <v>9.667737466941391E-3</v>
      </c>
      <c r="K196" s="1"/>
      <c r="L196" s="1">
        <f t="shared" si="62"/>
        <v>1022.71</v>
      </c>
      <c r="M196" s="1"/>
      <c r="N196" s="5">
        <f t="shared" si="63"/>
        <v>0.30076079061054406</v>
      </c>
      <c r="O196" s="13"/>
      <c r="P196" s="1">
        <f>SUM(OSRRefP22_9x_0)</f>
        <v>11090.14</v>
      </c>
      <c r="Q196" s="1"/>
      <c r="R196" s="5">
        <f t="shared" si="64"/>
        <v>2.1868958191147885E-3</v>
      </c>
      <c r="S196" s="1"/>
      <c r="T196" s="1">
        <f>SUM(OSRRefT22_9x_0)</f>
        <v>17003.329999999998</v>
      </c>
      <c r="U196" s="1"/>
      <c r="V196" s="5">
        <f t="shared" si="65"/>
        <v>3.1662054942526059E-3</v>
      </c>
      <c r="W196" s="1"/>
      <c r="X196" s="1">
        <f t="shared" si="66"/>
        <v>-5913.1899999999987</v>
      </c>
      <c r="Y196" s="1"/>
      <c r="Z196" s="5">
        <f t="shared" si="67"/>
        <v>-0.3477665845454978</v>
      </c>
    </row>
    <row r="197" spans="1:26" s="24" customFormat="1" hidden="1" outlineLevel="2" x14ac:dyDescent="0.25">
      <c r="A197" s="26"/>
      <c r="B197" s="11" t="str">
        <f>CONCATENATE("          ", "6351", " - ", "EQUIPMENT RENTAL")</f>
        <v xml:space="preserve">          6351 - EQUIPMENT RENTAL</v>
      </c>
      <c r="C197" s="11"/>
      <c r="D197" s="6">
        <v>4423.12</v>
      </c>
      <c r="E197" s="2"/>
      <c r="F197" s="7">
        <f t="shared" si="60"/>
        <v>9.8212361472258206E-3</v>
      </c>
      <c r="G197" s="2"/>
      <c r="H197" s="6">
        <v>3400.41</v>
      </c>
      <c r="I197" s="2"/>
      <c r="J197" s="7">
        <f t="shared" si="61"/>
        <v>9.667737466941391E-3</v>
      </c>
      <c r="K197" s="2"/>
      <c r="L197" s="6">
        <f t="shared" si="62"/>
        <v>1022.71</v>
      </c>
      <c r="M197" s="2"/>
      <c r="N197" s="7">
        <f t="shared" si="63"/>
        <v>0.30076079061054406</v>
      </c>
      <c r="O197" s="11"/>
      <c r="P197" s="6">
        <v>11090.14</v>
      </c>
      <c r="Q197" s="2"/>
      <c r="R197" s="7">
        <f t="shared" si="64"/>
        <v>2.1868958191147885E-3</v>
      </c>
      <c r="S197" s="2"/>
      <c r="T197" s="6">
        <v>17003.329999999998</v>
      </c>
      <c r="U197" s="2"/>
      <c r="V197" s="7">
        <f t="shared" si="65"/>
        <v>3.1662054942526059E-3</v>
      </c>
      <c r="W197" s="2"/>
      <c r="X197" s="6">
        <f t="shared" si="66"/>
        <v>-5913.1899999999987</v>
      </c>
      <c r="Y197" s="2"/>
      <c r="Z197" s="7">
        <f t="shared" si="67"/>
        <v>-0.3477665845454978</v>
      </c>
    </row>
    <row r="198" spans="1:26" s="25" customFormat="1" outlineLevel="1" collapsed="1" x14ac:dyDescent="0.25">
      <c r="A198" s="27"/>
      <c r="B198" s="13" t="str">
        <f>CONCATENATE("     ","Freight out/Postage                               ")</f>
        <v xml:space="preserve">     Freight out/Postage                               </v>
      </c>
      <c r="C198" s="13"/>
      <c r="D198" s="1">
        <f>SUM(OSRRefD22_10x_0)</f>
        <v>8752.73</v>
      </c>
      <c r="E198" s="1"/>
      <c r="F198" s="5">
        <f t="shared" si="60"/>
        <v>1.9434839720131457E-2</v>
      </c>
      <c r="G198" s="1"/>
      <c r="H198" s="1">
        <f>SUM(OSRRefH22_10x_0)</f>
        <v>2343.7899999999995</v>
      </c>
      <c r="I198" s="1"/>
      <c r="J198" s="5">
        <f t="shared" si="61"/>
        <v>6.6636512648893982E-3</v>
      </c>
      <c r="K198" s="1"/>
      <c r="L198" s="1">
        <f t="shared" si="62"/>
        <v>6408.9400000000005</v>
      </c>
      <c r="M198" s="1"/>
      <c r="N198" s="5">
        <f t="shared" si="63"/>
        <v>2.7344343989862581</v>
      </c>
      <c r="O198" s="13"/>
      <c r="P198" s="1">
        <f>SUM(OSRRefP22_10x_0)</f>
        <v>4674.32</v>
      </c>
      <c r="Q198" s="1"/>
      <c r="R198" s="5">
        <f t="shared" si="64"/>
        <v>9.21742274236812E-4</v>
      </c>
      <c r="S198" s="1"/>
      <c r="T198" s="1">
        <f>SUM(OSRRefT22_10x_0)</f>
        <v>9933.7400000000016</v>
      </c>
      <c r="U198" s="1"/>
      <c r="V198" s="5">
        <f t="shared" si="65"/>
        <v>1.8497707311730639E-3</v>
      </c>
      <c r="W198" s="1"/>
      <c r="X198" s="1">
        <f t="shared" si="66"/>
        <v>-5259.4200000000019</v>
      </c>
      <c r="Y198" s="1"/>
      <c r="Z198" s="5">
        <f t="shared" si="67"/>
        <v>-0.52945013660514584</v>
      </c>
    </row>
    <row r="199" spans="1:26" s="24" customFormat="1" hidden="1" outlineLevel="2" x14ac:dyDescent="0.25">
      <c r="A199" s="26"/>
      <c r="B199" s="11" t="str">
        <f>CONCATENATE("          ", "6305", " - ", "FREIGHT OUT")</f>
        <v xml:space="preserve">          6305 - FREIGHT OUT</v>
      </c>
      <c r="C199" s="11"/>
      <c r="D199" s="6">
        <v>9212.1</v>
      </c>
      <c r="E199" s="2"/>
      <c r="F199" s="7">
        <f t="shared" si="60"/>
        <v>2.0454839459896859E-2</v>
      </c>
      <c r="G199" s="2"/>
      <c r="H199" s="6">
        <v>5368.44</v>
      </c>
      <c r="I199" s="2"/>
      <c r="J199" s="7">
        <f t="shared" si="61"/>
        <v>1.5263061962241859E-2</v>
      </c>
      <c r="K199" s="2"/>
      <c r="L199" s="6">
        <f t="shared" si="62"/>
        <v>3843.6600000000008</v>
      </c>
      <c r="M199" s="2"/>
      <c r="N199" s="7">
        <f t="shared" si="63"/>
        <v>0.71597335538815765</v>
      </c>
      <c r="O199" s="11"/>
      <c r="P199" s="6">
        <v>28721.919999999998</v>
      </c>
      <c r="Q199" s="2"/>
      <c r="R199" s="7">
        <f t="shared" si="64"/>
        <v>5.6637559818856591E-3</v>
      </c>
      <c r="S199" s="2"/>
      <c r="T199" s="6">
        <v>33093.800000000003</v>
      </c>
      <c r="U199" s="2"/>
      <c r="V199" s="7">
        <f t="shared" si="65"/>
        <v>6.1624265003206377E-3</v>
      </c>
      <c r="W199" s="2"/>
      <c r="X199" s="6">
        <f t="shared" si="66"/>
        <v>-4371.8800000000047</v>
      </c>
      <c r="Y199" s="2"/>
      <c r="Z199" s="7">
        <f t="shared" si="67"/>
        <v>-0.132105711643873</v>
      </c>
    </row>
    <row r="200" spans="1:26" s="24" customFormat="1" hidden="1" outlineLevel="2" x14ac:dyDescent="0.25">
      <c r="A200" s="26"/>
      <c r="B200" s="11" t="str">
        <f>CONCATENATE("          ", "6307", " - ", "POSTAGE")</f>
        <v xml:space="preserve">          6307 - POSTAGE</v>
      </c>
      <c r="C200" s="11"/>
      <c r="D200" s="6">
        <v>-459.37</v>
      </c>
      <c r="E200" s="2"/>
      <c r="F200" s="7">
        <f t="shared" si="60"/>
        <v>-1.0199997397653975E-3</v>
      </c>
      <c r="G200" s="2"/>
      <c r="H200" s="6">
        <v>-3024.65</v>
      </c>
      <c r="I200" s="2"/>
      <c r="J200" s="7">
        <f t="shared" si="61"/>
        <v>-8.5994106973524605E-3</v>
      </c>
      <c r="K200" s="2"/>
      <c r="L200" s="6">
        <f t="shared" si="62"/>
        <v>2565.2800000000002</v>
      </c>
      <c r="M200" s="2"/>
      <c r="N200" s="7">
        <f t="shared" si="63"/>
        <v>-0.84812457639726913</v>
      </c>
      <c r="O200" s="11"/>
      <c r="P200" s="6">
        <v>-24047.599999999999</v>
      </c>
      <c r="Q200" s="2"/>
      <c r="R200" s="7">
        <f t="shared" si="64"/>
        <v>-4.7420137076488473E-3</v>
      </c>
      <c r="S200" s="2"/>
      <c r="T200" s="6">
        <v>-23160.06</v>
      </c>
      <c r="U200" s="2"/>
      <c r="V200" s="7">
        <f t="shared" si="65"/>
        <v>-4.3126557691475741E-3</v>
      </c>
      <c r="W200" s="2"/>
      <c r="X200" s="6">
        <f t="shared" si="66"/>
        <v>-887.53999999999724</v>
      </c>
      <c r="Y200" s="2"/>
      <c r="Z200" s="7">
        <f t="shared" si="67"/>
        <v>3.8322007801361357E-2</v>
      </c>
    </row>
    <row r="201" spans="1:26" s="25" customFormat="1" outlineLevel="1" collapsed="1" x14ac:dyDescent="0.25">
      <c r="A201" s="27"/>
      <c r="B201" s="13" t="str">
        <f>CONCATENATE("     ","General                                           ")</f>
        <v xml:space="preserve">     General                                           </v>
      </c>
      <c r="C201" s="13"/>
      <c r="D201" s="1">
        <f>SUM(OSRRefD22_11x_0)</f>
        <v>12059.82</v>
      </c>
      <c r="E201" s="1"/>
      <c r="F201" s="5">
        <f t="shared" ref="F201:F214" si="68">IF(D$12=0,0,D201/D$12)</f>
        <v>2.677800740496231E-2</v>
      </c>
      <c r="G201" s="1"/>
      <c r="H201" s="1">
        <f>SUM(OSRRefH22_11x_0)</f>
        <v>14262.75</v>
      </c>
      <c r="I201" s="1"/>
      <c r="J201" s="5">
        <f t="shared" ref="J201:J214" si="69">IF(H$12=0,0,H201/H$12)</f>
        <v>4.0550557890553882E-2</v>
      </c>
      <c r="K201" s="1"/>
      <c r="L201" s="1">
        <f t="shared" ref="L201:L214" si="70">+D201-H201</f>
        <v>-2202.9300000000003</v>
      </c>
      <c r="M201" s="1"/>
      <c r="N201" s="5">
        <f t="shared" ref="N201:N214" si="71">IF(H201=0,0,L201/H201)</f>
        <v>-0.15445338381448179</v>
      </c>
      <c r="O201" s="13"/>
      <c r="P201" s="1">
        <f>SUM(OSRRefP22_11x_0)</f>
        <v>-3452.97</v>
      </c>
      <c r="Q201" s="1"/>
      <c r="R201" s="5">
        <f t="shared" ref="R201:R214" si="72">IF(P$12=0,0,P201/P$12)</f>
        <v>-6.8090084133552785E-4</v>
      </c>
      <c r="S201" s="1"/>
      <c r="T201" s="1">
        <f>SUM(OSRRefT22_11x_0)</f>
        <v>14229.75</v>
      </c>
      <c r="U201" s="1"/>
      <c r="V201" s="5">
        <f t="shared" ref="V201:V214" si="73">IF(T$12=0,0,T201/T$12)</f>
        <v>2.6497346479684289E-3</v>
      </c>
      <c r="W201" s="1"/>
      <c r="X201" s="1">
        <f t="shared" ref="X201:X214" si="74">+P201-T201</f>
        <v>-17682.72</v>
      </c>
      <c r="Y201" s="1"/>
      <c r="Z201" s="5">
        <f t="shared" ref="Z201:Z214" si="75">IF(T201=0,0,X201/T201)</f>
        <v>-1.2426585147314606</v>
      </c>
    </row>
    <row r="202" spans="1:26" s="24" customFormat="1" hidden="1" outlineLevel="2" x14ac:dyDescent="0.25">
      <c r="A202" s="26"/>
      <c r="B202" s="11" t="str">
        <f>CONCATENATE("          ", "6279", " - ", "GENERAL EXPENSE")</f>
        <v xml:space="preserve">          6279 - GENERAL EXPENSE</v>
      </c>
      <c r="C202" s="11"/>
      <c r="D202" s="6">
        <v>12059.82</v>
      </c>
      <c r="E202" s="2"/>
      <c r="F202" s="7">
        <f t="shared" si="68"/>
        <v>2.677800740496231E-2</v>
      </c>
      <c r="G202" s="2"/>
      <c r="H202" s="6">
        <v>14262.75</v>
      </c>
      <c r="I202" s="2"/>
      <c r="J202" s="7">
        <f t="shared" si="69"/>
        <v>4.0550557890553882E-2</v>
      </c>
      <c r="K202" s="2"/>
      <c r="L202" s="6">
        <f t="shared" si="70"/>
        <v>-2202.9300000000003</v>
      </c>
      <c r="M202" s="2"/>
      <c r="N202" s="7">
        <f t="shared" si="71"/>
        <v>-0.15445338381448179</v>
      </c>
      <c r="O202" s="11"/>
      <c r="P202" s="6">
        <v>-3452.97</v>
      </c>
      <c r="Q202" s="2"/>
      <c r="R202" s="7">
        <f t="shared" si="72"/>
        <v>-6.8090084133552785E-4</v>
      </c>
      <c r="S202" s="2"/>
      <c r="T202" s="6">
        <v>14229.75</v>
      </c>
      <c r="U202" s="2"/>
      <c r="V202" s="7">
        <f t="shared" si="73"/>
        <v>2.6497346479684289E-3</v>
      </c>
      <c r="W202" s="2"/>
      <c r="X202" s="6">
        <f t="shared" si="74"/>
        <v>-17682.72</v>
      </c>
      <c r="Y202" s="2"/>
      <c r="Z202" s="7">
        <f t="shared" si="75"/>
        <v>-1.2426585147314606</v>
      </c>
    </row>
    <row r="203" spans="1:26" s="25" customFormat="1" outlineLevel="1" collapsed="1" x14ac:dyDescent="0.25">
      <c r="A203" s="27"/>
      <c r="B203" s="13" t="str">
        <f>CONCATENATE("     ","Insurance                                         ")</f>
        <v xml:space="preserve">     Insurance                                         </v>
      </c>
      <c r="C203" s="13"/>
      <c r="D203" s="1">
        <f>SUM(OSRRefD22_12x_0)</f>
        <v>4044.74</v>
      </c>
      <c r="E203" s="1"/>
      <c r="F203" s="5">
        <f t="shared" si="68"/>
        <v>8.9810691760861486E-3</v>
      </c>
      <c r="G203" s="1"/>
      <c r="H203" s="1">
        <f>SUM(OSRRefH22_12x_0)</f>
        <v>3809.97</v>
      </c>
      <c r="I203" s="1"/>
      <c r="J203" s="5">
        <f t="shared" si="69"/>
        <v>1.0832161332581275E-2</v>
      </c>
      <c r="K203" s="1"/>
      <c r="L203" s="1">
        <f t="shared" si="70"/>
        <v>234.76999999999998</v>
      </c>
      <c r="M203" s="1"/>
      <c r="N203" s="5">
        <f t="shared" si="71"/>
        <v>6.1619907768302638E-2</v>
      </c>
      <c r="O203" s="13"/>
      <c r="P203" s="1">
        <f>SUM(OSRRefP22_12x_0)</f>
        <v>20223.7</v>
      </c>
      <c r="Q203" s="1"/>
      <c r="R203" s="5">
        <f t="shared" si="72"/>
        <v>3.9879681389984028E-3</v>
      </c>
      <c r="S203" s="1"/>
      <c r="T203" s="1">
        <f>SUM(OSRRefT22_12x_0)</f>
        <v>19049.849999999999</v>
      </c>
      <c r="U203" s="1"/>
      <c r="V203" s="5">
        <f t="shared" si="73"/>
        <v>3.5472898387955776E-3</v>
      </c>
      <c r="W203" s="1"/>
      <c r="X203" s="1">
        <f t="shared" si="74"/>
        <v>1173.8500000000022</v>
      </c>
      <c r="Y203" s="1"/>
      <c r="Z203" s="5">
        <f t="shared" si="75"/>
        <v>6.1619907768302756E-2</v>
      </c>
    </row>
    <row r="204" spans="1:26" s="24" customFormat="1" hidden="1" outlineLevel="2" x14ac:dyDescent="0.25">
      <c r="A204" s="26"/>
      <c r="B204" s="11" t="str">
        <f>CONCATENATE("          ", "6314", " - ", "LIABILITY INSURANCE")</f>
        <v xml:space="preserve">          6314 - LIABILITY INSURANCE</v>
      </c>
      <c r="C204" s="11"/>
      <c r="D204" s="6">
        <v>4044.74</v>
      </c>
      <c r="E204" s="2"/>
      <c r="F204" s="7">
        <f t="shared" si="68"/>
        <v>8.9810691760861486E-3</v>
      </c>
      <c r="G204" s="2"/>
      <c r="H204" s="6">
        <v>3809.97</v>
      </c>
      <c r="I204" s="2"/>
      <c r="J204" s="7">
        <f t="shared" si="69"/>
        <v>1.0832161332581275E-2</v>
      </c>
      <c r="K204" s="2"/>
      <c r="L204" s="6">
        <f t="shared" si="70"/>
        <v>234.76999999999998</v>
      </c>
      <c r="M204" s="2"/>
      <c r="N204" s="7">
        <f t="shared" si="71"/>
        <v>6.1619907768302638E-2</v>
      </c>
      <c r="O204" s="11"/>
      <c r="P204" s="6">
        <v>20223.7</v>
      </c>
      <c r="Q204" s="2"/>
      <c r="R204" s="7">
        <f t="shared" si="72"/>
        <v>3.9879681389984028E-3</v>
      </c>
      <c r="S204" s="2"/>
      <c r="T204" s="6">
        <v>19049.849999999999</v>
      </c>
      <c r="U204" s="2"/>
      <c r="V204" s="7">
        <f t="shared" si="73"/>
        <v>3.5472898387955776E-3</v>
      </c>
      <c r="W204" s="2"/>
      <c r="X204" s="6">
        <f t="shared" si="74"/>
        <v>1173.8500000000022</v>
      </c>
      <c r="Y204" s="2"/>
      <c r="Z204" s="7">
        <f t="shared" si="75"/>
        <v>6.1619907768302756E-2</v>
      </c>
    </row>
    <row r="205" spans="1:26" s="25" customFormat="1" outlineLevel="1" collapsed="1" x14ac:dyDescent="0.25">
      <c r="A205" s="27"/>
      <c r="B205" s="13" t="str">
        <f>CONCATENATE("     ","Inventory Adjustment                              ")</f>
        <v xml:space="preserve">     Inventory Adjustment                              </v>
      </c>
      <c r="C205" s="13"/>
      <c r="D205" s="1">
        <f>SUM(OSRRefD22_13x_0)</f>
        <v>4250</v>
      </c>
      <c r="E205" s="1"/>
      <c r="F205" s="5">
        <f t="shared" si="68"/>
        <v>9.4368350001152439E-3</v>
      </c>
      <c r="G205" s="1"/>
      <c r="H205" s="1">
        <f>SUM(OSRRefH22_13x_0)</f>
        <v>8750</v>
      </c>
      <c r="I205" s="1"/>
      <c r="J205" s="5">
        <f t="shared" si="69"/>
        <v>2.4877206817924068E-2</v>
      </c>
      <c r="K205" s="1"/>
      <c r="L205" s="1">
        <f t="shared" si="70"/>
        <v>-4500</v>
      </c>
      <c r="M205" s="1"/>
      <c r="N205" s="5">
        <f t="shared" si="71"/>
        <v>-0.51428571428571423</v>
      </c>
      <c r="O205" s="13"/>
      <c r="P205" s="1">
        <f>SUM(OSRRefP22_13x_0)</f>
        <v>21150</v>
      </c>
      <c r="Q205" s="1"/>
      <c r="R205" s="5">
        <f t="shared" si="72"/>
        <v>4.1706278346601375E-3</v>
      </c>
      <c r="S205" s="1"/>
      <c r="T205" s="1">
        <f>SUM(OSRRefT22_13x_0)</f>
        <v>43750</v>
      </c>
      <c r="U205" s="1"/>
      <c r="V205" s="5">
        <f t="shared" si="73"/>
        <v>8.1467271630646185E-3</v>
      </c>
      <c r="W205" s="1"/>
      <c r="X205" s="1">
        <f t="shared" si="74"/>
        <v>-22600</v>
      </c>
      <c r="Y205" s="1"/>
      <c r="Z205" s="5">
        <f t="shared" si="75"/>
        <v>-0.51657142857142857</v>
      </c>
    </row>
    <row r="206" spans="1:26" s="24" customFormat="1" hidden="1" outlineLevel="2" x14ac:dyDescent="0.25">
      <c r="A206" s="26"/>
      <c r="B206" s="11" t="str">
        <f>CONCATENATE("          ", "6408", " - ", "INVENTORY ADJUSTMENT")</f>
        <v xml:space="preserve">          6408 - INVENTORY ADJUSTMENT</v>
      </c>
      <c r="C206" s="11"/>
      <c r="D206" s="6">
        <v>4250</v>
      </c>
      <c r="E206" s="2"/>
      <c r="F206" s="7">
        <f t="shared" si="68"/>
        <v>9.4368350001152439E-3</v>
      </c>
      <c r="G206" s="2"/>
      <c r="H206" s="6">
        <v>8750</v>
      </c>
      <c r="I206" s="2"/>
      <c r="J206" s="7">
        <f t="shared" si="69"/>
        <v>2.4877206817924068E-2</v>
      </c>
      <c r="K206" s="2"/>
      <c r="L206" s="6">
        <f t="shared" si="70"/>
        <v>-4500</v>
      </c>
      <c r="M206" s="2"/>
      <c r="N206" s="7">
        <f t="shared" si="71"/>
        <v>-0.51428571428571423</v>
      </c>
      <c r="O206" s="11"/>
      <c r="P206" s="6">
        <v>21150</v>
      </c>
      <c r="Q206" s="2"/>
      <c r="R206" s="7">
        <f t="shared" si="72"/>
        <v>4.1706278346601375E-3</v>
      </c>
      <c r="S206" s="2"/>
      <c r="T206" s="6">
        <v>43750</v>
      </c>
      <c r="U206" s="2"/>
      <c r="V206" s="7">
        <f t="shared" si="73"/>
        <v>8.1467271630646185E-3</v>
      </c>
      <c r="W206" s="2"/>
      <c r="X206" s="6">
        <f t="shared" si="74"/>
        <v>-22600</v>
      </c>
      <c r="Y206" s="2"/>
      <c r="Z206" s="7">
        <f t="shared" si="75"/>
        <v>-0.51657142857142857</v>
      </c>
    </row>
    <row r="207" spans="1:26" s="25" customFormat="1" outlineLevel="1" collapsed="1" x14ac:dyDescent="0.25">
      <c r="A207" s="27"/>
      <c r="B207" s="13" t="str">
        <f>CONCATENATE("     ","Professional Services                             ")</f>
        <v xml:space="preserve">     Professional Services                             </v>
      </c>
      <c r="C207" s="13"/>
      <c r="D207" s="1">
        <f>SUM(OSRRefD22_14x_0)</f>
        <v>0</v>
      </c>
      <c r="E207" s="1"/>
      <c r="F207" s="5">
        <f t="shared" si="68"/>
        <v>0</v>
      </c>
      <c r="G207" s="1"/>
      <c r="H207" s="1">
        <f>SUM(OSRRefH22_14x_0)</f>
        <v>0</v>
      </c>
      <c r="I207" s="1"/>
      <c r="J207" s="5">
        <f t="shared" si="69"/>
        <v>0</v>
      </c>
      <c r="K207" s="1"/>
      <c r="L207" s="1">
        <f t="shared" si="70"/>
        <v>0</v>
      </c>
      <c r="M207" s="1"/>
      <c r="N207" s="5">
        <f t="shared" si="71"/>
        <v>0</v>
      </c>
      <c r="O207" s="13"/>
      <c r="P207" s="1">
        <f>SUM(OSRRefP22_14x_0)</f>
        <v>6158.41</v>
      </c>
      <c r="Q207" s="1"/>
      <c r="R207" s="5">
        <f t="shared" si="72"/>
        <v>1.214394144834484E-3</v>
      </c>
      <c r="S207" s="1"/>
      <c r="T207" s="1">
        <f>SUM(OSRRefT22_14x_0)</f>
        <v>8276.43</v>
      </c>
      <c r="U207" s="1"/>
      <c r="V207" s="5">
        <f t="shared" si="73"/>
        <v>1.5411615335817806E-3</v>
      </c>
      <c r="W207" s="1"/>
      <c r="X207" s="1">
        <f t="shared" si="74"/>
        <v>-2118.0200000000004</v>
      </c>
      <c r="Y207" s="1"/>
      <c r="Z207" s="5">
        <f t="shared" si="75"/>
        <v>-0.25590985485287743</v>
      </c>
    </row>
    <row r="208" spans="1:26" s="24" customFormat="1" hidden="1" outlineLevel="2" x14ac:dyDescent="0.25">
      <c r="A208" s="26"/>
      <c r="B208" s="11" t="str">
        <f>CONCATENATE("          ", "6336", " - ", "PROFESSIONAL SERVICES")</f>
        <v xml:space="preserve">          6336 - PROFESSIONAL SERVICES</v>
      </c>
      <c r="C208" s="11"/>
      <c r="D208" s="6"/>
      <c r="E208" s="2"/>
      <c r="F208" s="7">
        <f t="shared" si="68"/>
        <v>0</v>
      </c>
      <c r="G208" s="2"/>
      <c r="H208" s="6"/>
      <c r="I208" s="2"/>
      <c r="J208" s="7">
        <f t="shared" si="69"/>
        <v>0</v>
      </c>
      <c r="K208" s="2"/>
      <c r="L208" s="6">
        <f t="shared" si="70"/>
        <v>0</v>
      </c>
      <c r="M208" s="2"/>
      <c r="N208" s="7">
        <f t="shared" si="71"/>
        <v>0</v>
      </c>
      <c r="O208" s="11"/>
      <c r="P208" s="6">
        <v>6158.41</v>
      </c>
      <c r="Q208" s="2"/>
      <c r="R208" s="7">
        <f t="shared" si="72"/>
        <v>1.214394144834484E-3</v>
      </c>
      <c r="S208" s="2"/>
      <c r="T208" s="6">
        <v>8276.43</v>
      </c>
      <c r="U208" s="2"/>
      <c r="V208" s="7">
        <f t="shared" si="73"/>
        <v>1.5411615335817806E-3</v>
      </c>
      <c r="W208" s="2"/>
      <c r="X208" s="6">
        <f t="shared" si="74"/>
        <v>-2118.0200000000004</v>
      </c>
      <c r="Y208" s="2"/>
      <c r="Z208" s="7">
        <f t="shared" si="75"/>
        <v>-0.25590985485287743</v>
      </c>
    </row>
    <row r="209" spans="1:26" s="25" customFormat="1" outlineLevel="1" collapsed="1" x14ac:dyDescent="0.25">
      <c r="A209" s="27"/>
      <c r="B209" s="13" t="str">
        <f>CONCATENATE("     ","Rent                                              ")</f>
        <v xml:space="preserve">     Rent                                              </v>
      </c>
      <c r="C209" s="13"/>
      <c r="D209" s="1">
        <f>SUM(OSRRefD22_15x_0)</f>
        <v>6100</v>
      </c>
      <c r="E209" s="1"/>
      <c r="F209" s="5">
        <f t="shared" si="68"/>
        <v>1.3544633764871292E-2</v>
      </c>
      <c r="G209" s="1"/>
      <c r="H209" s="1">
        <f>SUM(OSRRefH22_15x_0)</f>
        <v>6099.77</v>
      </c>
      <c r="I209" s="1"/>
      <c r="J209" s="5">
        <f t="shared" si="69"/>
        <v>1.7342313123630708E-2</v>
      </c>
      <c r="K209" s="1"/>
      <c r="L209" s="1">
        <f t="shared" si="70"/>
        <v>0.22999999999956344</v>
      </c>
      <c r="M209" s="1"/>
      <c r="N209" s="5">
        <f t="shared" si="71"/>
        <v>3.7706339747164797E-5</v>
      </c>
      <c r="O209" s="13"/>
      <c r="P209" s="1">
        <f>SUM(OSRRefP22_15x_0)</f>
        <v>30500</v>
      </c>
      <c r="Q209" s="1"/>
      <c r="R209" s="5">
        <f t="shared" si="72"/>
        <v>6.0143805653491344E-3</v>
      </c>
      <c r="S209" s="1"/>
      <c r="T209" s="1">
        <f>SUM(OSRRefT22_15x_0)</f>
        <v>31400.85</v>
      </c>
      <c r="U209" s="1"/>
      <c r="V209" s="5">
        <f t="shared" si="73"/>
        <v>5.8471807460186882E-3</v>
      </c>
      <c r="W209" s="1"/>
      <c r="X209" s="1">
        <f t="shared" si="74"/>
        <v>-900.84999999999854</v>
      </c>
      <c r="Y209" s="1"/>
      <c r="Z209" s="5">
        <f t="shared" si="75"/>
        <v>-2.8688713840548857E-2</v>
      </c>
    </row>
    <row r="210" spans="1:26" s="24" customFormat="1" hidden="1" outlineLevel="2" x14ac:dyDescent="0.25">
      <c r="A210" s="26"/>
      <c r="B210" s="11" t="str">
        <f>CONCATENATE("          ", "6273", " - ", "RENT")</f>
        <v xml:space="preserve">          6273 - RENT</v>
      </c>
      <c r="C210" s="11"/>
      <c r="D210" s="6">
        <v>6100</v>
      </c>
      <c r="E210" s="2"/>
      <c r="F210" s="7">
        <f t="shared" si="68"/>
        <v>1.3544633764871292E-2</v>
      </c>
      <c r="G210" s="2"/>
      <c r="H210" s="6">
        <v>6099.77</v>
      </c>
      <c r="I210" s="2"/>
      <c r="J210" s="7">
        <f t="shared" si="69"/>
        <v>1.7342313123630708E-2</v>
      </c>
      <c r="K210" s="2"/>
      <c r="L210" s="6">
        <f t="shared" si="70"/>
        <v>0.22999999999956344</v>
      </c>
      <c r="M210" s="2"/>
      <c r="N210" s="7">
        <f t="shared" si="71"/>
        <v>3.7706339747164797E-5</v>
      </c>
      <c r="O210" s="11"/>
      <c r="P210" s="6">
        <v>30500</v>
      </c>
      <c r="Q210" s="2"/>
      <c r="R210" s="7">
        <f t="shared" si="72"/>
        <v>6.0143805653491344E-3</v>
      </c>
      <c r="S210" s="2"/>
      <c r="T210" s="6">
        <v>31400.85</v>
      </c>
      <c r="U210" s="2"/>
      <c r="V210" s="7">
        <f t="shared" si="73"/>
        <v>5.8471807460186882E-3</v>
      </c>
      <c r="W210" s="2"/>
      <c r="X210" s="6">
        <f t="shared" si="74"/>
        <v>-900.84999999999854</v>
      </c>
      <c r="Y210" s="2"/>
      <c r="Z210" s="7">
        <f t="shared" si="75"/>
        <v>-2.8688713840548857E-2</v>
      </c>
    </row>
    <row r="211" spans="1:26" s="25" customFormat="1" outlineLevel="1" collapsed="1" x14ac:dyDescent="0.25">
      <c r="A211" s="27"/>
      <c r="B211" s="13" t="str">
        <f>CONCATENATE("     ","Repair and Maintenance                            ")</f>
        <v xml:space="preserve">     Repair and Maintenance                            </v>
      </c>
      <c r="C211" s="13"/>
      <c r="D211" s="1">
        <f>SUM(OSRRefD22_16x_0)</f>
        <v>5260.4400000000005</v>
      </c>
      <c r="E211" s="1"/>
      <c r="F211" s="5">
        <f t="shared" si="68"/>
        <v>1.1680448072472057E-2</v>
      </c>
      <c r="G211" s="1"/>
      <c r="H211" s="1">
        <f>SUM(OSRRefH22_16x_0)</f>
        <v>19676.760000000002</v>
      </c>
      <c r="I211" s="1"/>
      <c r="J211" s="5">
        <f t="shared" si="69"/>
        <v>5.5943180345903495E-2</v>
      </c>
      <c r="K211" s="1"/>
      <c r="L211" s="1">
        <f t="shared" si="70"/>
        <v>-14416.320000000002</v>
      </c>
      <c r="M211" s="1"/>
      <c r="N211" s="5">
        <f t="shared" si="71"/>
        <v>-0.73265720575948479</v>
      </c>
      <c r="O211" s="13"/>
      <c r="P211" s="1">
        <f>SUM(OSRRefP22_16x_0)</f>
        <v>70201.75</v>
      </c>
      <c r="Q211" s="1"/>
      <c r="R211" s="5">
        <f t="shared" si="72"/>
        <v>1.3843280027983561E-2</v>
      </c>
      <c r="S211" s="1"/>
      <c r="T211" s="1">
        <f>SUM(OSRRefT22_16x_0)</f>
        <v>114911.23999999999</v>
      </c>
      <c r="U211" s="1"/>
      <c r="V211" s="5">
        <f t="shared" si="73"/>
        <v>2.139772617713E-2</v>
      </c>
      <c r="W211" s="1"/>
      <c r="X211" s="1">
        <f t="shared" si="74"/>
        <v>-44709.489999999991</v>
      </c>
      <c r="Y211" s="1"/>
      <c r="Z211" s="5">
        <f t="shared" si="75"/>
        <v>-0.3890784748297903</v>
      </c>
    </row>
    <row r="212" spans="1:26" s="24" customFormat="1" hidden="1" outlineLevel="2" x14ac:dyDescent="0.25">
      <c r="A212" s="26"/>
      <c r="B212" s="11" t="str">
        <f>CONCATENATE("          ", "6371", " - ", "COMPUTER SOFTWARE MAINTENANCE")</f>
        <v xml:space="preserve">          6371 - COMPUTER SOFTWARE MAINTENANCE</v>
      </c>
      <c r="C212" s="11"/>
      <c r="D212" s="6">
        <v>601</v>
      </c>
      <c r="E212" s="2"/>
      <c r="F212" s="7">
        <f t="shared" si="68"/>
        <v>1.3344794906045322E-3</v>
      </c>
      <c r="G212" s="2"/>
      <c r="H212" s="6">
        <v>601</v>
      </c>
      <c r="I212" s="2"/>
      <c r="J212" s="7">
        <f t="shared" si="69"/>
        <v>1.7087087197225558E-3</v>
      </c>
      <c r="K212" s="2"/>
      <c r="L212" s="6">
        <f t="shared" si="70"/>
        <v>0</v>
      </c>
      <c r="M212" s="2"/>
      <c r="N212" s="7">
        <f t="shared" si="71"/>
        <v>0</v>
      </c>
      <c r="O212" s="11"/>
      <c r="P212" s="6">
        <v>13352.4</v>
      </c>
      <c r="Q212" s="2"/>
      <c r="R212" s="7">
        <f t="shared" si="72"/>
        <v>2.6329972151071402E-3</v>
      </c>
      <c r="S212" s="2"/>
      <c r="T212" s="6">
        <v>49436.83</v>
      </c>
      <c r="U212" s="2"/>
      <c r="V212" s="7">
        <f t="shared" si="73"/>
        <v>9.205676932955608E-3</v>
      </c>
      <c r="W212" s="2"/>
      <c r="X212" s="6">
        <f t="shared" si="74"/>
        <v>-36084.43</v>
      </c>
      <c r="Y212" s="2"/>
      <c r="Z212" s="7">
        <f t="shared" si="75"/>
        <v>-0.72990986679364356</v>
      </c>
    </row>
    <row r="213" spans="1:26" s="24" customFormat="1" hidden="1" outlineLevel="2" x14ac:dyDescent="0.25">
      <c r="A213" s="26"/>
      <c r="B213" s="11" t="str">
        <f>CONCATENATE("          ", "6373", " - ", "MAINTENANCE CONTRACTS")</f>
        <v xml:space="preserve">          6373 - MAINTENANCE CONTRACTS</v>
      </c>
      <c r="C213" s="11"/>
      <c r="D213" s="6">
        <v>1461.73</v>
      </c>
      <c r="E213" s="2"/>
      <c r="F213" s="7">
        <f t="shared" si="68"/>
        <v>3.245671723463166E-3</v>
      </c>
      <c r="G213" s="2"/>
      <c r="H213" s="6">
        <v>16039.7</v>
      </c>
      <c r="I213" s="2"/>
      <c r="J213" s="7">
        <f t="shared" si="69"/>
        <v>4.5602621051137902E-2</v>
      </c>
      <c r="K213" s="2"/>
      <c r="L213" s="6">
        <f t="shared" si="70"/>
        <v>-14577.970000000001</v>
      </c>
      <c r="M213" s="2"/>
      <c r="N213" s="7">
        <f t="shared" si="71"/>
        <v>-0.90886799628421977</v>
      </c>
      <c r="O213" s="11"/>
      <c r="P213" s="6">
        <v>31837.919999999998</v>
      </c>
      <c r="Q213" s="2"/>
      <c r="R213" s="7">
        <f t="shared" si="72"/>
        <v>6.2782087635783771E-3</v>
      </c>
      <c r="S213" s="2"/>
      <c r="T213" s="6">
        <v>48911.85</v>
      </c>
      <c r="U213" s="2"/>
      <c r="V213" s="7">
        <f t="shared" si="73"/>
        <v>9.1079199312169637E-3</v>
      </c>
      <c r="W213" s="2"/>
      <c r="X213" s="6">
        <f t="shared" si="74"/>
        <v>-17073.93</v>
      </c>
      <c r="Y213" s="2"/>
      <c r="Z213" s="7">
        <f t="shared" si="75"/>
        <v>-0.34907553077628428</v>
      </c>
    </row>
    <row r="214" spans="1:26" s="24" customFormat="1" hidden="1" outlineLevel="2" x14ac:dyDescent="0.25">
      <c r="A214" s="26"/>
      <c r="B214" s="11" t="str">
        <f>CONCATENATE("          ", "6375", " - ", "OUTSIDE REPAIRS &amp; MAINTENANCE")</f>
        <v xml:space="preserve">          6375 - OUTSIDE REPAIRS &amp; MAINTENANCE</v>
      </c>
      <c r="C214" s="11"/>
      <c r="D214" s="6">
        <v>3197.71</v>
      </c>
      <c r="E214" s="2"/>
      <c r="F214" s="7">
        <f t="shared" si="68"/>
        <v>7.100296858404357E-3</v>
      </c>
      <c r="G214" s="2"/>
      <c r="H214" s="6">
        <v>3036.06</v>
      </c>
      <c r="I214" s="2"/>
      <c r="J214" s="7">
        <f t="shared" si="69"/>
        <v>8.631850575043034E-3</v>
      </c>
      <c r="K214" s="2"/>
      <c r="L214" s="6">
        <f t="shared" si="70"/>
        <v>161.65000000000009</v>
      </c>
      <c r="M214" s="2"/>
      <c r="N214" s="7">
        <f t="shared" si="71"/>
        <v>5.3243348286924529E-2</v>
      </c>
      <c r="O214" s="11"/>
      <c r="P214" s="6">
        <v>25011.43</v>
      </c>
      <c r="Q214" s="2"/>
      <c r="R214" s="7">
        <f t="shared" si="72"/>
        <v>4.9320740492980429E-3</v>
      </c>
      <c r="S214" s="2"/>
      <c r="T214" s="6">
        <v>16562.560000000001</v>
      </c>
      <c r="U214" s="2"/>
      <c r="V214" s="7">
        <f t="shared" si="73"/>
        <v>3.0841293129574296E-3</v>
      </c>
      <c r="W214" s="2"/>
      <c r="X214" s="6">
        <f t="shared" si="74"/>
        <v>8448.869999999999</v>
      </c>
      <c r="Y214" s="2"/>
      <c r="Z214" s="7">
        <f t="shared" si="75"/>
        <v>0.51011860485335592</v>
      </c>
    </row>
    <row r="215" spans="1:26" s="25" customFormat="1" outlineLevel="1" collapsed="1" x14ac:dyDescent="0.25">
      <c r="A215" s="27"/>
      <c r="B215" s="13" t="str">
        <f>CONCATENATE("     ","Royalty &amp; Commissions                             ")</f>
        <v xml:space="preserve">     Royalty &amp; Commissions                             </v>
      </c>
      <c r="C215" s="13"/>
      <c r="D215" s="1">
        <f>SUM(OSRRefD22_17x_0)</f>
        <v>18456.649999999998</v>
      </c>
      <c r="E215" s="1"/>
      <c r="F215" s="5">
        <f t="shared" ref="F215:F218" si="76">IF(D$12=0,0,D215/D$12)</f>
        <v>4.0981731930559297E-2</v>
      </c>
      <c r="G215" s="1"/>
      <c r="H215" s="1">
        <f>SUM(OSRRefH22_17x_0)</f>
        <v>21168.14</v>
      </c>
      <c r="I215" s="1"/>
      <c r="J215" s="5">
        <f t="shared" ref="J215:J218" si="77">IF(H$12=0,0,H215/H$12)</f>
        <v>6.0183336769230988E-2</v>
      </c>
      <c r="K215" s="1"/>
      <c r="L215" s="1">
        <f t="shared" ref="L215:L218" si="78">+D215-H215</f>
        <v>-2711.4900000000016</v>
      </c>
      <c r="M215" s="1"/>
      <c r="N215" s="5">
        <f t="shared" ref="N215:N218" si="79">IF(H215=0,0,L215/H215)</f>
        <v>-0.1280929736859262</v>
      </c>
      <c r="O215" s="13"/>
      <c r="P215" s="1">
        <f>SUM(OSRRefP22_17x_0)</f>
        <v>50535.75</v>
      </c>
      <c r="Q215" s="1"/>
      <c r="R215" s="5">
        <f t="shared" ref="R215:R218" si="80">IF(P$12=0,0,P215/P$12)</f>
        <v>9.9652863165686067E-3</v>
      </c>
      <c r="S215" s="1"/>
      <c r="T215" s="1">
        <f>SUM(OSRRefT22_17x_0)</f>
        <v>71673.91</v>
      </c>
      <c r="U215" s="1"/>
      <c r="V215" s="5">
        <f t="shared" ref="V215:V218" si="81">IF(T$12=0,0,T215/T$12)</f>
        <v>1.3346463759543974E-2</v>
      </c>
      <c r="W215" s="1"/>
      <c r="X215" s="1">
        <f t="shared" ref="X215:X218" si="82">+P215-T215</f>
        <v>-21138.160000000003</v>
      </c>
      <c r="Y215" s="1"/>
      <c r="Z215" s="5">
        <f t="shared" ref="Z215:Z218" si="83">IF(T215=0,0,X215/T215)</f>
        <v>-0.29492126214406333</v>
      </c>
    </row>
    <row r="216" spans="1:26" s="24" customFormat="1" hidden="1" outlineLevel="2" x14ac:dyDescent="0.25">
      <c r="A216" s="26"/>
      <c r="B216" s="11" t="str">
        <f>CONCATENATE("          ", "6253", " - ", "ROYALTY DUE ATHLETICS-LRG")</f>
        <v xml:space="preserve">          6253 - ROYALTY DUE ATHLETICS-LRG</v>
      </c>
      <c r="C216" s="11"/>
      <c r="D216" s="6"/>
      <c r="E216" s="2"/>
      <c r="F216" s="7">
        <f t="shared" si="76"/>
        <v>0</v>
      </c>
      <c r="G216" s="2"/>
      <c r="H216" s="6"/>
      <c r="I216" s="2"/>
      <c r="J216" s="7">
        <f t="shared" si="77"/>
        <v>0</v>
      </c>
      <c r="K216" s="2"/>
      <c r="L216" s="6">
        <f t="shared" si="78"/>
        <v>0</v>
      </c>
      <c r="M216" s="2"/>
      <c r="N216" s="7">
        <f t="shared" si="79"/>
        <v>0</v>
      </c>
      <c r="O216" s="11"/>
      <c r="P216" s="6">
        <v>4366.95</v>
      </c>
      <c r="Q216" s="2"/>
      <c r="R216" s="7">
        <f t="shared" si="80"/>
        <v>8.6113112163447214E-4</v>
      </c>
      <c r="S216" s="2"/>
      <c r="T216" s="6">
        <v>22994.42</v>
      </c>
      <c r="U216" s="2"/>
      <c r="V216" s="7">
        <f t="shared" si="81"/>
        <v>4.2818117945809444E-3</v>
      </c>
      <c r="W216" s="2"/>
      <c r="X216" s="6">
        <f t="shared" si="82"/>
        <v>-18627.469999999998</v>
      </c>
      <c r="Y216" s="2"/>
      <c r="Z216" s="7">
        <f t="shared" si="83"/>
        <v>-0.81008653403738817</v>
      </c>
    </row>
    <row r="217" spans="1:26" s="24" customFormat="1" hidden="1" outlineLevel="2" x14ac:dyDescent="0.25">
      <c r="A217" s="26"/>
      <c r="B217" s="11" t="str">
        <f>CONCATENATE("          ", "6254", " - ", "ROYALTY &amp; COMMISSIONS")</f>
        <v xml:space="preserve">          6254 - ROYALTY &amp; COMMISSIONS</v>
      </c>
      <c r="C217" s="11"/>
      <c r="D217" s="6">
        <v>803.23</v>
      </c>
      <c r="E217" s="2"/>
      <c r="F217" s="7">
        <f t="shared" si="76"/>
        <v>1.7835174063864866E-3</v>
      </c>
      <c r="G217" s="2"/>
      <c r="H217" s="6">
        <v>1589.82</v>
      </c>
      <c r="I217" s="2"/>
      <c r="J217" s="7">
        <f t="shared" si="77"/>
        <v>4.5200321078025189E-3</v>
      </c>
      <c r="K217" s="2"/>
      <c r="L217" s="6">
        <f t="shared" si="78"/>
        <v>-786.58999999999992</v>
      </c>
      <c r="M217" s="2"/>
      <c r="N217" s="7">
        <f t="shared" si="79"/>
        <v>-0.49476670314878413</v>
      </c>
      <c r="O217" s="11"/>
      <c r="P217" s="6">
        <v>2301.12</v>
      </c>
      <c r="Q217" s="2"/>
      <c r="R217" s="7">
        <f t="shared" si="80"/>
        <v>4.5376430841102296E-4</v>
      </c>
      <c r="S217" s="2"/>
      <c r="T217" s="6">
        <v>2738.79</v>
      </c>
      <c r="U217" s="2"/>
      <c r="V217" s="7">
        <f t="shared" si="81"/>
        <v>5.0999256884410856E-4</v>
      </c>
      <c r="W217" s="2"/>
      <c r="X217" s="6">
        <f t="shared" si="82"/>
        <v>-437.67000000000007</v>
      </c>
      <c r="Y217" s="2"/>
      <c r="Z217" s="7">
        <f t="shared" si="83"/>
        <v>-0.15980414708685226</v>
      </c>
    </row>
    <row r="218" spans="1:26" s="24" customFormat="1" hidden="1" outlineLevel="2" x14ac:dyDescent="0.25">
      <c r="A218" s="26"/>
      <c r="B218" s="11" t="str">
        <f>CONCATENATE("          ", "6259", " - ", "ROYALTY &amp; COMMISSIONS")</f>
        <v xml:space="preserve">          6259 - ROYALTY &amp; COMMISSIONS</v>
      </c>
      <c r="C218" s="11"/>
      <c r="D218" s="6">
        <v>17653.419999999998</v>
      </c>
      <c r="E218" s="2"/>
      <c r="F218" s="7">
        <f t="shared" si="76"/>
        <v>3.9198214524172811E-2</v>
      </c>
      <c r="G218" s="2"/>
      <c r="H218" s="6">
        <v>19578.32</v>
      </c>
      <c r="I218" s="2"/>
      <c r="J218" s="7">
        <f t="shared" si="77"/>
        <v>5.5663304661428471E-2</v>
      </c>
      <c r="K218" s="2"/>
      <c r="L218" s="6">
        <f t="shared" si="78"/>
        <v>-1924.9000000000015</v>
      </c>
      <c r="M218" s="2"/>
      <c r="N218" s="7">
        <f t="shared" si="79"/>
        <v>-9.8317935348896199E-2</v>
      </c>
      <c r="O218" s="11"/>
      <c r="P218" s="6">
        <v>43867.68</v>
      </c>
      <c r="Q218" s="2"/>
      <c r="R218" s="7">
        <f t="shared" si="80"/>
        <v>8.6503908865231127E-3</v>
      </c>
      <c r="S218" s="2"/>
      <c r="T218" s="6">
        <v>45940.700000000004</v>
      </c>
      <c r="U218" s="2"/>
      <c r="V218" s="7">
        <f t="shared" si="81"/>
        <v>8.5546593961189198E-3</v>
      </c>
      <c r="W218" s="2"/>
      <c r="X218" s="6">
        <f t="shared" si="82"/>
        <v>-2073.0200000000041</v>
      </c>
      <c r="Y218" s="2"/>
      <c r="Z218" s="7">
        <f t="shared" si="83"/>
        <v>-4.5123822667046953E-2</v>
      </c>
    </row>
    <row r="219" spans="1:26" s="25" customFormat="1" outlineLevel="1" collapsed="1" x14ac:dyDescent="0.25">
      <c r="A219" s="27"/>
      <c r="B219" s="13" t="str">
        <f>CONCATENATE("     ","Services                                          ")</f>
        <v xml:space="preserve">     Services                                          </v>
      </c>
      <c r="C219" s="13"/>
      <c r="D219" s="1">
        <f>SUM(OSRRefD22_18x_0)</f>
        <v>4391.5599999999995</v>
      </c>
      <c r="E219" s="1"/>
      <c r="F219" s="5">
        <f t="shared" ref="F219:F223" si="84">IF(D$12=0,0,D219/D$12)</f>
        <v>9.751159320730847E-3</v>
      </c>
      <c r="G219" s="1"/>
      <c r="H219" s="1">
        <f>SUM(OSRRefH22_18x_0)</f>
        <v>624.89</v>
      </c>
      <c r="I219" s="1"/>
      <c r="J219" s="5">
        <f t="shared" ref="J219:J223" si="85">IF(H$12=0,0,H219/H$12)</f>
        <v>1.7766306021088651E-3</v>
      </c>
      <c r="K219" s="1"/>
      <c r="L219" s="1">
        <f t="shared" ref="L219:L223" si="86">+D219-H219</f>
        <v>3766.6699999999996</v>
      </c>
      <c r="M219" s="1"/>
      <c r="N219" s="5">
        <f t="shared" ref="N219:N223" si="87">IF(H219=0,0,L219/H219)</f>
        <v>6.0277328809870534</v>
      </c>
      <c r="O219" s="13"/>
      <c r="P219" s="1">
        <f>SUM(OSRRefP22_18x_0)</f>
        <v>22866.47</v>
      </c>
      <c r="Q219" s="1"/>
      <c r="R219" s="5">
        <f t="shared" ref="R219:R223" si="88">IF(P$12=0,0,P219/P$12)</f>
        <v>4.5091033693816073E-3</v>
      </c>
      <c r="S219" s="1"/>
      <c r="T219" s="1">
        <f>SUM(OSRRefT22_18x_0)</f>
        <v>18088.599999999999</v>
      </c>
      <c r="U219" s="1"/>
      <c r="V219" s="5">
        <f t="shared" ref="V219:V223" si="89">IF(T$12=0,0,T219/T$12)</f>
        <v>3.3682946048413866E-3</v>
      </c>
      <c r="W219" s="1"/>
      <c r="X219" s="1">
        <f t="shared" ref="X219:X223" si="90">+P219-T219</f>
        <v>4777.8700000000026</v>
      </c>
      <c r="Y219" s="1"/>
      <c r="Z219" s="5">
        <f t="shared" ref="Z219:Z223" si="91">IF(T219=0,0,X219/T219)</f>
        <v>0.26413708081333009</v>
      </c>
    </row>
    <row r="220" spans="1:26" s="24" customFormat="1" hidden="1" outlineLevel="2" x14ac:dyDescent="0.25">
      <c r="A220" s="26"/>
      <c r="B220" s="11" t="str">
        <f>CONCATENATE("          ", "6282", " - ", "JANITORIAL/EXTERMINATOR EXPENS")</f>
        <v xml:space="preserve">          6282 - JANITORIAL/EXTERMINATOR EXPENS</v>
      </c>
      <c r="C220" s="11"/>
      <c r="D220" s="6">
        <v>266.5</v>
      </c>
      <c r="E220" s="2"/>
      <c r="F220" s="7">
        <f t="shared" si="84"/>
        <v>5.9174506530134416E-4</v>
      </c>
      <c r="G220" s="2"/>
      <c r="H220" s="6">
        <v>286.79000000000002</v>
      </c>
      <c r="I220" s="2"/>
      <c r="J220" s="7">
        <f t="shared" si="85"/>
        <v>8.1537533066427929E-4</v>
      </c>
      <c r="K220" s="2"/>
      <c r="L220" s="6">
        <f t="shared" si="86"/>
        <v>-20.29000000000002</v>
      </c>
      <c r="M220" s="2"/>
      <c r="N220" s="7">
        <f t="shared" si="87"/>
        <v>-7.0748631402768644E-2</v>
      </c>
      <c r="O220" s="11"/>
      <c r="P220" s="6">
        <v>1332.5</v>
      </c>
      <c r="Q220" s="2"/>
      <c r="R220" s="7">
        <f t="shared" si="88"/>
        <v>2.6275941322385975E-4</v>
      </c>
      <c r="S220" s="2"/>
      <c r="T220" s="6">
        <v>1146.79</v>
      </c>
      <c r="U220" s="2"/>
      <c r="V220" s="7">
        <f t="shared" si="89"/>
        <v>2.1354480556184854E-4</v>
      </c>
      <c r="W220" s="2"/>
      <c r="X220" s="6">
        <f t="shared" si="90"/>
        <v>185.71000000000004</v>
      </c>
      <c r="Y220" s="2"/>
      <c r="Z220" s="7">
        <f t="shared" si="91"/>
        <v>0.16193897749369984</v>
      </c>
    </row>
    <row r="221" spans="1:26" s="24" customFormat="1" hidden="1" outlineLevel="2" x14ac:dyDescent="0.25">
      <c r="A221" s="26"/>
      <c r="B221" s="11" t="str">
        <f>CONCATENATE("          ", "6283", " - ", "PLANT SERVICE")</f>
        <v xml:space="preserve">          6283 - PLANT SERVICE</v>
      </c>
      <c r="C221" s="11"/>
      <c r="D221" s="6"/>
      <c r="E221" s="2"/>
      <c r="F221" s="7">
        <f t="shared" si="84"/>
        <v>0</v>
      </c>
      <c r="G221" s="2"/>
      <c r="H221" s="6">
        <v>173</v>
      </c>
      <c r="I221" s="2"/>
      <c r="J221" s="7">
        <f t="shared" si="85"/>
        <v>4.9185791765724159E-4</v>
      </c>
      <c r="K221" s="2"/>
      <c r="L221" s="6">
        <f t="shared" si="86"/>
        <v>-173</v>
      </c>
      <c r="M221" s="2"/>
      <c r="N221" s="7">
        <f t="shared" si="87"/>
        <v>-1</v>
      </c>
      <c r="O221" s="11"/>
      <c r="P221" s="6">
        <v>541.98</v>
      </c>
      <c r="Q221" s="2"/>
      <c r="R221" s="7">
        <f t="shared" si="88"/>
        <v>1.0687455668222702E-4</v>
      </c>
      <c r="S221" s="2"/>
      <c r="T221" s="6">
        <v>987.5</v>
      </c>
      <c r="U221" s="2"/>
      <c r="V221" s="7">
        <f t="shared" si="89"/>
        <v>1.8388327025202996E-4</v>
      </c>
      <c r="W221" s="2"/>
      <c r="X221" s="6">
        <f t="shared" si="90"/>
        <v>-445.52</v>
      </c>
      <c r="Y221" s="2"/>
      <c r="Z221" s="7">
        <f t="shared" si="91"/>
        <v>-0.45115949367088604</v>
      </c>
    </row>
    <row r="222" spans="1:26" s="24" customFormat="1" hidden="1" outlineLevel="2" x14ac:dyDescent="0.25">
      <c r="A222" s="26"/>
      <c r="B222" s="11" t="str">
        <f>CONCATENATE("          ", "6284", " - ", "TRASH REMOVAL EXPENSE")</f>
        <v xml:space="preserve">          6284 - TRASH REMOVAL EXPENSE</v>
      </c>
      <c r="C222" s="11"/>
      <c r="D222" s="6">
        <v>134.82</v>
      </c>
      <c r="E222" s="2"/>
      <c r="F222" s="7">
        <f t="shared" si="84"/>
        <v>2.9935861052130284E-4</v>
      </c>
      <c r="G222" s="2"/>
      <c r="H222" s="6">
        <v>121.46</v>
      </c>
      <c r="I222" s="2"/>
      <c r="J222" s="7">
        <f t="shared" si="85"/>
        <v>3.4532406172629225E-4</v>
      </c>
      <c r="K222" s="2"/>
      <c r="L222" s="6">
        <f t="shared" si="86"/>
        <v>13.36</v>
      </c>
      <c r="M222" s="2"/>
      <c r="N222" s="7">
        <f t="shared" si="87"/>
        <v>0.10999506010209123</v>
      </c>
      <c r="O222" s="11"/>
      <c r="P222" s="6">
        <v>674.1</v>
      </c>
      <c r="Q222" s="2"/>
      <c r="R222" s="7">
        <f t="shared" si="88"/>
        <v>1.3292767013448693E-4</v>
      </c>
      <c r="S222" s="2"/>
      <c r="T222" s="6">
        <v>607.29999999999995</v>
      </c>
      <c r="U222" s="2"/>
      <c r="V222" s="7">
        <f t="shared" si="89"/>
        <v>1.1308588356866611E-4</v>
      </c>
      <c r="W222" s="2"/>
      <c r="X222" s="6">
        <f t="shared" si="90"/>
        <v>66.800000000000068</v>
      </c>
      <c r="Y222" s="2"/>
      <c r="Z222" s="7">
        <f t="shared" si="91"/>
        <v>0.10999506010209134</v>
      </c>
    </row>
    <row r="223" spans="1:26" s="24" customFormat="1" hidden="1" outlineLevel="2" x14ac:dyDescent="0.25">
      <c r="A223" s="26"/>
      <c r="B223" s="11" t="str">
        <f>CONCATENATE("          ", "6285", " - ", "JANITORIAL SERVICES")</f>
        <v xml:space="preserve">          6285 - JANITORIAL SERVICES</v>
      </c>
      <c r="C223" s="11"/>
      <c r="D223" s="6">
        <v>3990.24</v>
      </c>
      <c r="E223" s="2"/>
      <c r="F223" s="7">
        <f t="shared" si="84"/>
        <v>8.8600556449082001E-3</v>
      </c>
      <c r="G223" s="2"/>
      <c r="H223" s="6">
        <v>43.64</v>
      </c>
      <c r="I223" s="2"/>
      <c r="J223" s="7">
        <f t="shared" si="85"/>
        <v>1.2407329206105214E-4</v>
      </c>
      <c r="K223" s="2"/>
      <c r="L223" s="6">
        <f t="shared" si="86"/>
        <v>3946.6</v>
      </c>
      <c r="M223" s="2"/>
      <c r="N223" s="7">
        <f t="shared" si="87"/>
        <v>90.435380384967914</v>
      </c>
      <c r="O223" s="11"/>
      <c r="P223" s="6">
        <v>20317.89</v>
      </c>
      <c r="Q223" s="2"/>
      <c r="R223" s="7">
        <f t="shared" si="88"/>
        <v>4.0065417293410335E-3</v>
      </c>
      <c r="S223" s="2"/>
      <c r="T223" s="6">
        <v>15347.009999999998</v>
      </c>
      <c r="U223" s="2"/>
      <c r="V223" s="7">
        <f t="shared" si="89"/>
        <v>2.8577806454588416E-3</v>
      </c>
      <c r="W223" s="2"/>
      <c r="X223" s="6">
        <f t="shared" si="90"/>
        <v>4970.880000000001</v>
      </c>
      <c r="Y223" s="2"/>
      <c r="Z223" s="7">
        <f t="shared" si="91"/>
        <v>0.32389892233079937</v>
      </c>
    </row>
    <row r="224" spans="1:26" s="25" customFormat="1" outlineLevel="1" collapsed="1" x14ac:dyDescent="0.25">
      <c r="A224" s="27"/>
      <c r="B224" s="13" t="str">
        <f>CONCATENATE("     ","Subscriptions &amp; Dues                              ")</f>
        <v xml:space="preserve">     Subscriptions &amp; Dues                              </v>
      </c>
      <c r="C224" s="13"/>
      <c r="D224" s="1">
        <f>SUM(OSRRefD22_19x_0)</f>
        <v>175.36</v>
      </c>
      <c r="E224" s="1"/>
      <c r="F224" s="5">
        <f t="shared" ref="F224:F226" si="92">IF(D$12=0,0,D224/D$12)</f>
        <v>3.8937491426357869E-4</v>
      </c>
      <c r="G224" s="1"/>
      <c r="H224" s="1">
        <f>SUM(OSRRefH22_19x_0)</f>
        <v>3537.23</v>
      </c>
      <c r="I224" s="1"/>
      <c r="J224" s="5">
        <f t="shared" ref="J224:J226" si="93">IF(H$12=0,0,H224/H$12)</f>
        <v>1.0056731688293205E-2</v>
      </c>
      <c r="K224" s="1"/>
      <c r="L224" s="1">
        <f t="shared" ref="L224:L226" si="94">+D224-H224</f>
        <v>-3361.87</v>
      </c>
      <c r="M224" s="1"/>
      <c r="N224" s="5">
        <f t="shared" ref="N224:N226" si="95">IF(H224=0,0,L224/H224)</f>
        <v>-0.95042448469565166</v>
      </c>
      <c r="O224" s="13"/>
      <c r="P224" s="1">
        <f>SUM(OSRRefP22_19x_0)</f>
        <v>2217.7600000000002</v>
      </c>
      <c r="Q224" s="1"/>
      <c r="R224" s="5">
        <f t="shared" ref="R224:R226" si="96">IF(P$12=0,0,P224/P$12)</f>
        <v>4.3732631615110484E-4</v>
      </c>
      <c r="S224" s="1"/>
      <c r="T224" s="1">
        <f>SUM(OSRRefT22_19x_0)</f>
        <v>6758.9400000000005</v>
      </c>
      <c r="U224" s="1"/>
      <c r="V224" s="5">
        <f t="shared" ref="V224:V226" si="97">IF(T$12=0,0,T224/T$12)</f>
        <v>1.2585883449491196E-3</v>
      </c>
      <c r="W224" s="1"/>
      <c r="X224" s="1">
        <f t="shared" ref="X224:X226" si="98">+P224-T224</f>
        <v>-4541.18</v>
      </c>
      <c r="Y224" s="1"/>
      <c r="Z224" s="5">
        <f t="shared" ref="Z224:Z226" si="99">IF(T224=0,0,X224/T224)</f>
        <v>-0.67187754292832902</v>
      </c>
    </row>
    <row r="225" spans="1:26" s="24" customFormat="1" hidden="1" outlineLevel="2" x14ac:dyDescent="0.25">
      <c r="A225" s="26"/>
      <c r="B225" s="11" t="str">
        <f>CONCATENATE("          ", "6258", " - ", "MEMBERSHIP DUES")</f>
        <v xml:space="preserve">          6258 - MEMBERSHIP DUES</v>
      </c>
      <c r="C225" s="11"/>
      <c r="D225" s="6">
        <v>250</v>
      </c>
      <c r="E225" s="2"/>
      <c r="F225" s="7">
        <f t="shared" si="92"/>
        <v>5.5510794118324971E-4</v>
      </c>
      <c r="G225" s="2"/>
      <c r="H225" s="6">
        <v>3262.27</v>
      </c>
      <c r="I225" s="2"/>
      <c r="J225" s="7">
        <f t="shared" si="93"/>
        <v>9.2749903412467586E-3</v>
      </c>
      <c r="K225" s="2"/>
      <c r="L225" s="6">
        <f t="shared" si="94"/>
        <v>-3012.27</v>
      </c>
      <c r="M225" s="2"/>
      <c r="N225" s="7">
        <f t="shared" si="95"/>
        <v>-0.92336624497665731</v>
      </c>
      <c r="O225" s="11"/>
      <c r="P225" s="6">
        <v>1427.4</v>
      </c>
      <c r="Q225" s="2"/>
      <c r="R225" s="7">
        <f t="shared" si="96"/>
        <v>2.8147301045833951E-4</v>
      </c>
      <c r="S225" s="2"/>
      <c r="T225" s="6">
        <v>4946.3900000000003</v>
      </c>
      <c r="U225" s="2"/>
      <c r="V225" s="7">
        <f t="shared" si="97"/>
        <v>9.2107176621968468E-4</v>
      </c>
      <c r="W225" s="2"/>
      <c r="X225" s="6">
        <f t="shared" si="98"/>
        <v>-3518.9900000000002</v>
      </c>
      <c r="Y225" s="2"/>
      <c r="Z225" s="7">
        <f t="shared" si="99"/>
        <v>-0.71142590859192256</v>
      </c>
    </row>
    <row r="226" spans="1:26" s="24" customFormat="1" hidden="1" outlineLevel="2" x14ac:dyDescent="0.25">
      <c r="A226" s="26"/>
      <c r="B226" s="11" t="str">
        <f>CONCATENATE("          ", "6275", " - ", "SUBSCRIPTIONS")</f>
        <v xml:space="preserve">          6275 - SUBSCRIPTIONS</v>
      </c>
      <c r="C226" s="11"/>
      <c r="D226" s="6">
        <v>-74.64</v>
      </c>
      <c r="E226" s="2"/>
      <c r="F226" s="7">
        <f t="shared" si="92"/>
        <v>-1.6573302691967102E-4</v>
      </c>
      <c r="G226" s="2"/>
      <c r="H226" s="6">
        <v>274.95999999999998</v>
      </c>
      <c r="I226" s="2"/>
      <c r="J226" s="7">
        <f t="shared" si="93"/>
        <v>7.817413470464458E-4</v>
      </c>
      <c r="K226" s="2"/>
      <c r="L226" s="6">
        <f t="shared" si="94"/>
        <v>-349.59999999999997</v>
      </c>
      <c r="M226" s="2"/>
      <c r="N226" s="7">
        <f t="shared" si="95"/>
        <v>-1.2714576665696828</v>
      </c>
      <c r="O226" s="11"/>
      <c r="P226" s="6">
        <v>790.36</v>
      </c>
      <c r="Q226" s="2"/>
      <c r="R226" s="7">
        <f t="shared" si="96"/>
        <v>1.558533056927653E-4</v>
      </c>
      <c r="S226" s="2"/>
      <c r="T226" s="6">
        <v>1812.55</v>
      </c>
      <c r="U226" s="2"/>
      <c r="V226" s="7">
        <f t="shared" si="97"/>
        <v>3.3751657872943487E-4</v>
      </c>
      <c r="W226" s="2"/>
      <c r="X226" s="6">
        <f t="shared" si="98"/>
        <v>-1022.1899999999999</v>
      </c>
      <c r="Y226" s="2"/>
      <c r="Z226" s="7">
        <f t="shared" si="99"/>
        <v>-0.56395133927339935</v>
      </c>
    </row>
    <row r="227" spans="1:26" s="25" customFormat="1" outlineLevel="1" collapsed="1" x14ac:dyDescent="0.25">
      <c r="A227" s="27"/>
      <c r="B227" s="13" t="str">
        <f>CONCATENATE("     ","Supplies                                          ")</f>
        <v xml:space="preserve">     Supplies                                          </v>
      </c>
      <c r="C227" s="13"/>
      <c r="D227" s="1">
        <f>SUM(OSRRefD22_20x_0)</f>
        <v>4109.6899999999996</v>
      </c>
      <c r="E227" s="1"/>
      <c r="F227" s="5">
        <f t="shared" ref="F227:F234" si="100">IF(D$12=0,0,D227/D$12)</f>
        <v>9.1252862192055563E-3</v>
      </c>
      <c r="G227" s="1"/>
      <c r="H227" s="1">
        <f>SUM(OSRRefH22_20x_0)</f>
        <v>4822.2</v>
      </c>
      <c r="I227" s="1"/>
      <c r="J227" s="5">
        <f t="shared" ref="J227:J234" si="101">IF(H$12=0,0,H227/H$12)</f>
        <v>1.3710041910559249E-2</v>
      </c>
      <c r="K227" s="1"/>
      <c r="L227" s="1">
        <f t="shared" ref="L227:L234" si="102">+D227-H227</f>
        <v>-712.51000000000022</v>
      </c>
      <c r="M227" s="1"/>
      <c r="N227" s="5">
        <f t="shared" ref="N227:N234" si="103">IF(H227=0,0,L227/H227)</f>
        <v>-0.14775621085811461</v>
      </c>
      <c r="O227" s="13"/>
      <c r="P227" s="1">
        <f>SUM(OSRRefP22_20x_0)</f>
        <v>43183.520000000004</v>
      </c>
      <c r="Q227" s="1"/>
      <c r="R227" s="5">
        <f t="shared" ref="R227:R234" si="104">IF(P$12=0,0,P227/P$12)</f>
        <v>8.5154794567660879E-3</v>
      </c>
      <c r="S227" s="1"/>
      <c r="T227" s="1">
        <f>SUM(OSRRefT22_20x_0)</f>
        <v>80379.239999999991</v>
      </c>
      <c r="U227" s="1"/>
      <c r="V227" s="5">
        <f t="shared" ref="V227:V234" si="105">IF(T$12=0,0,T227/T$12)</f>
        <v>1.4967491150959774E-2</v>
      </c>
      <c r="W227" s="1"/>
      <c r="X227" s="1">
        <f t="shared" ref="X227:X234" si="106">+P227-T227</f>
        <v>-37195.719999999987</v>
      </c>
      <c r="Y227" s="1"/>
      <c r="Z227" s="5">
        <f t="shared" ref="Z227:Z234" si="107">IF(T227=0,0,X227/T227)</f>
        <v>-0.46275282025557829</v>
      </c>
    </row>
    <row r="228" spans="1:26" s="24" customFormat="1" hidden="1" outlineLevel="2" x14ac:dyDescent="0.25">
      <c r="A228" s="26"/>
      <c r="B228" s="11" t="str">
        <f>CONCATENATE("          ", "6234", " - ", "EXPENDABLE SUPPLIES &amp; EQUIPMEN")</f>
        <v xml:space="preserve">          6234 - EXPENDABLE SUPPLIES &amp; EQUIPMEN</v>
      </c>
      <c r="C228" s="11"/>
      <c r="D228" s="6">
        <v>106.65</v>
      </c>
      <c r="E228" s="2"/>
      <c r="F228" s="7">
        <f t="shared" si="100"/>
        <v>2.3680904770877431E-4</v>
      </c>
      <c r="G228" s="2"/>
      <c r="H228" s="6">
        <v>7.72</v>
      </c>
      <c r="I228" s="2"/>
      <c r="J228" s="7">
        <f t="shared" si="101"/>
        <v>2.1948804186785574E-5</v>
      </c>
      <c r="K228" s="2"/>
      <c r="L228" s="6">
        <f t="shared" si="102"/>
        <v>98.93</v>
      </c>
      <c r="M228" s="2"/>
      <c r="N228" s="7">
        <f t="shared" si="103"/>
        <v>12.81476683937824</v>
      </c>
      <c r="O228" s="11"/>
      <c r="P228" s="6">
        <v>1822.75</v>
      </c>
      <c r="Q228" s="2"/>
      <c r="R228" s="7">
        <f t="shared" si="104"/>
        <v>3.5943318608164379E-4</v>
      </c>
      <c r="S228" s="2"/>
      <c r="T228" s="6">
        <v>3459.34</v>
      </c>
      <c r="U228" s="2"/>
      <c r="V228" s="7">
        <f t="shared" si="105"/>
        <v>6.4416683758345057E-4</v>
      </c>
      <c r="W228" s="2"/>
      <c r="X228" s="6">
        <f t="shared" si="106"/>
        <v>-1636.5900000000001</v>
      </c>
      <c r="Y228" s="2"/>
      <c r="Z228" s="7">
        <f t="shared" si="107"/>
        <v>-0.47309313337226178</v>
      </c>
    </row>
    <row r="229" spans="1:26" s="24" customFormat="1" hidden="1" outlineLevel="2" x14ac:dyDescent="0.25">
      <c r="A229" s="26"/>
      <c r="B229" s="11" t="str">
        <f>CONCATENATE("          ", "6237", " - ", "JANITORIAL SUPPLIES")</f>
        <v xml:space="preserve">          6237 - JANITORIAL SUPPLIES</v>
      </c>
      <c r="C229" s="11"/>
      <c r="D229" s="6">
        <v>691.53</v>
      </c>
      <c r="E229" s="2"/>
      <c r="F229" s="7">
        <f t="shared" si="100"/>
        <v>1.5354951782658105E-3</v>
      </c>
      <c r="G229" s="2"/>
      <c r="H229" s="6">
        <v>696.71</v>
      </c>
      <c r="I229" s="2"/>
      <c r="J229" s="7">
        <f t="shared" si="101"/>
        <v>1.9808227156703859E-3</v>
      </c>
      <c r="K229" s="2"/>
      <c r="L229" s="6">
        <f t="shared" si="102"/>
        <v>-5.1800000000000637</v>
      </c>
      <c r="M229" s="2"/>
      <c r="N229" s="7">
        <f t="shared" si="103"/>
        <v>-7.4349442379183063E-3</v>
      </c>
      <c r="O229" s="11"/>
      <c r="P229" s="6">
        <v>2857.75</v>
      </c>
      <c r="Q229" s="2"/>
      <c r="R229" s="7">
        <f t="shared" si="104"/>
        <v>5.6352773969267178E-4</v>
      </c>
      <c r="S229" s="2"/>
      <c r="T229" s="6">
        <v>3220.91</v>
      </c>
      <c r="U229" s="2"/>
      <c r="V229" s="7">
        <f t="shared" si="105"/>
        <v>5.9976857112654762E-4</v>
      </c>
      <c r="W229" s="2"/>
      <c r="X229" s="6">
        <f t="shared" si="106"/>
        <v>-363.15999999999985</v>
      </c>
      <c r="Y229" s="2"/>
      <c r="Z229" s="7">
        <f t="shared" si="107"/>
        <v>-0.1127507443548562</v>
      </c>
    </row>
    <row r="230" spans="1:26" s="24" customFormat="1" hidden="1" outlineLevel="2" x14ac:dyDescent="0.25">
      <c r="A230" s="26"/>
      <c r="B230" s="11" t="str">
        <f>CONCATENATE("          ", "6241", " - ", "OFFICE EXPENSE")</f>
        <v xml:space="preserve">          6241 - OFFICE EXPENSE</v>
      </c>
      <c r="C230" s="11"/>
      <c r="D230" s="6">
        <v>2264.9499999999998</v>
      </c>
      <c r="E230" s="2"/>
      <c r="F230" s="7">
        <f t="shared" si="100"/>
        <v>5.029166925532005E-3</v>
      </c>
      <c r="G230" s="2"/>
      <c r="H230" s="6">
        <v>1719.81</v>
      </c>
      <c r="I230" s="2"/>
      <c r="J230" s="7">
        <f t="shared" si="101"/>
        <v>4.8896078922895988E-3</v>
      </c>
      <c r="K230" s="2"/>
      <c r="L230" s="6">
        <f t="shared" si="102"/>
        <v>545.13999999999987</v>
      </c>
      <c r="M230" s="2"/>
      <c r="N230" s="7">
        <f t="shared" si="103"/>
        <v>0.31697687535250979</v>
      </c>
      <c r="O230" s="11"/>
      <c r="P230" s="6">
        <v>14563.47</v>
      </c>
      <c r="Q230" s="2"/>
      <c r="R230" s="7">
        <f t="shared" si="104"/>
        <v>2.8718115059686937E-3</v>
      </c>
      <c r="S230" s="2"/>
      <c r="T230" s="6">
        <v>10870.16</v>
      </c>
      <c r="U230" s="2"/>
      <c r="V230" s="7">
        <f t="shared" si="105"/>
        <v>2.0241423483167657E-3</v>
      </c>
      <c r="W230" s="2"/>
      <c r="X230" s="6">
        <f t="shared" si="106"/>
        <v>3693.3099999999995</v>
      </c>
      <c r="Y230" s="2"/>
      <c r="Z230" s="7">
        <f t="shared" si="107"/>
        <v>0.33976592800841932</v>
      </c>
    </row>
    <row r="231" spans="1:26" s="24" customFormat="1" hidden="1" outlineLevel="2" x14ac:dyDescent="0.25">
      <c r="A231" s="26"/>
      <c r="B231" s="11" t="str">
        <f>CONCATENATE("          ", "6243", " - ", "PAPER SUPPLIES")</f>
        <v xml:space="preserve">          6243 - PAPER SUPPLIES</v>
      </c>
      <c r="C231" s="11"/>
      <c r="D231" s="6">
        <v>1423.15</v>
      </c>
      <c r="E231" s="2"/>
      <c r="F231" s="7">
        <f t="shared" si="100"/>
        <v>3.1600074659797672E-3</v>
      </c>
      <c r="G231" s="2"/>
      <c r="H231" s="6">
        <v>1616.13</v>
      </c>
      <c r="I231" s="2"/>
      <c r="J231" s="7">
        <f t="shared" si="101"/>
        <v>4.5948343148173284E-3</v>
      </c>
      <c r="K231" s="2"/>
      <c r="L231" s="6">
        <f t="shared" si="102"/>
        <v>-192.98000000000002</v>
      </c>
      <c r="M231" s="2"/>
      <c r="N231" s="7">
        <f t="shared" si="103"/>
        <v>-0.11940871093290763</v>
      </c>
      <c r="O231" s="11"/>
      <c r="P231" s="6">
        <v>6329.48</v>
      </c>
      <c r="Q231" s="2"/>
      <c r="R231" s="7">
        <f t="shared" si="104"/>
        <v>1.2481279180579028E-3</v>
      </c>
      <c r="S231" s="2"/>
      <c r="T231" s="6">
        <v>18272.030000000002</v>
      </c>
      <c r="U231" s="2"/>
      <c r="V231" s="7">
        <f t="shared" si="105"/>
        <v>3.4024512714361517E-3</v>
      </c>
      <c r="W231" s="2"/>
      <c r="X231" s="6">
        <f t="shared" si="106"/>
        <v>-11942.550000000003</v>
      </c>
      <c r="Y231" s="2"/>
      <c r="Z231" s="7">
        <f t="shared" si="107"/>
        <v>-0.65359732881349264</v>
      </c>
    </row>
    <row r="232" spans="1:26" s="24" customFormat="1" hidden="1" outlineLevel="2" x14ac:dyDescent="0.25">
      <c r="A232" s="26"/>
      <c r="B232" s="11" t="str">
        <f>CONCATENATE("          ", "6245", " - ", "PRINTING")</f>
        <v xml:space="preserve">          6245 - PRINTING</v>
      </c>
      <c r="C232" s="11"/>
      <c r="D232" s="6">
        <v>-402.2</v>
      </c>
      <c r="E232" s="2"/>
      <c r="F232" s="7">
        <f t="shared" si="100"/>
        <v>-8.9305765577561203E-4</v>
      </c>
      <c r="G232" s="2"/>
      <c r="H232" s="6">
        <v>182.57</v>
      </c>
      <c r="I232" s="2"/>
      <c r="J232" s="7">
        <f t="shared" si="101"/>
        <v>5.190664741426739E-4</v>
      </c>
      <c r="K232" s="2"/>
      <c r="L232" s="6">
        <f t="shared" si="102"/>
        <v>-584.77</v>
      </c>
      <c r="M232" s="2"/>
      <c r="N232" s="7">
        <f t="shared" si="103"/>
        <v>-3.2029906337295286</v>
      </c>
      <c r="O232" s="11"/>
      <c r="P232" s="6">
        <v>4845.05</v>
      </c>
      <c r="Q232" s="2"/>
      <c r="R232" s="7">
        <f t="shared" si="104"/>
        <v>9.5540900190638775E-4</v>
      </c>
      <c r="S232" s="2"/>
      <c r="T232" s="6">
        <v>6622.96</v>
      </c>
      <c r="U232" s="2"/>
      <c r="V232" s="7">
        <f t="shared" si="105"/>
        <v>1.2332673858717817E-3</v>
      </c>
      <c r="W232" s="2"/>
      <c r="X232" s="6">
        <f t="shared" si="106"/>
        <v>-1777.9099999999999</v>
      </c>
      <c r="Y232" s="2"/>
      <c r="Z232" s="7">
        <f t="shared" si="107"/>
        <v>-0.26844643482672398</v>
      </c>
    </row>
    <row r="233" spans="1:26" s="24" customFormat="1" hidden="1" outlineLevel="2" x14ac:dyDescent="0.25">
      <c r="A233" s="26"/>
      <c r="B233" s="11" t="str">
        <f>CONCATENATE("          ", "6247", " - ", "STORE SUPPLIES")</f>
        <v xml:space="preserve">          6247 - STORE SUPPLIES</v>
      </c>
      <c r="C233" s="11"/>
      <c r="D233" s="6">
        <v>25.61</v>
      </c>
      <c r="E233" s="2"/>
      <c r="F233" s="7">
        <f t="shared" si="100"/>
        <v>5.6865257494812092E-5</v>
      </c>
      <c r="G233" s="2"/>
      <c r="H233" s="6">
        <v>500.26</v>
      </c>
      <c r="I233" s="2"/>
      <c r="J233" s="7">
        <f t="shared" si="101"/>
        <v>1.4222938837411079E-3</v>
      </c>
      <c r="K233" s="2"/>
      <c r="L233" s="6">
        <f t="shared" si="102"/>
        <v>-474.65</v>
      </c>
      <c r="M233" s="2"/>
      <c r="N233" s="7">
        <f t="shared" si="103"/>
        <v>-0.94880662055731013</v>
      </c>
      <c r="O233" s="11"/>
      <c r="P233" s="6">
        <v>12765.02</v>
      </c>
      <c r="Q233" s="2"/>
      <c r="R233" s="7">
        <f t="shared" si="104"/>
        <v>2.5171701050587872E-3</v>
      </c>
      <c r="S233" s="2"/>
      <c r="T233" s="6">
        <v>37834.839999999997</v>
      </c>
      <c r="U233" s="2"/>
      <c r="V233" s="7">
        <f t="shared" si="105"/>
        <v>7.0452598568732285E-3</v>
      </c>
      <c r="W233" s="2"/>
      <c r="X233" s="6">
        <f t="shared" si="106"/>
        <v>-25069.819999999996</v>
      </c>
      <c r="Y233" s="2"/>
      <c r="Z233" s="7">
        <f t="shared" si="107"/>
        <v>-0.66261202637568961</v>
      </c>
    </row>
    <row r="234" spans="1:26" s="24" customFormat="1" hidden="1" outlineLevel="2" x14ac:dyDescent="0.25">
      <c r="A234" s="26"/>
      <c r="B234" s="11" t="str">
        <f>CONCATENATE("          ", "6248", " - ", "UNIFORMS")</f>
        <v xml:space="preserve">          6248 - UNIFORMS</v>
      </c>
      <c r="C234" s="11"/>
      <c r="D234" s="6"/>
      <c r="E234" s="2"/>
      <c r="F234" s="7">
        <f t="shared" si="100"/>
        <v>0</v>
      </c>
      <c r="G234" s="2"/>
      <c r="H234" s="6">
        <v>99</v>
      </c>
      <c r="I234" s="2"/>
      <c r="J234" s="7">
        <f t="shared" si="101"/>
        <v>2.8146782571136943E-4</v>
      </c>
      <c r="K234" s="2"/>
      <c r="L234" s="6">
        <f t="shared" si="102"/>
        <v>-99</v>
      </c>
      <c r="M234" s="2"/>
      <c r="N234" s="7">
        <f t="shared" si="103"/>
        <v>-1</v>
      </c>
      <c r="O234" s="11"/>
      <c r="P234" s="6"/>
      <c r="Q234" s="2"/>
      <c r="R234" s="7">
        <f t="shared" si="104"/>
        <v>0</v>
      </c>
      <c r="S234" s="2"/>
      <c r="T234" s="6">
        <v>99</v>
      </c>
      <c r="U234" s="2"/>
      <c r="V234" s="7">
        <f t="shared" si="105"/>
        <v>1.8434879751849081E-5</v>
      </c>
      <c r="W234" s="2"/>
      <c r="X234" s="6">
        <f t="shared" si="106"/>
        <v>-99</v>
      </c>
      <c r="Y234" s="2"/>
      <c r="Z234" s="7">
        <f t="shared" si="107"/>
        <v>-1</v>
      </c>
    </row>
    <row r="235" spans="1:26" s="25" customFormat="1" outlineLevel="1" collapsed="1" x14ac:dyDescent="0.25">
      <c r="A235" s="27"/>
      <c r="B235" s="13" t="str">
        <f>CONCATENATE("     ","Telephone/Data Lines                              ")</f>
        <v xml:space="preserve">     Telephone/Data Lines                              </v>
      </c>
      <c r="C235" s="13"/>
      <c r="D235" s="1">
        <f>SUM(OSRRefD22_21x_0)</f>
        <v>2367.4</v>
      </c>
      <c r="E235" s="1"/>
      <c r="F235" s="5">
        <f t="shared" ref="F235:F237" si="108">IF(D$12=0,0,D235/D$12)</f>
        <v>5.2566501598289008E-3</v>
      </c>
      <c r="G235" s="1"/>
      <c r="H235" s="1">
        <f>SUM(OSRRefH22_21x_0)</f>
        <v>2883.96</v>
      </c>
      <c r="I235" s="1"/>
      <c r="J235" s="5">
        <f t="shared" ref="J235:J237" si="109">IF(H$12=0,0,H235/H$12)</f>
        <v>8.1994136428137476E-3</v>
      </c>
      <c r="K235" s="1"/>
      <c r="L235" s="1">
        <f t="shared" ref="L235:L237" si="110">+D235-H235</f>
        <v>-516.55999999999995</v>
      </c>
      <c r="M235" s="1"/>
      <c r="N235" s="5">
        <f t="shared" ref="N235:N237" si="111">IF(H235=0,0,L235/H235)</f>
        <v>-0.17911482822230543</v>
      </c>
      <c r="O235" s="13"/>
      <c r="P235" s="1">
        <f>SUM(OSRRefP22_21x_0)</f>
        <v>13454.67</v>
      </c>
      <c r="Q235" s="1"/>
      <c r="R235" s="5">
        <f t="shared" ref="R235:R237" si="112">IF(P$12=0,0,P235/P$12)</f>
        <v>2.6531641233175749E-3</v>
      </c>
      <c r="S235" s="1"/>
      <c r="T235" s="1">
        <f>SUM(OSRRefT22_21x_0)</f>
        <v>13716.92</v>
      </c>
      <c r="U235" s="1"/>
      <c r="V235" s="5">
        <f t="shared" ref="V235:V237" si="113">IF(T$12=0,0,T235/T$12)</f>
        <v>2.5542401087447846E-3</v>
      </c>
      <c r="W235" s="1"/>
      <c r="X235" s="1">
        <f t="shared" ref="X235:X237" si="114">+P235-T235</f>
        <v>-262.25</v>
      </c>
      <c r="Y235" s="1"/>
      <c r="Z235" s="5">
        <f t="shared" ref="Z235:Z237" si="115">IF(T235=0,0,X235/T235)</f>
        <v>-1.9118723445204901E-2</v>
      </c>
    </row>
    <row r="236" spans="1:26" s="24" customFormat="1" hidden="1" outlineLevel="2" x14ac:dyDescent="0.25">
      <c r="A236" s="26"/>
      <c r="B236" s="11" t="str">
        <f>CONCATENATE("          ", "6303", " - ", "DATA PHONE LINES")</f>
        <v xml:space="preserve">          6303 - DATA PHONE LINES</v>
      </c>
      <c r="C236" s="11"/>
      <c r="D236" s="6">
        <v>295</v>
      </c>
      <c r="E236" s="2"/>
      <c r="F236" s="7">
        <f t="shared" si="108"/>
        <v>6.5502737059623456E-4</v>
      </c>
      <c r="G236" s="2"/>
      <c r="H236" s="6">
        <v>295</v>
      </c>
      <c r="I236" s="2"/>
      <c r="J236" s="7">
        <f t="shared" si="109"/>
        <v>8.3871725843286853E-4</v>
      </c>
      <c r="K236" s="2"/>
      <c r="L236" s="6">
        <f t="shared" si="110"/>
        <v>0</v>
      </c>
      <c r="M236" s="2"/>
      <c r="N236" s="7">
        <f t="shared" si="111"/>
        <v>0</v>
      </c>
      <c r="O236" s="11"/>
      <c r="P236" s="6">
        <v>1475</v>
      </c>
      <c r="Q236" s="2"/>
      <c r="R236" s="7">
        <f t="shared" si="112"/>
        <v>2.9085938799639258E-4</v>
      </c>
      <c r="S236" s="2"/>
      <c r="T236" s="6">
        <v>885</v>
      </c>
      <c r="U236" s="2"/>
      <c r="V236" s="7">
        <f t="shared" si="113"/>
        <v>1.6479665232713571E-4</v>
      </c>
      <c r="W236" s="2"/>
      <c r="X236" s="6">
        <f t="shared" si="114"/>
        <v>590</v>
      </c>
      <c r="Y236" s="2"/>
      <c r="Z236" s="7">
        <f t="shared" si="115"/>
        <v>0.66666666666666663</v>
      </c>
    </row>
    <row r="237" spans="1:26" s="24" customFormat="1" hidden="1" outlineLevel="2" x14ac:dyDescent="0.25">
      <c r="A237" s="26"/>
      <c r="B237" s="11" t="str">
        <f>CONCATENATE("          ", "6309", " - ", "TELEPHONE")</f>
        <v xml:space="preserve">          6309 - TELEPHONE</v>
      </c>
      <c r="C237" s="11"/>
      <c r="D237" s="6">
        <v>2072.4</v>
      </c>
      <c r="E237" s="2"/>
      <c r="F237" s="7">
        <f t="shared" si="108"/>
        <v>4.6016227892326667E-3</v>
      </c>
      <c r="G237" s="2"/>
      <c r="H237" s="6">
        <v>2588.96</v>
      </c>
      <c r="I237" s="2"/>
      <c r="J237" s="7">
        <f t="shared" si="109"/>
        <v>7.3606963843808795E-3</v>
      </c>
      <c r="K237" s="2"/>
      <c r="L237" s="6">
        <f t="shared" si="110"/>
        <v>-516.55999999999995</v>
      </c>
      <c r="M237" s="2"/>
      <c r="N237" s="7">
        <f t="shared" si="111"/>
        <v>-0.19952413324269203</v>
      </c>
      <c r="O237" s="11"/>
      <c r="P237" s="6">
        <v>11979.67</v>
      </c>
      <c r="Q237" s="2"/>
      <c r="R237" s="7">
        <f t="shared" si="112"/>
        <v>2.3623047353211824E-3</v>
      </c>
      <c r="S237" s="2"/>
      <c r="T237" s="6">
        <v>12831.92</v>
      </c>
      <c r="U237" s="2"/>
      <c r="V237" s="7">
        <f t="shared" si="113"/>
        <v>2.3894434564176491E-3</v>
      </c>
      <c r="W237" s="2"/>
      <c r="X237" s="6">
        <f t="shared" si="114"/>
        <v>-852.25</v>
      </c>
      <c r="Y237" s="2"/>
      <c r="Z237" s="7">
        <f t="shared" si="115"/>
        <v>-6.64164053391854E-2</v>
      </c>
    </row>
    <row r="238" spans="1:26" s="25" customFormat="1" outlineLevel="1" collapsed="1" x14ac:dyDescent="0.25">
      <c r="A238" s="27"/>
      <c r="B238" s="13" t="str">
        <f>CONCATENATE("     ","Training                                          ")</f>
        <v xml:space="preserve">     Training                                          </v>
      </c>
      <c r="C238" s="13"/>
      <c r="D238" s="1">
        <f>SUM(OSRRefD22_22x_0)</f>
        <v>2143.04</v>
      </c>
      <c r="E238" s="1"/>
      <c r="F238" s="5">
        <f t="shared" ref="F238:F243" si="116">IF(D$12=0,0,D238/D$12)</f>
        <v>4.7584740890934058E-3</v>
      </c>
      <c r="G238" s="1"/>
      <c r="H238" s="1">
        <f>SUM(OSRRefH22_22x_0)</f>
        <v>1039.81</v>
      </c>
      <c r="I238" s="1"/>
      <c r="J238" s="5">
        <f t="shared" ref="J238:J243" si="117">IF(H$12=0,0,H238/H$12)</f>
        <v>2.9562935338680713E-3</v>
      </c>
      <c r="K238" s="1"/>
      <c r="L238" s="1">
        <f t="shared" ref="L238:L243" si="118">+D238-H238</f>
        <v>1103.23</v>
      </c>
      <c r="M238" s="1"/>
      <c r="N238" s="5">
        <f t="shared" ref="N238:N243" si="119">IF(H238=0,0,L238/H238)</f>
        <v>1.0609919119839202</v>
      </c>
      <c r="O238" s="13"/>
      <c r="P238" s="1">
        <f>SUM(OSRRefP22_22x_0)</f>
        <v>7563.8</v>
      </c>
      <c r="Q238" s="1"/>
      <c r="R238" s="5">
        <f t="shared" ref="R238:R243" si="120">IF(P$12=0,0,P238/P$12)</f>
        <v>1.4915269416455011E-3</v>
      </c>
      <c r="S238" s="1"/>
      <c r="T238" s="1">
        <f>SUM(OSRRefT22_22x_0)</f>
        <v>3270.71</v>
      </c>
      <c r="U238" s="1"/>
      <c r="V238" s="5">
        <f t="shared" ref="V238:V243" si="121">IF(T$12=0,0,T238/T$12)</f>
        <v>6.090418742744476E-4</v>
      </c>
      <c r="W238" s="1"/>
      <c r="X238" s="1">
        <f t="shared" ref="X238:X243" si="122">+P238-T238</f>
        <v>4293.09</v>
      </c>
      <c r="Y238" s="1"/>
      <c r="Z238" s="5">
        <f t="shared" ref="Z238:Z243" si="123">IF(T238=0,0,X238/T238)</f>
        <v>1.3125865637736149</v>
      </c>
    </row>
    <row r="239" spans="1:26" s="24" customFormat="1" hidden="1" outlineLevel="2" x14ac:dyDescent="0.25">
      <c r="A239" s="26"/>
      <c r="B239" s="11" t="str">
        <f>CONCATENATE("          ", "6376", " - ", "TRAINING")</f>
        <v xml:space="preserve">          6376 - TRAINING</v>
      </c>
      <c r="C239" s="11"/>
      <c r="D239" s="6">
        <v>2143.04</v>
      </c>
      <c r="E239" s="2"/>
      <c r="F239" s="7">
        <f t="shared" si="116"/>
        <v>4.7584740890934058E-3</v>
      </c>
      <c r="G239" s="2"/>
      <c r="H239" s="6">
        <v>1039.81</v>
      </c>
      <c r="I239" s="2"/>
      <c r="J239" s="7">
        <f t="shared" si="117"/>
        <v>2.9562935338680713E-3</v>
      </c>
      <c r="K239" s="2"/>
      <c r="L239" s="6">
        <f t="shared" si="118"/>
        <v>1103.23</v>
      </c>
      <c r="M239" s="2"/>
      <c r="N239" s="7">
        <f t="shared" si="119"/>
        <v>1.0609919119839202</v>
      </c>
      <c r="O239" s="11"/>
      <c r="P239" s="6">
        <v>7563.8</v>
      </c>
      <c r="Q239" s="2"/>
      <c r="R239" s="7">
        <f t="shared" si="120"/>
        <v>1.4915269416455011E-3</v>
      </c>
      <c r="S239" s="2"/>
      <c r="T239" s="6">
        <v>3270.71</v>
      </c>
      <c r="U239" s="2"/>
      <c r="V239" s="7">
        <f t="shared" si="121"/>
        <v>6.090418742744476E-4</v>
      </c>
      <c r="W239" s="2"/>
      <c r="X239" s="6">
        <f t="shared" si="122"/>
        <v>4293.09</v>
      </c>
      <c r="Y239" s="2"/>
      <c r="Z239" s="7">
        <f t="shared" si="123"/>
        <v>1.3125865637736149</v>
      </c>
    </row>
    <row r="240" spans="1:26" s="25" customFormat="1" outlineLevel="1" collapsed="1" x14ac:dyDescent="0.25">
      <c r="A240" s="27"/>
      <c r="B240" s="13" t="str">
        <f>CONCATENATE("     ","Travel                                            ")</f>
        <v xml:space="preserve">     Travel                                            </v>
      </c>
      <c r="C240" s="13"/>
      <c r="D240" s="1">
        <f>SUM(OSRRefD22_23x_0)</f>
        <v>354.64</v>
      </c>
      <c r="E240" s="1"/>
      <c r="F240" s="5">
        <f t="shared" si="116"/>
        <v>7.8745392104491061E-4</v>
      </c>
      <c r="G240" s="1"/>
      <c r="H240" s="1">
        <f>SUM(OSRRefH22_23x_0)</f>
        <v>212.25</v>
      </c>
      <c r="I240" s="1"/>
      <c r="J240" s="5">
        <f t="shared" si="117"/>
        <v>6.0344995966907233E-4</v>
      </c>
      <c r="K240" s="1"/>
      <c r="L240" s="1">
        <f t="shared" si="118"/>
        <v>142.38999999999999</v>
      </c>
      <c r="M240" s="1"/>
      <c r="N240" s="5">
        <f t="shared" si="119"/>
        <v>0.67085983510011771</v>
      </c>
      <c r="O240" s="13"/>
      <c r="P240" s="1">
        <f>SUM(OSRRefP22_23x_0)</f>
        <v>1601.7499999999998</v>
      </c>
      <c r="Q240" s="1"/>
      <c r="R240" s="5">
        <f t="shared" si="120"/>
        <v>3.1585357608354014E-4</v>
      </c>
      <c r="S240" s="1"/>
      <c r="T240" s="1">
        <f>SUM(OSRRefT22_23x_0)</f>
        <v>1183.52</v>
      </c>
      <c r="U240" s="1"/>
      <c r="V240" s="5">
        <f t="shared" si="121"/>
        <v>2.2038433216069113E-4</v>
      </c>
      <c r="W240" s="1"/>
      <c r="X240" s="1">
        <f t="shared" si="122"/>
        <v>418.22999999999979</v>
      </c>
      <c r="Y240" s="1"/>
      <c r="Z240" s="5">
        <f t="shared" si="123"/>
        <v>0.3533780586724346</v>
      </c>
    </row>
    <row r="241" spans="1:26" s="24" customFormat="1" hidden="1" outlineLevel="2" x14ac:dyDescent="0.25">
      <c r="A241" s="26"/>
      <c r="B241" s="11" t="str">
        <f>CONCATENATE("          ", "6292", " - ", "TRAVEL/CONFERENCE")</f>
        <v xml:space="preserve">          6292 - TRAVEL/CONFERENCE</v>
      </c>
      <c r="C241" s="11"/>
      <c r="D241" s="6">
        <v>47.96</v>
      </c>
      <c r="E241" s="2"/>
      <c r="F241" s="7">
        <f t="shared" si="116"/>
        <v>1.0649190743659462E-4</v>
      </c>
      <c r="G241" s="2"/>
      <c r="H241" s="6">
        <v>110.31</v>
      </c>
      <c r="I241" s="2"/>
      <c r="J241" s="7">
        <f t="shared" si="117"/>
        <v>3.1362339246688046E-4</v>
      </c>
      <c r="K241" s="2"/>
      <c r="L241" s="6">
        <f t="shared" si="118"/>
        <v>-62.35</v>
      </c>
      <c r="M241" s="2"/>
      <c r="N241" s="7">
        <f t="shared" si="119"/>
        <v>-0.56522527422717794</v>
      </c>
      <c r="O241" s="11"/>
      <c r="P241" s="6">
        <v>688.61</v>
      </c>
      <c r="Q241" s="2"/>
      <c r="R241" s="7">
        <f t="shared" si="120"/>
        <v>1.3578893774114975E-4</v>
      </c>
      <c r="S241" s="2"/>
      <c r="T241" s="6">
        <v>628.74</v>
      </c>
      <c r="U241" s="2"/>
      <c r="V241" s="7">
        <f t="shared" si="121"/>
        <v>1.1707824540583425E-4</v>
      </c>
      <c r="W241" s="2"/>
      <c r="X241" s="6">
        <f t="shared" si="122"/>
        <v>59.870000000000005</v>
      </c>
      <c r="Y241" s="2"/>
      <c r="Z241" s="7">
        <f t="shared" si="123"/>
        <v>9.5222190412571184E-2</v>
      </c>
    </row>
    <row r="242" spans="1:26" s="24" customFormat="1" hidden="1" outlineLevel="2" x14ac:dyDescent="0.25">
      <c r="A242" s="26"/>
      <c r="B242" s="11" t="str">
        <f>CONCATENATE("          ", "6294", " - ", "TRAVEL OPERATIONAL")</f>
        <v xml:space="preserve">          6294 - TRAVEL OPERATIONAL</v>
      </c>
      <c r="C242" s="11"/>
      <c r="D242" s="6">
        <v>257.33</v>
      </c>
      <c r="E242" s="2"/>
      <c r="F242" s="7">
        <f t="shared" si="116"/>
        <v>5.7138370601874256E-4</v>
      </c>
      <c r="G242" s="2"/>
      <c r="H242" s="6">
        <v>55.7</v>
      </c>
      <c r="I242" s="2"/>
      <c r="J242" s="7">
        <f t="shared" si="117"/>
        <v>1.5836119082952808E-4</v>
      </c>
      <c r="K242" s="2"/>
      <c r="L242" s="6">
        <f t="shared" si="118"/>
        <v>201.63</v>
      </c>
      <c r="M242" s="2"/>
      <c r="N242" s="7">
        <f t="shared" si="119"/>
        <v>3.6199281867145419</v>
      </c>
      <c r="O242" s="11"/>
      <c r="P242" s="6">
        <v>693.8</v>
      </c>
      <c r="Q242" s="2"/>
      <c r="R242" s="7">
        <f t="shared" si="120"/>
        <v>1.3681236840128619E-4</v>
      </c>
      <c r="S242" s="2"/>
      <c r="T242" s="6">
        <v>393.3</v>
      </c>
      <c r="U242" s="2"/>
      <c r="V242" s="7">
        <f t="shared" si="121"/>
        <v>7.3236749559618626E-5</v>
      </c>
      <c r="W242" s="2"/>
      <c r="X242" s="6">
        <f t="shared" si="122"/>
        <v>300.49999999999994</v>
      </c>
      <c r="Y242" s="2"/>
      <c r="Z242" s="7">
        <f t="shared" si="123"/>
        <v>0.76404780066107281</v>
      </c>
    </row>
    <row r="243" spans="1:26" s="24" customFormat="1" hidden="1" outlineLevel="2" x14ac:dyDescent="0.25">
      <c r="A243" s="26"/>
      <c r="B243" s="11" t="str">
        <f>CONCATENATE("          ", "6298", " - ", "VEHICLE MILEAGE")</f>
        <v xml:space="preserve">          6298 - VEHICLE MILEAGE</v>
      </c>
      <c r="C243" s="11"/>
      <c r="D243" s="6">
        <v>49.35</v>
      </c>
      <c r="E243" s="2"/>
      <c r="F243" s="7">
        <f t="shared" si="116"/>
        <v>1.0957830758957348E-4</v>
      </c>
      <c r="G243" s="2"/>
      <c r="H243" s="6">
        <v>46.24</v>
      </c>
      <c r="I243" s="2"/>
      <c r="J243" s="7">
        <f t="shared" si="117"/>
        <v>1.3146537637266387E-4</v>
      </c>
      <c r="K243" s="2"/>
      <c r="L243" s="6">
        <f t="shared" si="118"/>
        <v>3.1099999999999994</v>
      </c>
      <c r="M243" s="2"/>
      <c r="N243" s="7">
        <f t="shared" si="119"/>
        <v>6.7257785467128017E-2</v>
      </c>
      <c r="O243" s="11"/>
      <c r="P243" s="6">
        <v>219.34</v>
      </c>
      <c r="Q243" s="2"/>
      <c r="R243" s="7">
        <f t="shared" si="120"/>
        <v>4.3252269941104238E-5</v>
      </c>
      <c r="S243" s="2"/>
      <c r="T243" s="6">
        <v>161.47999999999999</v>
      </c>
      <c r="U243" s="2"/>
      <c r="V243" s="7">
        <f t="shared" si="121"/>
        <v>3.0069337195238277E-5</v>
      </c>
      <c r="W243" s="2"/>
      <c r="X243" s="6">
        <f t="shared" si="122"/>
        <v>57.860000000000014</v>
      </c>
      <c r="Y243" s="2"/>
      <c r="Z243" s="7">
        <f t="shared" si="123"/>
        <v>0.3583106267029974</v>
      </c>
    </row>
    <row r="244" spans="1:26" s="25" customFormat="1" outlineLevel="1" collapsed="1" x14ac:dyDescent="0.25">
      <c r="A244" s="27"/>
      <c r="B244" s="13" t="str">
        <f>CONCATENATE("     ","Utilities                                         ")</f>
        <v xml:space="preserve">     Utilities                                         </v>
      </c>
      <c r="C244" s="13"/>
      <c r="D244" s="1">
        <f>SUM(OSRRefD22_24x_0)</f>
        <v>5624.26</v>
      </c>
      <c r="E244" s="1"/>
      <c r="F244" s="5">
        <f t="shared" ref="F244:F245" si="124">IF(D$12=0,0,D244/D$12)</f>
        <v>1.2488285557117215E-2</v>
      </c>
      <c r="G244" s="1"/>
      <c r="H244" s="1">
        <f>SUM(OSRRefH22_24x_0)</f>
        <v>5648.99</v>
      </c>
      <c r="I244" s="1"/>
      <c r="J244" s="5">
        <f t="shared" ref="J244:J245" si="125">IF(H$12=0,0,H244/H$12)</f>
        <v>1.6060696290558271E-2</v>
      </c>
      <c r="K244" s="1"/>
      <c r="L244" s="1">
        <f t="shared" ref="L244:L245" si="126">+D244-H244</f>
        <v>-24.729999999999563</v>
      </c>
      <c r="M244" s="1"/>
      <c r="N244" s="5">
        <f t="shared" ref="N244:N245" si="127">IF(H244=0,0,L244/H244)</f>
        <v>-4.37777372592261E-3</v>
      </c>
      <c r="O244" s="13"/>
      <c r="P244" s="1">
        <f>SUM(OSRRefP22_24x_0)</f>
        <v>22598.92</v>
      </c>
      <c r="Q244" s="1"/>
      <c r="R244" s="5">
        <f t="shared" ref="R244:R245" si="128">IF(P$12=0,0,P244/P$12)</f>
        <v>4.4563444342911422E-3</v>
      </c>
      <c r="S244" s="1"/>
      <c r="T244" s="1">
        <f>SUM(OSRRefT22_24x_0)</f>
        <v>20922.240000000002</v>
      </c>
      <c r="U244" s="1"/>
      <c r="V244" s="5">
        <f t="shared" ref="V244:V245" si="129">IF(T$12=0,0,T244/T$12)</f>
        <v>3.8959492781750196E-3</v>
      </c>
      <c r="W244" s="1"/>
      <c r="X244" s="1">
        <f t="shared" ref="X244:X245" si="130">+P244-T244</f>
        <v>1676.6799999999967</v>
      </c>
      <c r="Y244" s="1"/>
      <c r="Z244" s="5">
        <f t="shared" ref="Z244:Z245" si="131">IF(T244=0,0,X244/T244)</f>
        <v>8.0138646722339321E-2</v>
      </c>
    </row>
    <row r="245" spans="1:26" s="24" customFormat="1" hidden="1" outlineLevel="2" x14ac:dyDescent="0.25">
      <c r="A245" s="26"/>
      <c r="B245" s="11" t="str">
        <f>CONCATENATE("          ", "6274", " - ", "UTILITIES")</f>
        <v xml:space="preserve">          6274 - UTILITIES</v>
      </c>
      <c r="C245" s="11"/>
      <c r="D245" s="6">
        <v>5624.26</v>
      </c>
      <c r="E245" s="2"/>
      <c r="F245" s="7">
        <f t="shared" si="124"/>
        <v>1.2488285557117215E-2</v>
      </c>
      <c r="G245" s="2"/>
      <c r="H245" s="6">
        <v>5648.99</v>
      </c>
      <c r="I245" s="2"/>
      <c r="J245" s="7">
        <f t="shared" si="125"/>
        <v>1.6060696290558271E-2</v>
      </c>
      <c r="K245" s="2"/>
      <c r="L245" s="6">
        <f t="shared" si="126"/>
        <v>-24.729999999999563</v>
      </c>
      <c r="M245" s="2"/>
      <c r="N245" s="7">
        <f t="shared" si="127"/>
        <v>-4.37777372592261E-3</v>
      </c>
      <c r="O245" s="11"/>
      <c r="P245" s="6">
        <v>22598.92</v>
      </c>
      <c r="Q245" s="2"/>
      <c r="R245" s="7">
        <f t="shared" si="128"/>
        <v>4.4563444342911422E-3</v>
      </c>
      <c r="S245" s="2"/>
      <c r="T245" s="6">
        <v>20922.240000000002</v>
      </c>
      <c r="U245" s="2"/>
      <c r="V245" s="7">
        <f t="shared" si="129"/>
        <v>3.8959492781750196E-3</v>
      </c>
      <c r="W245" s="2"/>
      <c r="X245" s="6">
        <f t="shared" si="130"/>
        <v>1676.6799999999967</v>
      </c>
      <c r="Y245" s="2"/>
      <c r="Z245" s="7">
        <f t="shared" si="131"/>
        <v>8.0138646722339321E-2</v>
      </c>
    </row>
    <row r="246" spans="1:26" s="53" customFormat="1" x14ac:dyDescent="0.25">
      <c r="A246" s="37"/>
      <c r="B246" s="37"/>
      <c r="C246" s="37"/>
      <c r="D246" s="1"/>
      <c r="E246" s="1"/>
      <c r="F246" s="5"/>
      <c r="G246" s="1"/>
      <c r="H246" s="1"/>
      <c r="I246" s="1"/>
      <c r="J246" s="5"/>
      <c r="K246" s="1"/>
      <c r="L246" s="1"/>
      <c r="M246" s="1"/>
      <c r="N246" s="5"/>
      <c r="O246" s="37"/>
      <c r="P246" s="1"/>
      <c r="Q246" s="1"/>
      <c r="R246" s="5"/>
      <c r="S246" s="1"/>
      <c r="T246" s="1"/>
      <c r="U246" s="1"/>
      <c r="V246" s="5"/>
      <c r="W246" s="1"/>
      <c r="X246" s="1"/>
      <c r="Y246" s="1"/>
      <c r="Z246" s="5"/>
    </row>
    <row r="247" spans="1:26" s="23" customFormat="1" collapsed="1" x14ac:dyDescent="0.25">
      <c r="A247" s="10"/>
      <c r="B247" s="28" t="s">
        <v>0</v>
      </c>
      <c r="C247" s="10"/>
      <c r="D247" s="4">
        <f>SUM(OSRRefD25x_0)</f>
        <v>21403.63</v>
      </c>
      <c r="E247" s="4"/>
      <c r="F247" s="12">
        <f t="shared" ref="F247:F256" si="132">IF(D$12=0,0,D247/D$12)</f>
        <v>4.7525299932592156E-2</v>
      </c>
      <c r="G247" s="4"/>
      <c r="H247" s="4">
        <f>SUM(OSRRefH25x_0)</f>
        <v>48633.38</v>
      </c>
      <c r="I247" s="4"/>
      <c r="J247" s="12">
        <f t="shared" ref="J247:J256" si="133">IF(H$12=0,0,H247/H$12)</f>
        <v>0.1382700174302505</v>
      </c>
      <c r="K247" s="4"/>
      <c r="L247" s="4">
        <f t="shared" ref="L247:L256" si="134">+D247-H247</f>
        <v>-27229.749999999996</v>
      </c>
      <c r="M247" s="4"/>
      <c r="N247" s="12">
        <f t="shared" ref="N247:N256" si="135">IF(H247=0,0,L247/H247)</f>
        <v>-0.55989836610163635</v>
      </c>
      <c r="O247" s="10"/>
      <c r="P247" s="4">
        <f>SUM(OSRRefP25x_0)</f>
        <v>400400.64000000001</v>
      </c>
      <c r="Q247" s="4"/>
      <c r="R247" s="12">
        <f t="shared" ref="R247:R256" si="136">IF(P$12=0,0,P247/P$12)</f>
        <v>7.8956125494077226E-2</v>
      </c>
      <c r="S247" s="4"/>
      <c r="T247" s="4">
        <f>SUM(OSRRefT25x_0)</f>
        <v>367172.49</v>
      </c>
      <c r="U247" s="4"/>
      <c r="V247" s="12">
        <f t="shared" ref="V247:V256" si="137">IF(T$12=0,0,T247/T$12)</f>
        <v>6.8371522235727358E-2</v>
      </c>
      <c r="W247" s="4"/>
      <c r="X247" s="4">
        <f t="shared" ref="X247:X256" si="138">+P247-T247</f>
        <v>33228.150000000023</v>
      </c>
      <c r="Y247" s="4"/>
      <c r="Z247" s="12">
        <f t="shared" ref="Z247:Z256" si="139">IF(T247=0,0,X247/T247)</f>
        <v>9.0497384485422702E-2</v>
      </c>
    </row>
    <row r="248" spans="1:26" s="24" customFormat="1" hidden="1" outlineLevel="1" x14ac:dyDescent="0.25">
      <c r="A248" s="44"/>
      <c r="B248" s="11" t="str">
        <f>CONCATENATE("          ", "4098", " - ", "TAXABLE SALES-GRAD RENTALS")</f>
        <v xml:space="preserve">          4098 - TAXABLE SALES-GRAD RENTALS</v>
      </c>
      <c r="C248" s="11"/>
      <c r="D248" s="2">
        <f t="shared" ref="D248:D250" si="140">0</f>
        <v>0</v>
      </c>
      <c r="E248" s="2"/>
      <c r="F248" s="19">
        <f t="shared" si="132"/>
        <v>0</v>
      </c>
      <c r="G248" s="2"/>
      <c r="H248" s="2">
        <f>--980.5</f>
        <v>980.5</v>
      </c>
      <c r="I248" s="2"/>
      <c r="J248" s="19">
        <f t="shared" si="133"/>
        <v>2.7876687182828053E-3</v>
      </c>
      <c r="K248" s="2"/>
      <c r="L248" s="2">
        <f t="shared" si="134"/>
        <v>-980.5</v>
      </c>
      <c r="M248" s="2"/>
      <c r="N248" s="19">
        <f t="shared" si="135"/>
        <v>-1</v>
      </c>
      <c r="O248" s="11"/>
      <c r="P248" s="2">
        <f>--1626.85</f>
        <v>1626.85</v>
      </c>
      <c r="Q248" s="2"/>
      <c r="R248" s="19">
        <f t="shared" si="136"/>
        <v>3.2080311549961436E-4</v>
      </c>
      <c r="S248" s="2"/>
      <c r="T248" s="2">
        <f>--980.5</f>
        <v>980.5</v>
      </c>
      <c r="U248" s="2"/>
      <c r="V248" s="19">
        <f t="shared" si="137"/>
        <v>1.8257979390593962E-4</v>
      </c>
      <c r="W248" s="2"/>
      <c r="X248" s="2">
        <f t="shared" si="138"/>
        <v>646.34999999999991</v>
      </c>
      <c r="Y248" s="2"/>
      <c r="Z248" s="19">
        <f t="shared" si="139"/>
        <v>0.65920448750637417</v>
      </c>
    </row>
    <row r="249" spans="1:26" s="24" customFormat="1" hidden="1" outlineLevel="1" x14ac:dyDescent="0.25">
      <c r="A249" s="44"/>
      <c r="B249" s="11" t="str">
        <f>CONCATENATE("          ", "4197", " - ", "NON-TAXABLE SALES-RETURNED CHE")</f>
        <v xml:space="preserve">          4197 - NON-TAXABLE SALES-RETURNED CHE</v>
      </c>
      <c r="C249" s="11"/>
      <c r="D249" s="2">
        <f t="shared" si="140"/>
        <v>0</v>
      </c>
      <c r="E249" s="2"/>
      <c r="F249" s="19">
        <f t="shared" si="132"/>
        <v>0</v>
      </c>
      <c r="G249" s="2"/>
      <c r="H249" s="2">
        <f>0</f>
        <v>0</v>
      </c>
      <c r="I249" s="2"/>
      <c r="J249" s="19">
        <f t="shared" si="133"/>
        <v>0</v>
      </c>
      <c r="K249" s="2"/>
      <c r="L249" s="2">
        <f t="shared" si="134"/>
        <v>0</v>
      </c>
      <c r="M249" s="2"/>
      <c r="N249" s="19">
        <f t="shared" si="135"/>
        <v>0</v>
      </c>
      <c r="O249" s="11"/>
      <c r="P249" s="2">
        <f>--30</f>
        <v>30</v>
      </c>
      <c r="Q249" s="2"/>
      <c r="R249" s="19">
        <f t="shared" si="136"/>
        <v>5.9157841626384927E-6</v>
      </c>
      <c r="S249" s="2"/>
      <c r="T249" s="2">
        <f>--260</f>
        <v>260</v>
      </c>
      <c r="U249" s="2"/>
      <c r="V249" s="19">
        <f t="shared" si="137"/>
        <v>4.8414835711926881E-5</v>
      </c>
      <c r="W249" s="2"/>
      <c r="X249" s="2">
        <f t="shared" si="138"/>
        <v>-230</v>
      </c>
      <c r="Y249" s="2"/>
      <c r="Z249" s="19">
        <f t="shared" si="139"/>
        <v>-0.88461538461538458</v>
      </c>
    </row>
    <row r="250" spans="1:26" s="24" customFormat="1" hidden="1" outlineLevel="1" x14ac:dyDescent="0.25">
      <c r="A250" s="44"/>
      <c r="B250" s="11" t="str">
        <f>CONCATENATE("          ", "4198", " - ", "NON-TAXABLE SALES-GRAD RENTALS")</f>
        <v xml:space="preserve">          4198 - NON-TAXABLE SALES-GRAD RENTALS</v>
      </c>
      <c r="C250" s="11"/>
      <c r="D250" s="2">
        <f t="shared" si="140"/>
        <v>0</v>
      </c>
      <c r="E250" s="2"/>
      <c r="F250" s="19">
        <f t="shared" si="132"/>
        <v>0</v>
      </c>
      <c r="G250" s="2"/>
      <c r="H250" s="2">
        <f>--15</f>
        <v>15</v>
      </c>
      <c r="I250" s="2"/>
      <c r="J250" s="19">
        <f t="shared" si="133"/>
        <v>4.2646640259298403E-5</v>
      </c>
      <c r="K250" s="2"/>
      <c r="L250" s="2">
        <f t="shared" si="134"/>
        <v>-15</v>
      </c>
      <c r="M250" s="2"/>
      <c r="N250" s="19">
        <f t="shared" si="135"/>
        <v>-1</v>
      </c>
      <c r="O250" s="11"/>
      <c r="P250" s="2">
        <f>--495</f>
        <v>495</v>
      </c>
      <c r="Q250" s="2"/>
      <c r="R250" s="19">
        <f t="shared" si="136"/>
        <v>9.7610438683535131E-5</v>
      </c>
      <c r="S250" s="2"/>
      <c r="T250" s="2">
        <f>--450</f>
        <v>450</v>
      </c>
      <c r="U250" s="2"/>
      <c r="V250" s="19">
        <f t="shared" si="137"/>
        <v>8.3794907962950367E-5</v>
      </c>
      <c r="W250" s="2"/>
      <c r="X250" s="2">
        <f t="shared" si="138"/>
        <v>45</v>
      </c>
      <c r="Y250" s="2"/>
      <c r="Z250" s="19">
        <f t="shared" si="139"/>
        <v>0.1</v>
      </c>
    </row>
    <row r="251" spans="1:26" s="24" customFormat="1" hidden="1" outlineLevel="1" x14ac:dyDescent="0.25">
      <c r="A251" s="44"/>
      <c r="B251" s="11" t="str">
        <f>CONCATENATE("          ", "9150", " - ", "MISC. INCOME")</f>
        <v xml:space="preserve">          9150 - MISC. INCOME</v>
      </c>
      <c r="C251" s="11"/>
      <c r="D251" s="2">
        <f>--19494.41</f>
        <v>19494.41</v>
      </c>
      <c r="E251" s="2"/>
      <c r="F251" s="19">
        <f t="shared" si="132"/>
        <v>4.3286007198728618E-2</v>
      </c>
      <c r="G251" s="2"/>
      <c r="H251" s="2">
        <f>--47600.09</f>
        <v>47600.09</v>
      </c>
      <c r="I251" s="2"/>
      <c r="J251" s="19">
        <f t="shared" si="133"/>
        <v>0.13533226096934847</v>
      </c>
      <c r="K251" s="2"/>
      <c r="L251" s="2">
        <f t="shared" si="134"/>
        <v>-28105.679999999997</v>
      </c>
      <c r="M251" s="2"/>
      <c r="N251" s="19">
        <f t="shared" si="135"/>
        <v>-0.59045434577959832</v>
      </c>
      <c r="O251" s="11"/>
      <c r="P251" s="2">
        <f>--226144.65</f>
        <v>226144.65</v>
      </c>
      <c r="Q251" s="2"/>
      <c r="R251" s="19">
        <f t="shared" si="136"/>
        <v>4.4594097964514169E-2</v>
      </c>
      <c r="S251" s="2"/>
      <c r="T251" s="2">
        <f>--361287.31</f>
        <v>361287.31</v>
      </c>
      <c r="U251" s="2"/>
      <c r="V251" s="19">
        <f t="shared" si="137"/>
        <v>6.7275637532515378E-2</v>
      </c>
      <c r="W251" s="2"/>
      <c r="X251" s="2">
        <f t="shared" si="138"/>
        <v>-135142.66</v>
      </c>
      <c r="Y251" s="2"/>
      <c r="Z251" s="19">
        <f t="shared" si="139"/>
        <v>-0.37405869583407181</v>
      </c>
    </row>
    <row r="252" spans="1:26" s="24" customFormat="1" hidden="1" outlineLevel="1" x14ac:dyDescent="0.25">
      <c r="A252" s="44"/>
      <c r="B252" s="11" t="str">
        <f>CONCATENATE("          ", "9151", " - ", "MISC. INCOME")</f>
        <v xml:space="preserve">          9151 - MISC. INCOME</v>
      </c>
      <c r="C252" s="11"/>
      <c r="D252" s="2">
        <f>0</f>
        <v>0</v>
      </c>
      <c r="E252" s="2"/>
      <c r="F252" s="19">
        <f t="shared" si="132"/>
        <v>0</v>
      </c>
      <c r="G252" s="2"/>
      <c r="H252" s="2">
        <f>0</f>
        <v>0</v>
      </c>
      <c r="I252" s="2"/>
      <c r="J252" s="19">
        <f t="shared" si="133"/>
        <v>0</v>
      </c>
      <c r="K252" s="2"/>
      <c r="L252" s="2">
        <f t="shared" si="134"/>
        <v>0</v>
      </c>
      <c r="M252" s="2"/>
      <c r="N252" s="19">
        <f t="shared" si="135"/>
        <v>0</v>
      </c>
      <c r="O252" s="11"/>
      <c r="P252" s="2">
        <f>--87224.27</f>
        <v>87224.27</v>
      </c>
      <c r="Q252" s="2"/>
      <c r="R252" s="19">
        <f t="shared" si="136"/>
        <v>1.7199998502123462E-2</v>
      </c>
      <c r="S252" s="2"/>
      <c r="T252" s="2">
        <f>--649.77</f>
        <v>649.77</v>
      </c>
      <c r="U252" s="2"/>
      <c r="V252" s="19">
        <f t="shared" si="137"/>
        <v>1.209942607713028E-4</v>
      </c>
      <c r="W252" s="2"/>
      <c r="X252" s="2">
        <f t="shared" si="138"/>
        <v>86574.5</v>
      </c>
      <c r="Y252" s="2"/>
      <c r="Z252" s="19">
        <f t="shared" si="139"/>
        <v>133.23868445757731</v>
      </c>
    </row>
    <row r="253" spans="1:26" s="24" customFormat="1" hidden="1" outlineLevel="1" x14ac:dyDescent="0.25">
      <c r="A253" s="44"/>
      <c r="B253" s="11" t="str">
        <f>CONCATENATE("          ", "9152", " - ", "MISC. INCOME")</f>
        <v xml:space="preserve">          9152 - MISC. INCOME</v>
      </c>
      <c r="C253" s="11"/>
      <c r="D253" s="2">
        <f>--154.22</f>
        <v>154.22</v>
      </c>
      <c r="E253" s="2"/>
      <c r="F253" s="19">
        <f t="shared" si="132"/>
        <v>3.4243498675712303E-4</v>
      </c>
      <c r="G253" s="2"/>
      <c r="H253" s="2">
        <f>--37.79</f>
        <v>37.79</v>
      </c>
      <c r="I253" s="2"/>
      <c r="J253" s="19">
        <f t="shared" si="133"/>
        <v>1.0744110235992577E-4</v>
      </c>
      <c r="K253" s="2"/>
      <c r="L253" s="2">
        <f t="shared" si="134"/>
        <v>116.43</v>
      </c>
      <c r="M253" s="2"/>
      <c r="N253" s="19">
        <f t="shared" si="135"/>
        <v>3.0809738025932787</v>
      </c>
      <c r="O253" s="11"/>
      <c r="P253" s="2">
        <f>--848.32</f>
        <v>848.32</v>
      </c>
      <c r="Q253" s="2"/>
      <c r="R253" s="19">
        <f t="shared" si="136"/>
        <v>1.6728260069498289E-4</v>
      </c>
      <c r="S253" s="2"/>
      <c r="T253" s="2">
        <f>--3254.91</f>
        <v>3254.91</v>
      </c>
      <c r="U253" s="2"/>
      <c r="V253" s="19">
        <f t="shared" si="137"/>
        <v>6.0609974195041498E-4</v>
      </c>
      <c r="W253" s="2"/>
      <c r="X253" s="2">
        <f t="shared" si="138"/>
        <v>-2406.5899999999997</v>
      </c>
      <c r="Y253" s="2"/>
      <c r="Z253" s="19">
        <f t="shared" si="139"/>
        <v>-0.73937220998430053</v>
      </c>
    </row>
    <row r="254" spans="1:26" s="24" customFormat="1" hidden="1" outlineLevel="1" x14ac:dyDescent="0.25">
      <c r="A254" s="44"/>
      <c r="B254" s="11" t="str">
        <f>CONCATENATE("          ", "9153", " - ", "MISC. INCOME")</f>
        <v xml:space="preserve">          9153 - MISC. INCOME</v>
      </c>
      <c r="C254" s="11"/>
      <c r="D254" s="2">
        <f>--450</f>
        <v>450</v>
      </c>
      <c r="E254" s="2"/>
      <c r="F254" s="19">
        <f t="shared" si="132"/>
        <v>9.9919429412984951E-4</v>
      </c>
      <c r="G254" s="2"/>
      <c r="H254" s="2">
        <f t="shared" ref="H254:H256" si="141">0</f>
        <v>0</v>
      </c>
      <c r="I254" s="2"/>
      <c r="J254" s="19">
        <f t="shared" si="133"/>
        <v>0</v>
      </c>
      <c r="K254" s="2"/>
      <c r="L254" s="2">
        <f t="shared" si="134"/>
        <v>450</v>
      </c>
      <c r="M254" s="2"/>
      <c r="N254" s="19">
        <f t="shared" si="135"/>
        <v>0</v>
      </c>
      <c r="O254" s="11"/>
      <c r="P254" s="2">
        <f>--450</f>
        <v>450</v>
      </c>
      <c r="Q254" s="2"/>
      <c r="R254" s="19">
        <f t="shared" si="136"/>
        <v>8.8736762439577387E-5</v>
      </c>
      <c r="S254" s="2"/>
      <c r="T254" s="2">
        <f>0</f>
        <v>0</v>
      </c>
      <c r="U254" s="2"/>
      <c r="V254" s="19">
        <f t="shared" si="137"/>
        <v>0</v>
      </c>
      <c r="W254" s="2"/>
      <c r="X254" s="2">
        <f t="shared" si="138"/>
        <v>450</v>
      </c>
      <c r="Y254" s="2"/>
      <c r="Z254" s="19">
        <f t="shared" si="139"/>
        <v>0</v>
      </c>
    </row>
    <row r="255" spans="1:26" s="24" customFormat="1" hidden="1" outlineLevel="1" x14ac:dyDescent="0.25">
      <c r="A255" s="44"/>
      <c r="B255" s="11" t="str">
        <f>CONCATENATE("          ", "9160", " - ", "MISC. INCOME")</f>
        <v xml:space="preserve">          9160 - MISC. INCOME</v>
      </c>
      <c r="C255" s="11"/>
      <c r="D255" s="2">
        <f>--1305</f>
        <v>1305</v>
      </c>
      <c r="E255" s="2"/>
      <c r="F255" s="19">
        <f t="shared" si="132"/>
        <v>2.8976634529765634E-3</v>
      </c>
      <c r="G255" s="2"/>
      <c r="H255" s="2">
        <f t="shared" si="141"/>
        <v>0</v>
      </c>
      <c r="I255" s="2"/>
      <c r="J255" s="19">
        <f t="shared" si="133"/>
        <v>0</v>
      </c>
      <c r="K255" s="2"/>
      <c r="L255" s="2">
        <f t="shared" si="134"/>
        <v>1305</v>
      </c>
      <c r="M255" s="2"/>
      <c r="N255" s="19">
        <f t="shared" si="135"/>
        <v>0</v>
      </c>
      <c r="O255" s="11"/>
      <c r="P255" s="2">
        <f>--22475</f>
        <v>22475</v>
      </c>
      <c r="Q255" s="2"/>
      <c r="R255" s="19">
        <f t="shared" si="136"/>
        <v>4.4319083018433377E-3</v>
      </c>
      <c r="S255" s="2"/>
      <c r="T255" s="2">
        <f>--290</f>
        <v>290</v>
      </c>
      <c r="U255" s="2"/>
      <c r="V255" s="19">
        <f t="shared" si="137"/>
        <v>5.40011629094569E-5</v>
      </c>
      <c r="W255" s="2"/>
      <c r="X255" s="2">
        <f t="shared" si="138"/>
        <v>22185</v>
      </c>
      <c r="Y255" s="2"/>
      <c r="Z255" s="19">
        <f t="shared" si="139"/>
        <v>76.5</v>
      </c>
    </row>
    <row r="256" spans="1:26" s="24" customFormat="1" hidden="1" outlineLevel="1" x14ac:dyDescent="0.25">
      <c r="A256" s="44"/>
      <c r="B256" s="11" t="str">
        <f>CONCATENATE("          ", "9163", " - ", "MISC. INCOME")</f>
        <v xml:space="preserve">          9163 - MISC. INCOME</v>
      </c>
      <c r="C256" s="11"/>
      <c r="D256" s="2">
        <f>0</f>
        <v>0</v>
      </c>
      <c r="E256" s="2"/>
      <c r="F256" s="19">
        <f t="shared" si="132"/>
        <v>0</v>
      </c>
      <c r="G256" s="2"/>
      <c r="H256" s="2">
        <f t="shared" si="141"/>
        <v>0</v>
      </c>
      <c r="I256" s="2"/>
      <c r="J256" s="19">
        <f t="shared" si="133"/>
        <v>0</v>
      </c>
      <c r="K256" s="2"/>
      <c r="L256" s="2">
        <f t="shared" si="134"/>
        <v>0</v>
      </c>
      <c r="M256" s="2"/>
      <c r="N256" s="19">
        <f t="shared" si="135"/>
        <v>0</v>
      </c>
      <c r="O256" s="11"/>
      <c r="P256" s="2">
        <f>--61106.55</f>
        <v>61106.55</v>
      </c>
      <c r="Q256" s="2"/>
      <c r="R256" s="19">
        <f t="shared" si="136"/>
        <v>1.2049772024115907E-2</v>
      </c>
      <c r="S256" s="2"/>
      <c r="T256" s="2">
        <f>0</f>
        <v>0</v>
      </c>
      <c r="U256" s="2"/>
      <c r="V256" s="19">
        <f t="shared" si="137"/>
        <v>0</v>
      </c>
      <c r="W256" s="2"/>
      <c r="X256" s="2">
        <f t="shared" si="138"/>
        <v>61106.55</v>
      </c>
      <c r="Y256" s="2"/>
      <c r="Z256" s="19">
        <f t="shared" si="139"/>
        <v>0</v>
      </c>
    </row>
    <row r="257" spans="1:26" x14ac:dyDescent="0.25">
      <c r="A257" s="9"/>
      <c r="B257" s="10"/>
      <c r="C257" s="10"/>
      <c r="D257" s="3"/>
      <c r="E257" s="3"/>
      <c r="F257" s="8"/>
      <c r="G257" s="3"/>
      <c r="H257" s="3"/>
      <c r="I257" s="3"/>
      <c r="J257" s="8"/>
      <c r="K257" s="3"/>
      <c r="L257" s="3"/>
      <c r="M257" s="3"/>
      <c r="N257" s="8"/>
      <c r="O257" s="10"/>
      <c r="P257" s="3"/>
      <c r="Q257" s="3"/>
      <c r="R257" s="8"/>
      <c r="S257" s="3"/>
      <c r="T257" s="3"/>
      <c r="U257" s="3"/>
      <c r="V257" s="8"/>
      <c r="W257" s="3"/>
      <c r="X257" s="3"/>
      <c r="Y257" s="3"/>
      <c r="Z257" s="8"/>
    </row>
    <row r="258" spans="1:26" s="23" customFormat="1" x14ac:dyDescent="0.25">
      <c r="A258" s="10"/>
      <c r="B258" s="29" t="s">
        <v>3</v>
      </c>
      <c r="C258" s="29"/>
      <c r="D258" s="21">
        <f>+D158-D160+D247</f>
        <v>-112284.21000000034</v>
      </c>
      <c r="E258" s="14"/>
      <c r="F258" s="20">
        <f>IF(D$12=0,0,D258/D$12)</f>
        <v>-0.24931942656195138</v>
      </c>
      <c r="G258" s="14"/>
      <c r="H258" s="21">
        <f>+H158-H160+H247</f>
        <v>-114253.73000000013</v>
      </c>
      <c r="I258" s="14"/>
      <c r="J258" s="20">
        <f>IF(H$12=0,0,H258/H$12)</f>
        <v>-0.32483584810620098</v>
      </c>
      <c r="K258" s="15"/>
      <c r="L258" s="21">
        <f>+D258-H258</f>
        <v>1969.5199999997858</v>
      </c>
      <c r="M258" s="15"/>
      <c r="N258" s="20">
        <f>IF(H258=0,0,L258/H258)</f>
        <v>-1.7238124304561293E-2</v>
      </c>
      <c r="O258" s="28"/>
      <c r="P258" s="21">
        <f>+P158-P160+P247</f>
        <v>549311.93999999657</v>
      </c>
      <c r="Q258" s="14"/>
      <c r="R258" s="20">
        <f>IF(P$12=0,0,P258/P$12)</f>
        <v>0.10832036250000686</v>
      </c>
      <c r="S258" s="14"/>
      <c r="T258" s="21">
        <f>+T158-T160+T247</f>
        <v>441726.8300000038</v>
      </c>
      <c r="U258" s="14"/>
      <c r="V258" s="20">
        <f>IF(T$12=0,0,T258/T$12)</f>
        <v>8.2254353476924752E-2</v>
      </c>
      <c r="W258" s="15"/>
      <c r="X258" s="21">
        <f>+P258-T258</f>
        <v>107585.10999999277</v>
      </c>
      <c r="Y258" s="15"/>
      <c r="Z258" s="20">
        <f>IF(T258=0,0,X258/T258)</f>
        <v>0.24355575141313432</v>
      </c>
    </row>
    <row r="259" spans="1:26" x14ac:dyDescent="0.25">
      <c r="A259" s="9"/>
      <c r="B259" s="10"/>
      <c r="C259" s="9"/>
      <c r="D259" s="3"/>
      <c r="E259" s="3"/>
      <c r="F259" s="8"/>
      <c r="G259" s="3"/>
      <c r="H259" s="3"/>
      <c r="I259" s="3"/>
      <c r="J259" s="8"/>
      <c r="K259" s="3"/>
      <c r="L259" s="3"/>
      <c r="M259" s="3"/>
      <c r="N259" s="8"/>
      <c r="P259" s="3"/>
      <c r="Q259" s="3"/>
      <c r="R259" s="8"/>
      <c r="S259" s="3"/>
      <c r="T259" s="3"/>
      <c r="U259" s="3"/>
      <c r="V259" s="8"/>
      <c r="W259" s="3"/>
      <c r="X259" s="3"/>
      <c r="Y259" s="3"/>
      <c r="Z259" s="8"/>
    </row>
    <row r="260" spans="1:26" s="23" customFormat="1" x14ac:dyDescent="0.25">
      <c r="A260" s="51"/>
      <c r="B260" s="10" t="s">
        <v>13</v>
      </c>
      <c r="C260" s="10"/>
      <c r="D260" s="4">
        <v>71860.39</v>
      </c>
      <c r="E260" s="4"/>
      <c r="F260" s="12">
        <f>IF(D$12=0,0,D260/D$12)</f>
        <v>0.15956109258210152</v>
      </c>
      <c r="G260" s="4"/>
      <c r="H260" s="4">
        <v>104170.56999999999</v>
      </c>
      <c r="I260" s="4"/>
      <c r="J260" s="12">
        <f>IF(H$12=0,0,H260/H$12)</f>
        <v>0.29616832162640411</v>
      </c>
      <c r="K260" s="4"/>
      <c r="L260" s="4">
        <f>+D260-H260</f>
        <v>-32310.179999999993</v>
      </c>
      <c r="M260" s="4"/>
      <c r="N260" s="12">
        <f>IF(H260=0,0,L260/H260)</f>
        <v>-0.31016610545569634</v>
      </c>
      <c r="O260" s="10"/>
      <c r="P260" s="4">
        <v>537003.53</v>
      </c>
      <c r="Q260" s="4"/>
      <c r="R260" s="12">
        <f>IF(P$12=0,0,P260/P$12)</f>
        <v>0.10589323260183217</v>
      </c>
      <c r="S260" s="4"/>
      <c r="T260" s="4">
        <v>565071.04</v>
      </c>
      <c r="U260" s="4"/>
      <c r="V260" s="12">
        <f>IF(T$12=0,0,T260/T$12)</f>
        <v>0.10522239064295255</v>
      </c>
      <c r="W260" s="4"/>
      <c r="X260" s="4">
        <f>+P260-T260</f>
        <v>-28067.510000000009</v>
      </c>
      <c r="Y260" s="4"/>
      <c r="Z260" s="12">
        <f>IF(T260=0,0,X260/T260)</f>
        <v>-4.9670763520282345E-2</v>
      </c>
    </row>
    <row r="261" spans="1:26" x14ac:dyDescent="0.25">
      <c r="A261" s="9"/>
      <c r="B261" s="10"/>
      <c r="C261" s="10"/>
      <c r="D261" s="3"/>
      <c r="E261" s="3"/>
      <c r="F261" s="8"/>
      <c r="G261" s="3"/>
      <c r="H261" s="3"/>
      <c r="I261" s="3"/>
      <c r="J261" s="8"/>
      <c r="K261" s="3"/>
      <c r="L261" s="3"/>
      <c r="M261" s="3"/>
      <c r="N261" s="8"/>
      <c r="O261" s="10"/>
      <c r="P261" s="3"/>
      <c r="Q261" s="3"/>
      <c r="R261" s="8"/>
      <c r="S261" s="3"/>
      <c r="T261" s="3"/>
      <c r="U261" s="3"/>
      <c r="V261" s="8"/>
      <c r="W261" s="3"/>
      <c r="X261" s="3"/>
      <c r="Y261" s="3"/>
      <c r="Z261" s="8"/>
    </row>
    <row r="262" spans="1:26" s="23" customFormat="1" ht="15.75" thickBot="1" x14ac:dyDescent="0.3">
      <c r="A262" s="10"/>
      <c r="B262" s="29" t="s">
        <v>4</v>
      </c>
      <c r="C262" s="29"/>
      <c r="D262" s="31">
        <f>+D258-D260</f>
        <v>-184144.60000000033</v>
      </c>
      <c r="E262" s="14"/>
      <c r="F262" s="32">
        <f>IF(D$12=0,0,D262/D$12)</f>
        <v>-0.40888051914405288</v>
      </c>
      <c r="G262" s="14"/>
      <c r="H262" s="31">
        <f>+H258-H260</f>
        <v>-218424.3000000001</v>
      </c>
      <c r="I262" s="14"/>
      <c r="J262" s="32">
        <f>IF(H$12=0,0,H262/H$12)</f>
        <v>-0.62100416973260508</v>
      </c>
      <c r="K262" s="15"/>
      <c r="L262" s="31">
        <f>D262-H262</f>
        <v>34279.699999999779</v>
      </c>
      <c r="M262" s="15"/>
      <c r="N262" s="32">
        <f>IF(H262=0,0,L262/H262)</f>
        <v>-0.15694087150559605</v>
      </c>
      <c r="O262" s="28"/>
      <c r="P262" s="31">
        <f>+P258-P260</f>
        <v>12308.40999999654</v>
      </c>
      <c r="Q262" s="14"/>
      <c r="R262" s="32">
        <f>IF(P$12=0,0,P262/P$12)</f>
        <v>2.4271298981746927E-3</v>
      </c>
      <c r="S262" s="14"/>
      <c r="T262" s="31">
        <f>+T258-T260</f>
        <v>-123344.20999999624</v>
      </c>
      <c r="U262" s="14"/>
      <c r="V262" s="32">
        <f>IF(T$12=0,0,T262/T$12)</f>
        <v>-2.2968037166027792E-2</v>
      </c>
      <c r="W262" s="15"/>
      <c r="X262" s="31">
        <f>P262-T262</f>
        <v>135652.61999999278</v>
      </c>
      <c r="Y262" s="15"/>
      <c r="Z262" s="32">
        <f>IF(T262=0,0,X262/T262)</f>
        <v>-1.0997891185974349</v>
      </c>
    </row>
    <row r="263" spans="1:26" ht="15.75" thickTop="1" x14ac:dyDescent="0.25">
      <c r="A263" s="9"/>
      <c r="B263" s="9"/>
      <c r="C263" s="9"/>
      <c r="D263" s="3"/>
      <c r="E263" s="3"/>
      <c r="F263" s="8"/>
      <c r="G263" s="3"/>
      <c r="H263" s="3"/>
      <c r="I263" s="3"/>
      <c r="J263" s="8"/>
      <c r="K263" s="3"/>
      <c r="L263" s="3"/>
      <c r="M263" s="3"/>
      <c r="N263" s="8"/>
      <c r="P263" s="3"/>
      <c r="Q263" s="3"/>
      <c r="R263" s="8"/>
      <c r="S263" s="3"/>
      <c r="T263" s="3"/>
      <c r="U263" s="3"/>
      <c r="V263" s="8"/>
      <c r="W263" s="3"/>
      <c r="X263" s="3"/>
      <c r="Y263" s="3"/>
      <c r="Z263" s="8"/>
    </row>
    <row r="264" spans="1:26" x14ac:dyDescent="0.25">
      <c r="A264" s="9"/>
      <c r="B264" s="9"/>
      <c r="C264" s="9"/>
      <c r="D264" s="3"/>
      <c r="E264" s="3"/>
      <c r="F264" s="8"/>
      <c r="G264" s="3"/>
      <c r="H264" s="3"/>
      <c r="I264" s="3"/>
      <c r="J264" s="8"/>
      <c r="K264" s="3"/>
      <c r="L264" s="3"/>
      <c r="M264" s="3"/>
      <c r="N264" s="8"/>
      <c r="P264" s="3"/>
      <c r="Q264" s="3"/>
      <c r="R264" s="8"/>
      <c r="S264" s="3"/>
      <c r="T264" s="3"/>
      <c r="U264" s="3"/>
      <c r="V264" s="8"/>
      <c r="W264" s="3"/>
      <c r="X264" s="3"/>
      <c r="Y264" s="3"/>
      <c r="Z264" s="8"/>
    </row>
    <row r="265" spans="1:26" s="23" customFormat="1" ht="15.75" thickBot="1" x14ac:dyDescent="0.3">
      <c r="A265" s="10"/>
      <c r="B265" s="29" t="s">
        <v>5</v>
      </c>
      <c r="C265" s="29"/>
      <c r="D265" s="34">
        <f>SUM(D262:D264)</f>
        <v>-184144.60000000033</v>
      </c>
      <c r="E265" s="14"/>
      <c r="F265" s="30">
        <f>IF(D$12=0,0,D265/D$12)</f>
        <v>-0.40888051914405288</v>
      </c>
      <c r="G265" s="14"/>
      <c r="H265" s="34">
        <f>SUM(H262:H264)</f>
        <v>-218424.3000000001</v>
      </c>
      <c r="I265" s="14"/>
      <c r="J265" s="30">
        <f>IF(H$12=0,0,H265/H$12)</f>
        <v>-0.62100416973260508</v>
      </c>
      <c r="K265" s="15"/>
      <c r="L265" s="34">
        <f>+D265-H265</f>
        <v>34279.699999999779</v>
      </c>
      <c r="M265" s="15"/>
      <c r="N265" s="30">
        <f>IF(H265=0,0,L265/H265)</f>
        <v>-0.15694087150559605</v>
      </c>
      <c r="O265" s="28"/>
      <c r="P265" s="34">
        <f>SUM(P262:P264)</f>
        <v>12308.40999999654</v>
      </c>
      <c r="Q265" s="14"/>
      <c r="R265" s="30">
        <f>IF(P$12=0,0,P265/P$12)</f>
        <v>2.4271298981746927E-3</v>
      </c>
      <c r="S265" s="14"/>
      <c r="T265" s="34">
        <f>SUM(T262:T264)</f>
        <v>-123344.20999999624</v>
      </c>
      <c r="U265" s="14"/>
      <c r="V265" s="30">
        <f>IF(T$12=0,0,T265/T$12)</f>
        <v>-2.2968037166027792E-2</v>
      </c>
      <c r="W265" s="15"/>
      <c r="X265" s="34">
        <f>+P265-T265</f>
        <v>135652.61999999278</v>
      </c>
      <c r="Y265" s="15"/>
      <c r="Z265" s="30">
        <f>IF(T265=0,0,X265/T265)</f>
        <v>-1.0997891185974349</v>
      </c>
    </row>
    <row r="266" spans="1:26" ht="15.75" thickTop="1" x14ac:dyDescent="0.25">
      <c r="A266" s="9"/>
      <c r="C266" s="9"/>
      <c r="D266" s="18"/>
      <c r="E266" s="18"/>
      <c r="G266" s="18"/>
      <c r="H266" s="18"/>
      <c r="I266" s="18"/>
      <c r="J266" s="43"/>
      <c r="K266" s="18"/>
      <c r="L266" s="18"/>
      <c r="M266" s="18"/>
      <c r="P266" s="18"/>
      <c r="Q266" s="18"/>
      <c r="R266" s="43"/>
      <c r="S266" s="18"/>
      <c r="T266" s="18"/>
      <c r="U266" s="18"/>
      <c r="V266" s="43"/>
      <c r="W266" s="18"/>
      <c r="X266" s="18"/>
    </row>
    <row r="267" spans="1:26" x14ac:dyDescent="0.25">
      <c r="A267" s="9"/>
      <c r="B267" s="59">
        <v>43815.491218750001</v>
      </c>
      <c r="D267" s="18"/>
      <c r="E267" s="18"/>
      <c r="G267" s="18"/>
      <c r="H267" s="18"/>
      <c r="I267" s="18"/>
      <c r="J267" s="43"/>
      <c r="K267" s="18"/>
      <c r="L267" s="18"/>
      <c r="M267" s="18"/>
      <c r="P267" s="18"/>
      <c r="Q267" s="18"/>
      <c r="R267" s="43"/>
      <c r="S267" s="18"/>
      <c r="T267" s="18"/>
      <c r="U267" s="18"/>
      <c r="V267" s="43"/>
      <c r="W267" s="18"/>
      <c r="X267" s="18"/>
    </row>
    <row r="268" spans="1:26" x14ac:dyDescent="0.25">
      <c r="A268" s="9"/>
      <c r="B268" s="62" t="s">
        <v>313</v>
      </c>
      <c r="D268" s="18"/>
      <c r="E268" s="18"/>
      <c r="G268" s="18"/>
      <c r="H268" s="18"/>
      <c r="I268" s="18"/>
      <c r="J268" s="43"/>
      <c r="K268" s="18"/>
      <c r="L268" s="18"/>
      <c r="M268" s="18"/>
      <c r="P268" s="18"/>
      <c r="Q268" s="18"/>
      <c r="R268" s="43"/>
      <c r="S268" s="18"/>
      <c r="T268" s="18"/>
      <c r="U268" s="18"/>
      <c r="V268" s="43"/>
      <c r="W268" s="18"/>
      <c r="X268" s="18"/>
    </row>
    <row r="269" spans="1:26" x14ac:dyDescent="0.25">
      <c r="A269" s="9"/>
      <c r="B269" s="61"/>
      <c r="D269" s="18"/>
      <c r="E269" s="18"/>
      <c r="G269" s="18"/>
      <c r="H269" s="18"/>
      <c r="I269" s="18"/>
      <c r="J269" s="43"/>
      <c r="K269" s="18"/>
      <c r="L269" s="18"/>
      <c r="M269" s="18"/>
      <c r="P269" s="18"/>
      <c r="Q269" s="18"/>
      <c r="R269" s="43"/>
      <c r="S269" s="18"/>
      <c r="T269" s="18"/>
      <c r="U269" s="18"/>
      <c r="V269" s="43"/>
      <c r="W269" s="18"/>
      <c r="X269" s="18"/>
    </row>
    <row r="270" spans="1:26" x14ac:dyDescent="0.25">
      <c r="D270" s="18"/>
      <c r="E270" s="18"/>
      <c r="G270" s="18"/>
      <c r="H270" s="18"/>
      <c r="I270" s="18"/>
      <c r="J270" s="43"/>
      <c r="K270" s="18"/>
      <c r="L270" s="18"/>
      <c r="M270" s="18"/>
      <c r="P270" s="18"/>
      <c r="Q270" s="18"/>
      <c r="R270" s="43"/>
      <c r="S270" s="18"/>
      <c r="T270" s="18"/>
      <c r="U270" s="18"/>
      <c r="V270" s="43"/>
      <c r="W270" s="18"/>
      <c r="X270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9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311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610843.18999999983</v>
      </c>
      <c r="E12" s="4"/>
      <c r="F12" s="12"/>
      <c r="G12" s="4"/>
      <c r="H12" s="4">
        <f>SUM(OSRRefH13x_0)</f>
        <v>532795.41</v>
      </c>
      <c r="I12" s="4"/>
      <c r="J12" s="12"/>
      <c r="K12" s="4"/>
      <c r="L12" s="4">
        <f t="shared" ref="L12:L122" si="0">+D12-H12</f>
        <v>78047.779999999795</v>
      </c>
      <c r="M12" s="4"/>
      <c r="N12" s="12">
        <f t="shared" ref="N12:N122" si="1">IF(H12=0,0,L12/H12)</f>
        <v>0.1464873355421733</v>
      </c>
      <c r="O12" s="10"/>
      <c r="P12" s="4">
        <f>SUM(OSRRefP13x_0)</f>
        <v>6570064.0599999977</v>
      </c>
      <c r="Q12" s="4"/>
      <c r="R12" s="12"/>
      <c r="S12" s="4"/>
      <c r="T12" s="4">
        <f>SUM(OSRRefT13x_0)</f>
        <v>6734204.9400000023</v>
      </c>
      <c r="U12" s="4"/>
      <c r="V12" s="12"/>
      <c r="W12" s="4"/>
      <c r="X12" s="4">
        <f t="shared" ref="X12:X122" si="2">+P12-T12</f>
        <v>-164140.88000000454</v>
      </c>
      <c r="Y12" s="4"/>
      <c r="Z12" s="12">
        <f t="shared" ref="Z12:Z122" si="3">IF(T12=0,0,X12/T12)</f>
        <v>-2.4374203259695346E-2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--8184.69</f>
        <v>8184.69</v>
      </c>
      <c r="E13" s="2"/>
      <c r="F13" s="19"/>
      <c r="G13" s="2"/>
      <c r="H13" s="2">
        <f>--11453.82</f>
        <v>11453.82</v>
      </c>
      <c r="I13" s="2"/>
      <c r="J13" s="19"/>
      <c r="K13" s="2"/>
      <c r="L13" s="2">
        <f t="shared" si="0"/>
        <v>-3269.13</v>
      </c>
      <c r="M13" s="2"/>
      <c r="N13" s="19">
        <f t="shared" si="1"/>
        <v>-0.28541831458849537</v>
      </c>
      <c r="O13" s="11"/>
      <c r="P13" s="2">
        <f>--1503344.43</f>
        <v>1503344.43</v>
      </c>
      <c r="Q13" s="2"/>
      <c r="R13" s="19"/>
      <c r="S13" s="2"/>
      <c r="T13" s="2">
        <f>--1850269.85</f>
        <v>1850269.85</v>
      </c>
      <c r="U13" s="2"/>
      <c r="V13" s="19"/>
      <c r="W13" s="2"/>
      <c r="X13" s="2">
        <f t="shared" si="2"/>
        <v>-346925.42000000016</v>
      </c>
      <c r="Y13" s="2"/>
      <c r="Z13" s="19">
        <f t="shared" si="3"/>
        <v>-0.1874999044058358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--4182.93</f>
        <v>4182.93</v>
      </c>
      <c r="E14" s="2"/>
      <c r="F14" s="19"/>
      <c r="G14" s="2"/>
      <c r="H14" s="2">
        <f>--771.05</f>
        <v>771.05</v>
      </c>
      <c r="I14" s="2"/>
      <c r="J14" s="19"/>
      <c r="K14" s="2"/>
      <c r="L14" s="2">
        <f t="shared" si="0"/>
        <v>3411.88</v>
      </c>
      <c r="M14" s="2"/>
      <c r="N14" s="19">
        <f t="shared" si="1"/>
        <v>4.4249789248427476</v>
      </c>
      <c r="O14" s="11"/>
      <c r="P14" s="2">
        <f>--670479.29</f>
        <v>670479.29</v>
      </c>
      <c r="Q14" s="2"/>
      <c r="R14" s="19"/>
      <c r="S14" s="2"/>
      <c r="T14" s="2">
        <f>--741382.24</f>
        <v>741382.24</v>
      </c>
      <c r="U14" s="2"/>
      <c r="V14" s="19"/>
      <c r="W14" s="2"/>
      <c r="X14" s="2">
        <f t="shared" si="2"/>
        <v>-70902.949999999953</v>
      </c>
      <c r="Y14" s="2"/>
      <c r="Z14" s="19">
        <f t="shared" si="3"/>
        <v>-9.5636159290786296E-2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--15844.66</f>
        <v>15844.66</v>
      </c>
      <c r="Q15" s="2"/>
      <c r="R15" s="19"/>
      <c r="S15" s="2"/>
      <c r="T15" s="2">
        <f>--9944.25</f>
        <v>9944.25</v>
      </c>
      <c r="U15" s="2"/>
      <c r="V15" s="19"/>
      <c r="W15" s="2"/>
      <c r="X15" s="2">
        <f t="shared" si="2"/>
        <v>5900.41</v>
      </c>
      <c r="Y15" s="2"/>
      <c r="Z15" s="19">
        <f t="shared" si="3"/>
        <v>0.59334892023028385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--119.4</f>
        <v>119.4</v>
      </c>
      <c r="E16" s="2"/>
      <c r="F16" s="19"/>
      <c r="G16" s="2"/>
      <c r="H16" s="2">
        <f>--345.04</f>
        <v>345.04</v>
      </c>
      <c r="I16" s="2"/>
      <c r="J16" s="19"/>
      <c r="K16" s="2"/>
      <c r="L16" s="2">
        <f t="shared" si="0"/>
        <v>-225.64000000000001</v>
      </c>
      <c r="M16" s="2"/>
      <c r="N16" s="19">
        <f t="shared" si="1"/>
        <v>-0.65395316485045207</v>
      </c>
      <c r="O16" s="11"/>
      <c r="P16" s="2">
        <f>--30279.88</f>
        <v>30279.88</v>
      </c>
      <c r="Q16" s="2"/>
      <c r="R16" s="19"/>
      <c r="S16" s="2"/>
      <c r="T16" s="2">
        <f>--42625.32</f>
        <v>42625.32</v>
      </c>
      <c r="U16" s="2"/>
      <c r="V16" s="19"/>
      <c r="W16" s="2"/>
      <c r="X16" s="2">
        <f t="shared" si="2"/>
        <v>-12345.439999999999</v>
      </c>
      <c r="Y16" s="2"/>
      <c r="Z16" s="19">
        <f t="shared" si="3"/>
        <v>-0.28962691658385203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>
        <f>--0.08</f>
        <v>0.08</v>
      </c>
      <c r="I17" s="2"/>
      <c r="J17" s="19"/>
      <c r="K17" s="2"/>
      <c r="L17" s="2">
        <f t="shared" si="0"/>
        <v>-0.08</v>
      </c>
      <c r="M17" s="2"/>
      <c r="N17" s="19">
        <f t="shared" si="1"/>
        <v>-1</v>
      </c>
      <c r="O17" s="11"/>
      <c r="P17" s="2">
        <f>--9.6</f>
        <v>9.6</v>
      </c>
      <c r="Q17" s="2"/>
      <c r="R17" s="19"/>
      <c r="S17" s="2"/>
      <c r="T17" s="2">
        <f>--5.31</f>
        <v>5.31</v>
      </c>
      <c r="U17" s="2"/>
      <c r="V17" s="19"/>
      <c r="W17" s="2"/>
      <c r="X17" s="2">
        <f t="shared" si="2"/>
        <v>4.29</v>
      </c>
      <c r="Y17" s="2"/>
      <c r="Z17" s="19">
        <f t="shared" si="3"/>
        <v>0.80790960451977412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--285.33</f>
        <v>285.33</v>
      </c>
      <c r="E18" s="2"/>
      <c r="F18" s="19"/>
      <c r="G18" s="2"/>
      <c r="H18" s="2">
        <f>--647.84</f>
        <v>647.84</v>
      </c>
      <c r="I18" s="2"/>
      <c r="J18" s="19"/>
      <c r="K18" s="2"/>
      <c r="L18" s="2">
        <f t="shared" si="0"/>
        <v>-362.51000000000005</v>
      </c>
      <c r="M18" s="2"/>
      <c r="N18" s="19">
        <f t="shared" si="1"/>
        <v>-0.55956717708076076</v>
      </c>
      <c r="O18" s="11"/>
      <c r="P18" s="2">
        <f>--1112.72</f>
        <v>1112.72</v>
      </c>
      <c r="Q18" s="2"/>
      <c r="R18" s="19"/>
      <c r="S18" s="2"/>
      <c r="T18" s="2">
        <f>--2656.33</f>
        <v>2656.33</v>
      </c>
      <c r="U18" s="2"/>
      <c r="V18" s="19"/>
      <c r="W18" s="2"/>
      <c r="X18" s="2">
        <f t="shared" si="2"/>
        <v>-1543.61</v>
      </c>
      <c r="Y18" s="2"/>
      <c r="Z18" s="19">
        <f t="shared" si="3"/>
        <v>-0.58110626315254499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--189.13</f>
        <v>189.13</v>
      </c>
      <c r="E19" s="2"/>
      <c r="F19" s="19"/>
      <c r="G19" s="2"/>
      <c r="H19" s="2">
        <f>--327.3</f>
        <v>327.3</v>
      </c>
      <c r="I19" s="2"/>
      <c r="J19" s="19"/>
      <c r="K19" s="2"/>
      <c r="L19" s="2">
        <f t="shared" si="0"/>
        <v>-138.17000000000002</v>
      </c>
      <c r="M19" s="2"/>
      <c r="N19" s="19">
        <f t="shared" si="1"/>
        <v>-0.42215093186678893</v>
      </c>
      <c r="O19" s="11"/>
      <c r="P19" s="2">
        <f>--883.35</f>
        <v>883.35</v>
      </c>
      <c r="Q19" s="2"/>
      <c r="R19" s="19"/>
      <c r="S19" s="2"/>
      <c r="T19" s="2">
        <f>--1143.92</f>
        <v>1143.92</v>
      </c>
      <c r="U19" s="2"/>
      <c r="V19" s="19"/>
      <c r="W19" s="2"/>
      <c r="X19" s="2">
        <f t="shared" si="2"/>
        <v>-260.57000000000005</v>
      </c>
      <c r="Y19" s="2"/>
      <c r="Z19" s="19">
        <f t="shared" si="3"/>
        <v>-0.2277869081753969</v>
      </c>
    </row>
    <row r="20" spans="1:26" s="24" customFormat="1" hidden="1" outlineLevel="1" x14ac:dyDescent="0.25">
      <c r="A20" s="44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--5.49</f>
        <v>5.49</v>
      </c>
      <c r="E20" s="2"/>
      <c r="F20" s="19"/>
      <c r="G20" s="2"/>
      <c r="H20" s="2">
        <f>--10.44</f>
        <v>10.44</v>
      </c>
      <c r="I20" s="2"/>
      <c r="J20" s="19"/>
      <c r="K20" s="2"/>
      <c r="L20" s="2">
        <f t="shared" si="0"/>
        <v>-4.9499999999999993</v>
      </c>
      <c r="M20" s="2"/>
      <c r="N20" s="19">
        <f t="shared" si="1"/>
        <v>-0.47413793103448271</v>
      </c>
      <c r="O20" s="11"/>
      <c r="P20" s="2">
        <f>--231.16</f>
        <v>231.16</v>
      </c>
      <c r="Q20" s="2"/>
      <c r="R20" s="19"/>
      <c r="S20" s="2"/>
      <c r="T20" s="2">
        <f>--643.57</f>
        <v>643.57000000000005</v>
      </c>
      <c r="U20" s="2"/>
      <c r="V20" s="19"/>
      <c r="W20" s="2"/>
      <c r="X20" s="2">
        <f t="shared" si="2"/>
        <v>-412.41000000000008</v>
      </c>
      <c r="Y20" s="2"/>
      <c r="Z20" s="19">
        <f t="shared" si="3"/>
        <v>-0.64081607284366904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--277.82</f>
        <v>277.82</v>
      </c>
      <c r="E21" s="2"/>
      <c r="F21" s="19"/>
      <c r="G21" s="2"/>
      <c r="H21" s="2">
        <f>--289.77</f>
        <v>289.77</v>
      </c>
      <c r="I21" s="2"/>
      <c r="J21" s="19"/>
      <c r="K21" s="2"/>
      <c r="L21" s="2">
        <f t="shared" si="0"/>
        <v>-11.949999999999989</v>
      </c>
      <c r="M21" s="2"/>
      <c r="N21" s="19">
        <f t="shared" si="1"/>
        <v>-4.1239603823722229E-2</v>
      </c>
      <c r="O21" s="11"/>
      <c r="P21" s="2">
        <f>--2732.65</f>
        <v>2732.65</v>
      </c>
      <c r="Q21" s="2"/>
      <c r="R21" s="19"/>
      <c r="S21" s="2"/>
      <c r="T21" s="2">
        <f>--3719.55</f>
        <v>3719.55</v>
      </c>
      <c r="U21" s="2"/>
      <c r="V21" s="19"/>
      <c r="W21" s="2"/>
      <c r="X21" s="2">
        <f t="shared" si="2"/>
        <v>-986.90000000000009</v>
      </c>
      <c r="Y21" s="2"/>
      <c r="Z21" s="19">
        <f t="shared" si="3"/>
        <v>-0.26532779502896858</v>
      </c>
    </row>
    <row r="22" spans="1:26" s="24" customFormat="1" hidden="1" outlineLevel="1" x14ac:dyDescent="0.25">
      <c r="A22" s="44"/>
      <c r="B22" s="11" t="str">
        <f>CONCATENATE("          ", "4019", " - ", "TAXABLE SALES-BOOK RELATED")</f>
        <v xml:space="preserve">          4019 - TAXABLE SALES-BOOK RELATED</v>
      </c>
      <c r="C22" s="11"/>
      <c r="D22" s="2">
        <f>--3.98</f>
        <v>3.98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3.98</v>
      </c>
      <c r="M22" s="2"/>
      <c r="N22" s="19">
        <f t="shared" si="1"/>
        <v>0</v>
      </c>
      <c r="O22" s="11"/>
      <c r="P22" s="2">
        <f>--33.88</f>
        <v>33.880000000000003</v>
      </c>
      <c r="Q22" s="2"/>
      <c r="R22" s="19"/>
      <c r="S22" s="2"/>
      <c r="T22" s="2">
        <f>--54.48</f>
        <v>54.48</v>
      </c>
      <c r="U22" s="2"/>
      <c r="V22" s="19"/>
      <c r="W22" s="2"/>
      <c r="X22" s="2">
        <f t="shared" si="2"/>
        <v>-20.599999999999994</v>
      </c>
      <c r="Y22" s="2"/>
      <c r="Z22" s="19">
        <f t="shared" si="3"/>
        <v>-0.37812041116005868</v>
      </c>
    </row>
    <row r="23" spans="1:26" s="24" customFormat="1" hidden="1" outlineLevel="1" x14ac:dyDescent="0.25">
      <c r="A23" s="44"/>
      <c r="B23" s="11" t="str">
        <f>CONCATENATE("          ", "4025", " - ", "TAXABLE SALES-TEST FORMS")</f>
        <v xml:space="preserve">          4025 - TAXABLE SALES-TEST FORMS</v>
      </c>
      <c r="C23" s="11"/>
      <c r="D23" s="2">
        <f>--3212.68</f>
        <v>3212.68</v>
      </c>
      <c r="E23" s="2"/>
      <c r="F23" s="19"/>
      <c r="G23" s="2"/>
      <c r="H23" s="2">
        <f>--2857.44</f>
        <v>2857.44</v>
      </c>
      <c r="I23" s="2"/>
      <c r="J23" s="19"/>
      <c r="K23" s="2"/>
      <c r="L23" s="2">
        <f t="shared" si="0"/>
        <v>355.23999999999978</v>
      </c>
      <c r="M23" s="2"/>
      <c r="N23" s="19">
        <f t="shared" si="1"/>
        <v>0.12432107060865662</v>
      </c>
      <c r="O23" s="11"/>
      <c r="P23" s="2">
        <f>--29544.72</f>
        <v>29544.720000000001</v>
      </c>
      <c r="Q23" s="2"/>
      <c r="R23" s="19"/>
      <c r="S23" s="2"/>
      <c r="T23" s="2">
        <f>--28067.17</f>
        <v>28067.17</v>
      </c>
      <c r="U23" s="2"/>
      <c r="V23" s="19"/>
      <c r="W23" s="2"/>
      <c r="X23" s="2">
        <f t="shared" si="2"/>
        <v>1477.5500000000029</v>
      </c>
      <c r="Y23" s="2"/>
      <c r="Z23" s="19">
        <f t="shared" si="3"/>
        <v>5.2643355208238062E-2</v>
      </c>
    </row>
    <row r="24" spans="1:26" s="24" customFormat="1" hidden="1" outlineLevel="1" x14ac:dyDescent="0.25">
      <c r="A24" s="44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>--6609.41</f>
        <v>6609.41</v>
      </c>
      <c r="E24" s="2"/>
      <c r="F24" s="19"/>
      <c r="G24" s="2"/>
      <c r="H24" s="2">
        <f>--4736.5</f>
        <v>4736.5</v>
      </c>
      <c r="I24" s="2"/>
      <c r="J24" s="19"/>
      <c r="K24" s="2"/>
      <c r="L24" s="2">
        <f t="shared" si="0"/>
        <v>1872.9099999999999</v>
      </c>
      <c r="M24" s="2"/>
      <c r="N24" s="19">
        <f t="shared" si="1"/>
        <v>0.39542066927055841</v>
      </c>
      <c r="O24" s="11"/>
      <c r="P24" s="2">
        <f>--43673.95</f>
        <v>43673.95</v>
      </c>
      <c r="Q24" s="2"/>
      <c r="R24" s="19"/>
      <c r="S24" s="2"/>
      <c r="T24" s="2">
        <f>--37370.84</f>
        <v>37370.839999999997</v>
      </c>
      <c r="U24" s="2"/>
      <c r="V24" s="19"/>
      <c r="W24" s="2"/>
      <c r="X24" s="2">
        <f t="shared" si="2"/>
        <v>6303.1100000000006</v>
      </c>
      <c r="Y24" s="2"/>
      <c r="Z24" s="19">
        <f t="shared" si="3"/>
        <v>0.1686638566326045</v>
      </c>
    </row>
    <row r="25" spans="1:26" s="24" customFormat="1" hidden="1" outlineLevel="1" x14ac:dyDescent="0.25">
      <c r="A25" s="44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--10515.54</f>
        <v>10515.54</v>
      </c>
      <c r="E25" s="2"/>
      <c r="F25" s="19"/>
      <c r="G25" s="2"/>
      <c r="H25" s="2">
        <f>--9293.82</f>
        <v>9293.82</v>
      </c>
      <c r="I25" s="2"/>
      <c r="J25" s="19"/>
      <c r="K25" s="2"/>
      <c r="L25" s="2">
        <f t="shared" si="0"/>
        <v>1221.7200000000012</v>
      </c>
      <c r="M25" s="2"/>
      <c r="N25" s="19">
        <f t="shared" si="1"/>
        <v>0.13145509596699756</v>
      </c>
      <c r="O25" s="11"/>
      <c r="P25" s="2">
        <f>--154789.08</f>
        <v>154789.07999999999</v>
      </c>
      <c r="Q25" s="2"/>
      <c r="R25" s="19"/>
      <c r="S25" s="2"/>
      <c r="T25" s="2">
        <f>--142192.08</f>
        <v>142192.07999999999</v>
      </c>
      <c r="U25" s="2"/>
      <c r="V25" s="19"/>
      <c r="W25" s="2"/>
      <c r="X25" s="2">
        <f t="shared" si="2"/>
        <v>12597</v>
      </c>
      <c r="Y25" s="2"/>
      <c r="Z25" s="19">
        <f t="shared" si="3"/>
        <v>8.8591432096639985E-2</v>
      </c>
    </row>
    <row r="26" spans="1:26" s="24" customFormat="1" hidden="1" outlineLevel="1" x14ac:dyDescent="0.25">
      <c r="A26" s="44"/>
      <c r="B26" s="11" t="str">
        <f>CONCATENATE("          ", "4028", " - ", "TAXABLE SALES-ART/TECH")</f>
        <v xml:space="preserve">          4028 - TAXABLE SALES-ART/TECH</v>
      </c>
      <c r="C26" s="11"/>
      <c r="D26" s="2">
        <f>--29388.04</f>
        <v>29388.04</v>
      </c>
      <c r="E26" s="2"/>
      <c r="F26" s="19"/>
      <c r="G26" s="2"/>
      <c r="H26" s="2">
        <f>--23523.68</f>
        <v>23523.68</v>
      </c>
      <c r="I26" s="2"/>
      <c r="J26" s="19"/>
      <c r="K26" s="2"/>
      <c r="L26" s="2">
        <f t="shared" si="0"/>
        <v>5864.3600000000006</v>
      </c>
      <c r="M26" s="2"/>
      <c r="N26" s="19">
        <f t="shared" si="1"/>
        <v>0.24929602851254568</v>
      </c>
      <c r="O26" s="11"/>
      <c r="P26" s="2">
        <f>--175952.71</f>
        <v>175952.71</v>
      </c>
      <c r="Q26" s="2"/>
      <c r="R26" s="19"/>
      <c r="S26" s="2"/>
      <c r="T26" s="2">
        <f>--178368.48</f>
        <v>178368.48</v>
      </c>
      <c r="U26" s="2"/>
      <c r="V26" s="19"/>
      <c r="W26" s="2"/>
      <c r="X26" s="2">
        <f t="shared" si="2"/>
        <v>-2415.7700000000186</v>
      </c>
      <c r="Y26" s="2"/>
      <c r="Z26" s="19">
        <f t="shared" si="3"/>
        <v>-1.3543704582782892E-2</v>
      </c>
    </row>
    <row r="27" spans="1:26" s="24" customFormat="1" hidden="1" outlineLevel="1" x14ac:dyDescent="0.25">
      <c r="A27" s="44"/>
      <c r="B27" s="11" t="str">
        <f>CONCATENATE("          ", "4031", " - ", "TAXABLE SALES-FOOD")</f>
        <v xml:space="preserve">          4031 - TAXABLE SALES-FOOD</v>
      </c>
      <c r="C27" s="11"/>
      <c r="D27" s="2">
        <f>--58.77</f>
        <v>58.77</v>
      </c>
      <c r="E27" s="2"/>
      <c r="F27" s="19"/>
      <c r="G27" s="2"/>
      <c r="H27" s="2">
        <f>--42.39</f>
        <v>42.39</v>
      </c>
      <c r="I27" s="2"/>
      <c r="J27" s="19"/>
      <c r="K27" s="2"/>
      <c r="L27" s="2">
        <f t="shared" si="0"/>
        <v>16.380000000000003</v>
      </c>
      <c r="M27" s="2"/>
      <c r="N27" s="19">
        <f t="shared" si="1"/>
        <v>0.38641188959660305</v>
      </c>
      <c r="O27" s="11"/>
      <c r="P27" s="2">
        <f>--280.05</f>
        <v>280.05</v>
      </c>
      <c r="Q27" s="2"/>
      <c r="R27" s="19"/>
      <c r="S27" s="2"/>
      <c r="T27" s="2">
        <f>--288.29</f>
        <v>288.29000000000002</v>
      </c>
      <c r="U27" s="2"/>
      <c r="V27" s="19"/>
      <c r="W27" s="2"/>
      <c r="X27" s="2">
        <f t="shared" si="2"/>
        <v>-8.2400000000000091</v>
      </c>
      <c r="Y27" s="2"/>
      <c r="Z27" s="19">
        <f t="shared" si="3"/>
        <v>-2.8582330292413919E-2</v>
      </c>
    </row>
    <row r="28" spans="1:26" s="24" customFormat="1" hidden="1" outlineLevel="1" x14ac:dyDescent="0.25">
      <c r="A28" s="44"/>
      <c r="B28" s="11" t="str">
        <f>CONCATENATE("          ", "4032", " - ", "TAXABLE SALES-JUICE")</f>
        <v xml:space="preserve">          4032 - TAXABLE SALES-JUICE</v>
      </c>
      <c r="C28" s="11"/>
      <c r="D28" s="2">
        <f>--609.66</f>
        <v>609.66</v>
      </c>
      <c r="E28" s="2"/>
      <c r="F28" s="19"/>
      <c r="G28" s="2"/>
      <c r="H28" s="2">
        <f>--32.64</f>
        <v>32.64</v>
      </c>
      <c r="I28" s="2"/>
      <c r="J28" s="19"/>
      <c r="K28" s="2"/>
      <c r="L28" s="2">
        <f t="shared" si="0"/>
        <v>577.02</v>
      </c>
      <c r="M28" s="2"/>
      <c r="N28" s="19">
        <f t="shared" si="1"/>
        <v>17.678308823529409</v>
      </c>
      <c r="O28" s="11"/>
      <c r="P28" s="2">
        <f>--663.08</f>
        <v>663.08</v>
      </c>
      <c r="Q28" s="2"/>
      <c r="R28" s="19"/>
      <c r="S28" s="2"/>
      <c r="T28" s="2">
        <f>--215.94</f>
        <v>215.94</v>
      </c>
      <c r="U28" s="2"/>
      <c r="V28" s="19"/>
      <c r="W28" s="2"/>
      <c r="X28" s="2">
        <f t="shared" si="2"/>
        <v>447.14000000000004</v>
      </c>
      <c r="Y28" s="2"/>
      <c r="Z28" s="19">
        <f t="shared" si="3"/>
        <v>2.0706677780865057</v>
      </c>
    </row>
    <row r="29" spans="1:26" s="24" customFormat="1" hidden="1" outlineLevel="1" x14ac:dyDescent="0.25">
      <c r="A29" s="44"/>
      <c r="B29" s="11" t="str">
        <f>CONCATENATE("          ", "4033", " - ", "TAXABLE SALES-CANDY")</f>
        <v xml:space="preserve">          4033 - TAXABLE SALES-CANDY</v>
      </c>
      <c r="C29" s="11"/>
      <c r="D29" s="2">
        <f>--23.21</f>
        <v>23.21</v>
      </c>
      <c r="E29" s="2"/>
      <c r="F29" s="19"/>
      <c r="G29" s="2"/>
      <c r="H29" s="2">
        <f>--18.59</f>
        <v>18.59</v>
      </c>
      <c r="I29" s="2"/>
      <c r="J29" s="19"/>
      <c r="K29" s="2"/>
      <c r="L29" s="2">
        <f t="shared" si="0"/>
        <v>4.620000000000001</v>
      </c>
      <c r="M29" s="2"/>
      <c r="N29" s="19">
        <f t="shared" si="1"/>
        <v>0.24852071005917165</v>
      </c>
      <c r="O29" s="11"/>
      <c r="P29" s="2">
        <f>--108.61</f>
        <v>108.61</v>
      </c>
      <c r="Q29" s="2"/>
      <c r="R29" s="19"/>
      <c r="S29" s="2"/>
      <c r="T29" s="2">
        <f>--92.26</f>
        <v>92.26</v>
      </c>
      <c r="U29" s="2"/>
      <c r="V29" s="19"/>
      <c r="W29" s="2"/>
      <c r="X29" s="2">
        <f t="shared" si="2"/>
        <v>16.349999999999994</v>
      </c>
      <c r="Y29" s="2"/>
      <c r="Z29" s="19">
        <f t="shared" si="3"/>
        <v>0.17721656189030993</v>
      </c>
    </row>
    <row r="30" spans="1:26" s="24" customFormat="1" hidden="1" outlineLevel="1" x14ac:dyDescent="0.25">
      <c r="A30" s="44"/>
      <c r="B30" s="11" t="str">
        <f>CONCATENATE("          ", "4034", " - ", "TAXABLE SALES-SODA")</f>
        <v xml:space="preserve">          4034 - TAXABLE SALES-SODA</v>
      </c>
      <c r="C30" s="11"/>
      <c r="D30" s="2">
        <f>--1010.01</f>
        <v>1010.01</v>
      </c>
      <c r="E30" s="2"/>
      <c r="F30" s="19"/>
      <c r="G30" s="2"/>
      <c r="H30" s="2">
        <f>--734.85</f>
        <v>734.85</v>
      </c>
      <c r="I30" s="2"/>
      <c r="J30" s="19"/>
      <c r="K30" s="2"/>
      <c r="L30" s="2">
        <f t="shared" si="0"/>
        <v>275.15999999999997</v>
      </c>
      <c r="M30" s="2"/>
      <c r="N30" s="19">
        <f t="shared" si="1"/>
        <v>0.37444376403347618</v>
      </c>
      <c r="O30" s="11"/>
      <c r="P30" s="2">
        <f>--4724.25</f>
        <v>4724.25</v>
      </c>
      <c r="Q30" s="2"/>
      <c r="R30" s="19"/>
      <c r="S30" s="2"/>
      <c r="T30" s="2">
        <f>--3753.31</f>
        <v>3753.31</v>
      </c>
      <c r="U30" s="2"/>
      <c r="V30" s="19"/>
      <c r="W30" s="2"/>
      <c r="X30" s="2">
        <f t="shared" si="2"/>
        <v>970.94</v>
      </c>
      <c r="Y30" s="2"/>
      <c r="Z30" s="19">
        <f t="shared" si="3"/>
        <v>0.25868899717849048</v>
      </c>
    </row>
    <row r="31" spans="1:26" s="24" customFormat="1" hidden="1" outlineLevel="1" x14ac:dyDescent="0.25">
      <c r="A31" s="44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>--269.24</f>
        <v>269.24</v>
      </c>
      <c r="E31" s="2"/>
      <c r="F31" s="19"/>
      <c r="G31" s="2"/>
      <c r="H31" s="2">
        <f>--245.92</f>
        <v>245.92</v>
      </c>
      <c r="I31" s="2"/>
      <c r="J31" s="19"/>
      <c r="K31" s="2"/>
      <c r="L31" s="2">
        <f t="shared" si="0"/>
        <v>23.320000000000022</v>
      </c>
      <c r="M31" s="2"/>
      <c r="N31" s="19">
        <f t="shared" si="1"/>
        <v>9.4827586206896644E-2</v>
      </c>
      <c r="O31" s="11"/>
      <c r="P31" s="2">
        <f>--1133.6</f>
        <v>1133.5999999999999</v>
      </c>
      <c r="Q31" s="2"/>
      <c r="R31" s="19"/>
      <c r="S31" s="2"/>
      <c r="T31" s="2">
        <f>--1389.93</f>
        <v>1389.93</v>
      </c>
      <c r="U31" s="2"/>
      <c r="V31" s="19"/>
      <c r="W31" s="2"/>
      <c r="X31" s="2">
        <f t="shared" si="2"/>
        <v>-256.33000000000015</v>
      </c>
      <c r="Y31" s="2"/>
      <c r="Z31" s="19">
        <f t="shared" si="3"/>
        <v>-0.18441935924830757</v>
      </c>
    </row>
    <row r="32" spans="1:26" s="24" customFormat="1" hidden="1" outlineLevel="1" x14ac:dyDescent="0.25">
      <c r="A32" s="44"/>
      <c r="B32" s="11" t="str">
        <f>CONCATENATE("          ", "4037", " - ", "TAXABLE SALES-WATER")</f>
        <v xml:space="preserve">          4037 - TAXABLE SALES-WATER</v>
      </c>
      <c r="C32" s="11"/>
      <c r="D32" s="2">
        <f>--74.6</f>
        <v>74.599999999999994</v>
      </c>
      <c r="E32" s="2"/>
      <c r="F32" s="19"/>
      <c r="G32" s="2"/>
      <c r="H32" s="2">
        <f>--78.77</f>
        <v>78.77</v>
      </c>
      <c r="I32" s="2"/>
      <c r="J32" s="19"/>
      <c r="K32" s="2"/>
      <c r="L32" s="2">
        <f t="shared" si="0"/>
        <v>-4.1700000000000017</v>
      </c>
      <c r="M32" s="2"/>
      <c r="N32" s="19">
        <f t="shared" si="1"/>
        <v>-5.2938936143201748E-2</v>
      </c>
      <c r="O32" s="11"/>
      <c r="P32" s="2">
        <f>--377.17</f>
        <v>377.17</v>
      </c>
      <c r="Q32" s="2"/>
      <c r="R32" s="19"/>
      <c r="S32" s="2"/>
      <c r="T32" s="2">
        <f>--381.85</f>
        <v>381.85</v>
      </c>
      <c r="U32" s="2"/>
      <c r="V32" s="19"/>
      <c r="W32" s="2"/>
      <c r="X32" s="2">
        <f t="shared" si="2"/>
        <v>-4.6800000000000068</v>
      </c>
      <c r="Y32" s="2"/>
      <c r="Z32" s="19">
        <f t="shared" si="3"/>
        <v>-1.2256121513683401E-2</v>
      </c>
    </row>
    <row r="33" spans="1:26" s="24" customFormat="1" hidden="1" outlineLevel="1" x14ac:dyDescent="0.25">
      <c r="A33" s="44"/>
      <c r="B33" s="11" t="str">
        <f>CONCATENATE("          ", "4040", " - ", "TAXABLE SALES-LOGO CLOTHING")</f>
        <v xml:space="preserve">          4040 - TAXABLE SALES-LOGO CLOTHING</v>
      </c>
      <c r="C33" s="11"/>
      <c r="D33" s="2">
        <f>--249896.49</f>
        <v>249896.49</v>
      </c>
      <c r="E33" s="2"/>
      <c r="F33" s="19"/>
      <c r="G33" s="2"/>
      <c r="H33" s="2">
        <f>--194328.13</f>
        <v>194328.13</v>
      </c>
      <c r="I33" s="2"/>
      <c r="J33" s="19"/>
      <c r="K33" s="2"/>
      <c r="L33" s="2">
        <f t="shared" si="0"/>
        <v>55568.359999999986</v>
      </c>
      <c r="M33" s="2"/>
      <c r="N33" s="19">
        <f t="shared" si="1"/>
        <v>0.28595118987662765</v>
      </c>
      <c r="O33" s="11"/>
      <c r="P33" s="2">
        <f>--1098136.94</f>
        <v>1098136.94</v>
      </c>
      <c r="Q33" s="2"/>
      <c r="R33" s="19"/>
      <c r="S33" s="2"/>
      <c r="T33" s="2">
        <f>--912468.46</f>
        <v>912468.46</v>
      </c>
      <c r="U33" s="2"/>
      <c r="V33" s="19"/>
      <c r="W33" s="2"/>
      <c r="X33" s="2">
        <f t="shared" si="2"/>
        <v>185668.47999999998</v>
      </c>
      <c r="Y33" s="2"/>
      <c r="Z33" s="19">
        <f t="shared" si="3"/>
        <v>0.20347933998726925</v>
      </c>
    </row>
    <row r="34" spans="1:26" s="24" customFormat="1" hidden="1" outlineLevel="1" x14ac:dyDescent="0.25">
      <c r="A34" s="44"/>
      <c r="B34" s="11" t="str">
        <f>CONCATENATE("          ", "4041", " - ", "TAXABLE SALES-LOGO GIFTS")</f>
        <v xml:space="preserve">          4041 - TAXABLE SALES-LOGO GIFTS</v>
      </c>
      <c r="C34" s="11"/>
      <c r="D34" s="2">
        <f>--29333.75</f>
        <v>29333.75</v>
      </c>
      <c r="E34" s="2"/>
      <c r="F34" s="19"/>
      <c r="G34" s="2"/>
      <c r="H34" s="2">
        <f>--30125.18</f>
        <v>30125.18</v>
      </c>
      <c r="I34" s="2"/>
      <c r="J34" s="19"/>
      <c r="K34" s="2"/>
      <c r="L34" s="2">
        <f t="shared" si="0"/>
        <v>-791.43000000000029</v>
      </c>
      <c r="M34" s="2"/>
      <c r="N34" s="19">
        <f t="shared" si="1"/>
        <v>-2.6271378295498991E-2</v>
      </c>
      <c r="O34" s="11"/>
      <c r="P34" s="2">
        <f>--258147.65</f>
        <v>258147.65</v>
      </c>
      <c r="Q34" s="2"/>
      <c r="R34" s="19"/>
      <c r="S34" s="2"/>
      <c r="T34" s="2">
        <f>--267149.71</f>
        <v>267149.71000000002</v>
      </c>
      <c r="U34" s="2"/>
      <c r="V34" s="19"/>
      <c r="W34" s="2"/>
      <c r="X34" s="2">
        <f t="shared" si="2"/>
        <v>-9002.0600000000268</v>
      </c>
      <c r="Y34" s="2"/>
      <c r="Z34" s="19">
        <f t="shared" si="3"/>
        <v>-3.3696686401044666E-2</v>
      </c>
    </row>
    <row r="35" spans="1:26" s="24" customFormat="1" hidden="1" outlineLevel="1" x14ac:dyDescent="0.25">
      <c r="A35" s="44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--30667.82</f>
        <v>30667.82</v>
      </c>
      <c r="E35" s="2"/>
      <c r="F35" s="19"/>
      <c r="G35" s="2"/>
      <c r="H35" s="2">
        <f>--20043.59</f>
        <v>20043.59</v>
      </c>
      <c r="I35" s="2"/>
      <c r="J35" s="19"/>
      <c r="K35" s="2"/>
      <c r="L35" s="2">
        <f t="shared" si="0"/>
        <v>10624.23</v>
      </c>
      <c r="M35" s="2"/>
      <c r="N35" s="19">
        <f t="shared" si="1"/>
        <v>0.53005624241964633</v>
      </c>
      <c r="O35" s="11"/>
      <c r="P35" s="2">
        <f>--154978.19</f>
        <v>154978.19</v>
      </c>
      <c r="Q35" s="2"/>
      <c r="R35" s="19"/>
      <c r="S35" s="2"/>
      <c r="T35" s="2">
        <f>--120570.83</f>
        <v>120570.83</v>
      </c>
      <c r="U35" s="2"/>
      <c r="V35" s="19"/>
      <c r="W35" s="2"/>
      <c r="X35" s="2">
        <f t="shared" si="2"/>
        <v>34407.360000000001</v>
      </c>
      <c r="Y35" s="2"/>
      <c r="Z35" s="19">
        <f t="shared" si="3"/>
        <v>0.28537051623514575</v>
      </c>
    </row>
    <row r="36" spans="1:26" s="24" customFormat="1" hidden="1" outlineLevel="1" x14ac:dyDescent="0.25">
      <c r="A36" s="44"/>
      <c r="B36" s="11" t="str">
        <f>CONCATENATE("          ", "4043", " - ", "TAXABLE SALES-CARDS")</f>
        <v xml:space="preserve">          4043 - TAXABLE SALES-CARDS</v>
      </c>
      <c r="C36" s="11"/>
      <c r="D36" s="2">
        <f>--4302.17</f>
        <v>4302.17</v>
      </c>
      <c r="E36" s="2"/>
      <c r="F36" s="19"/>
      <c r="G36" s="2"/>
      <c r="H36" s="2">
        <f>--235.27</f>
        <v>235.27</v>
      </c>
      <c r="I36" s="2"/>
      <c r="J36" s="19"/>
      <c r="K36" s="2"/>
      <c r="L36" s="2">
        <f t="shared" si="0"/>
        <v>4066.9</v>
      </c>
      <c r="M36" s="2"/>
      <c r="N36" s="19">
        <f t="shared" si="1"/>
        <v>17.286096824924556</v>
      </c>
      <c r="O36" s="11"/>
      <c r="P36" s="2">
        <f>--4823.02</f>
        <v>4823.0200000000004</v>
      </c>
      <c r="Q36" s="2"/>
      <c r="R36" s="19"/>
      <c r="S36" s="2"/>
      <c r="T36" s="2">
        <f>--1633.08</f>
        <v>1633.08</v>
      </c>
      <c r="U36" s="2"/>
      <c r="V36" s="19"/>
      <c r="W36" s="2"/>
      <c r="X36" s="2">
        <f t="shared" si="2"/>
        <v>3189.9400000000005</v>
      </c>
      <c r="Y36" s="2"/>
      <c r="Z36" s="19">
        <f t="shared" si="3"/>
        <v>1.9533274548705517</v>
      </c>
    </row>
    <row r="37" spans="1:26" s="24" customFormat="1" hidden="1" outlineLevel="1" x14ac:dyDescent="0.25">
      <c r="A37" s="44"/>
      <c r="B37" s="11" t="str">
        <f>CONCATENATE("          ", "4044", " - ", "TAXABLE SALES-ACCESSORIES")</f>
        <v xml:space="preserve">          4044 - TAXABLE SALES-ACCESSORIES</v>
      </c>
      <c r="C37" s="11"/>
      <c r="D37" s="2">
        <f>--8230.63</f>
        <v>8230.6299999999992</v>
      </c>
      <c r="E37" s="2"/>
      <c r="F37" s="19"/>
      <c r="G37" s="2"/>
      <c r="H37" s="2">
        <f>--4224.97</f>
        <v>4224.97</v>
      </c>
      <c r="I37" s="2"/>
      <c r="J37" s="19"/>
      <c r="K37" s="2"/>
      <c r="L37" s="2">
        <f t="shared" si="0"/>
        <v>4005.6599999999989</v>
      </c>
      <c r="M37" s="2"/>
      <c r="N37" s="19">
        <f t="shared" si="1"/>
        <v>0.94809193911436029</v>
      </c>
      <c r="O37" s="11"/>
      <c r="P37" s="2">
        <f>--41297.78</f>
        <v>41297.78</v>
      </c>
      <c r="Q37" s="2"/>
      <c r="R37" s="19"/>
      <c r="S37" s="2"/>
      <c r="T37" s="2">
        <f>--39724.95</f>
        <v>39724.949999999997</v>
      </c>
      <c r="U37" s="2"/>
      <c r="V37" s="19"/>
      <c r="W37" s="2"/>
      <c r="X37" s="2">
        <f t="shared" si="2"/>
        <v>1572.8300000000017</v>
      </c>
      <c r="Y37" s="2"/>
      <c r="Z37" s="19">
        <f t="shared" si="3"/>
        <v>3.9593001375709772E-2</v>
      </c>
    </row>
    <row r="38" spans="1:26" s="24" customFormat="1" hidden="1" outlineLevel="1" x14ac:dyDescent="0.25">
      <c r="A38" s="44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--18665.34</f>
        <v>18665.34</v>
      </c>
      <c r="E38" s="2"/>
      <c r="F38" s="19"/>
      <c r="G38" s="2"/>
      <c r="H38" s="2">
        <f>--4968.26</f>
        <v>4968.26</v>
      </c>
      <c r="I38" s="2"/>
      <c r="J38" s="19"/>
      <c r="K38" s="2"/>
      <c r="L38" s="2">
        <f t="shared" si="0"/>
        <v>13697.08</v>
      </c>
      <c r="M38" s="2"/>
      <c r="N38" s="19">
        <f t="shared" si="1"/>
        <v>2.7569169085353824</v>
      </c>
      <c r="O38" s="11"/>
      <c r="P38" s="2">
        <f>--54518.44</f>
        <v>54518.44</v>
      </c>
      <c r="Q38" s="2"/>
      <c r="R38" s="19"/>
      <c r="S38" s="2"/>
      <c r="T38" s="2">
        <f>--63163.72</f>
        <v>63163.72</v>
      </c>
      <c r="U38" s="2"/>
      <c r="V38" s="19"/>
      <c r="W38" s="2"/>
      <c r="X38" s="2">
        <f t="shared" si="2"/>
        <v>-8645.2799999999988</v>
      </c>
      <c r="Y38" s="2"/>
      <c r="Z38" s="19">
        <f t="shared" si="3"/>
        <v>-0.13687097593365302</v>
      </c>
    </row>
    <row r="39" spans="1:26" s="24" customFormat="1" hidden="1" outlineLevel="1" x14ac:dyDescent="0.25">
      <c r="A39" s="44"/>
      <c r="B39" s="11" t="str">
        <f>CONCATENATE("          ", "4047", " - ", "TAXABLE SALES-MISC")</f>
        <v xml:space="preserve">          4047 - TAXABLE SALES-MISC</v>
      </c>
      <c r="C39" s="11"/>
      <c r="D39" s="2">
        <f>--304.55</f>
        <v>304.55</v>
      </c>
      <c r="E39" s="2"/>
      <c r="F39" s="19"/>
      <c r="G39" s="2"/>
      <c r="H39" s="2">
        <f>--427.56</f>
        <v>427.56</v>
      </c>
      <c r="I39" s="2"/>
      <c r="J39" s="19"/>
      <c r="K39" s="2"/>
      <c r="L39" s="2">
        <f t="shared" si="0"/>
        <v>-123.00999999999999</v>
      </c>
      <c r="M39" s="2"/>
      <c r="N39" s="19">
        <f t="shared" si="1"/>
        <v>-0.28770231078679015</v>
      </c>
      <c r="O39" s="11"/>
      <c r="P39" s="2">
        <f>--1678.55</f>
        <v>1678.55</v>
      </c>
      <c r="Q39" s="2"/>
      <c r="R39" s="19"/>
      <c r="S39" s="2"/>
      <c r="T39" s="2">
        <f>--1609.41</f>
        <v>1609.41</v>
      </c>
      <c r="U39" s="2"/>
      <c r="V39" s="19"/>
      <c r="W39" s="2"/>
      <c r="X39" s="2">
        <f t="shared" si="2"/>
        <v>69.139999999999873</v>
      </c>
      <c r="Y39" s="2"/>
      <c r="Z39" s="19">
        <f t="shared" si="3"/>
        <v>4.2959842426727728E-2</v>
      </c>
    </row>
    <row r="40" spans="1:26" s="24" customFormat="1" hidden="1" outlineLevel="1" x14ac:dyDescent="0.25">
      <c r="A40" s="44"/>
      <c r="B40" s="11" t="str">
        <f>CONCATENATE("          ", "4081", " - ", "TAXABLE SALES-ELECTRONICS")</f>
        <v xml:space="preserve">          4081 - TAXABLE SALES-ELECTRONICS</v>
      </c>
      <c r="C40" s="11"/>
      <c r="D40" s="2">
        <f>--16554.53</f>
        <v>16554.53</v>
      </c>
      <c r="E40" s="2"/>
      <c r="F40" s="19"/>
      <c r="G40" s="2"/>
      <c r="H40" s="2">
        <f>--10979.71</f>
        <v>10979.71</v>
      </c>
      <c r="I40" s="2"/>
      <c r="J40" s="19"/>
      <c r="K40" s="2"/>
      <c r="L40" s="2">
        <f t="shared" si="0"/>
        <v>5574.82</v>
      </c>
      <c r="M40" s="2"/>
      <c r="N40" s="19">
        <f t="shared" si="1"/>
        <v>0.50773836467447686</v>
      </c>
      <c r="O40" s="11"/>
      <c r="P40" s="2">
        <f>--231804.25</f>
        <v>231804.25</v>
      </c>
      <c r="Q40" s="2"/>
      <c r="R40" s="19"/>
      <c r="S40" s="2"/>
      <c r="T40" s="2">
        <f>--177439.09</f>
        <v>177439.09</v>
      </c>
      <c r="U40" s="2"/>
      <c r="V40" s="19"/>
      <c r="W40" s="2"/>
      <c r="X40" s="2">
        <f t="shared" si="2"/>
        <v>54365.16</v>
      </c>
      <c r="Y40" s="2"/>
      <c r="Z40" s="19">
        <f t="shared" si="3"/>
        <v>0.30638773000921049</v>
      </c>
    </row>
    <row r="41" spans="1:26" s="24" customFormat="1" hidden="1" outlineLevel="1" x14ac:dyDescent="0.25">
      <c r="A41" s="44"/>
      <c r="B41" s="11" t="str">
        <f>CONCATENATE("          ", "4082", " - ", "TAXABLE SALES-COMPUTER HARDWAR")</f>
        <v xml:space="preserve">          4082 - TAXABLE SALES-COMPUTER HARDWAR</v>
      </c>
      <c r="C41" s="11"/>
      <c r="D41" s="2">
        <f>--134369.21</f>
        <v>134369.21</v>
      </c>
      <c r="E41" s="2"/>
      <c r="F41" s="19"/>
      <c r="G41" s="2"/>
      <c r="H41" s="2">
        <f>--123555.45</f>
        <v>123555.45</v>
      </c>
      <c r="I41" s="2"/>
      <c r="J41" s="19"/>
      <c r="K41" s="2"/>
      <c r="L41" s="2">
        <f t="shared" si="0"/>
        <v>10813.759999999995</v>
      </c>
      <c r="M41" s="2"/>
      <c r="N41" s="19">
        <f t="shared" si="1"/>
        <v>8.7521513619998104E-2</v>
      </c>
      <c r="O41" s="11"/>
      <c r="P41" s="2">
        <f>--1282930.84</f>
        <v>1282930.8400000001</v>
      </c>
      <c r="Q41" s="2"/>
      <c r="R41" s="19"/>
      <c r="S41" s="2"/>
      <c r="T41" s="2">
        <f>--960445.91</f>
        <v>960445.91</v>
      </c>
      <c r="U41" s="2"/>
      <c r="V41" s="19"/>
      <c r="W41" s="2"/>
      <c r="X41" s="2">
        <f t="shared" si="2"/>
        <v>322484.93000000005</v>
      </c>
      <c r="Y41" s="2"/>
      <c r="Z41" s="19">
        <f t="shared" si="3"/>
        <v>0.33576584234712398</v>
      </c>
    </row>
    <row r="42" spans="1:26" s="24" customFormat="1" hidden="1" outlineLevel="1" x14ac:dyDescent="0.25">
      <c r="A42" s="44"/>
      <c r="B42" s="11" t="str">
        <f>CONCATENATE("          ", "4083", " - ", "TAXABLE SALES-COMPUTER EQUIPME")</f>
        <v xml:space="preserve">          4083 - TAXABLE SALES-COMPUTER EQUIPME</v>
      </c>
      <c r="C42" s="11"/>
      <c r="D42" s="2">
        <f>--10037.71</f>
        <v>10037.709999999999</v>
      </c>
      <c r="E42" s="2"/>
      <c r="F42" s="19"/>
      <c r="G42" s="2"/>
      <c r="H42" s="2">
        <f>--16032.37</f>
        <v>16032.37</v>
      </c>
      <c r="I42" s="2"/>
      <c r="J42" s="19"/>
      <c r="K42" s="2"/>
      <c r="L42" s="2">
        <f t="shared" si="0"/>
        <v>-5994.6600000000017</v>
      </c>
      <c r="M42" s="2"/>
      <c r="N42" s="19">
        <f t="shared" si="1"/>
        <v>-0.37390978376871303</v>
      </c>
      <c r="O42" s="11"/>
      <c r="P42" s="2">
        <f>--64073.62</f>
        <v>64073.62</v>
      </c>
      <c r="Q42" s="2"/>
      <c r="R42" s="19"/>
      <c r="S42" s="2"/>
      <c r="T42" s="2">
        <f>--69719.33</f>
        <v>69719.33</v>
      </c>
      <c r="U42" s="2"/>
      <c r="V42" s="19"/>
      <c r="W42" s="2"/>
      <c r="X42" s="2">
        <f t="shared" si="2"/>
        <v>-5645.7099999999991</v>
      </c>
      <c r="Y42" s="2"/>
      <c r="Z42" s="19">
        <f t="shared" si="3"/>
        <v>-8.097768581539723E-2</v>
      </c>
    </row>
    <row r="43" spans="1:26" s="24" customFormat="1" hidden="1" outlineLevel="1" x14ac:dyDescent="0.25">
      <c r="A43" s="44"/>
      <c r="B43" s="11" t="str">
        <f>CONCATENATE("          ", "4084", " - ", "TAXABLE SALES-SOFTWARE LICENSE")</f>
        <v xml:space="preserve">          4084 - TAXABLE SALES-SOFTWARE LICENSE</v>
      </c>
      <c r="C43" s="11"/>
      <c r="D43" s="2">
        <f t="shared" ref="D43:D44" si="4">0</f>
        <v>0</v>
      </c>
      <c r="E43" s="2"/>
      <c r="F43" s="19"/>
      <c r="G43" s="2"/>
      <c r="H43" s="2">
        <f>--129</f>
        <v>129</v>
      </c>
      <c r="I43" s="2"/>
      <c r="J43" s="19"/>
      <c r="K43" s="2"/>
      <c r="L43" s="2">
        <f t="shared" si="0"/>
        <v>-129</v>
      </c>
      <c r="M43" s="2"/>
      <c r="N43" s="19">
        <f t="shared" si="1"/>
        <v>-1</v>
      </c>
      <c r="O43" s="11"/>
      <c r="P43" s="2">
        <f>--129</f>
        <v>129</v>
      </c>
      <c r="Q43" s="2"/>
      <c r="R43" s="19"/>
      <c r="S43" s="2"/>
      <c r="T43" s="2">
        <f>--407.99</f>
        <v>407.99</v>
      </c>
      <c r="U43" s="2"/>
      <c r="V43" s="19"/>
      <c r="W43" s="2"/>
      <c r="X43" s="2">
        <f t="shared" si="2"/>
        <v>-278.99</v>
      </c>
      <c r="Y43" s="2"/>
      <c r="Z43" s="19">
        <f t="shared" si="3"/>
        <v>-0.68381577979852448</v>
      </c>
    </row>
    <row r="44" spans="1:26" s="24" customFormat="1" hidden="1" outlineLevel="1" x14ac:dyDescent="0.25">
      <c r="A44" s="44"/>
      <c r="B44" s="11" t="str">
        <f>CONCATENATE("          ", "4085", " - ", "TAXABLE SALES-SOFTWARE")</f>
        <v xml:space="preserve">          4085 - TAXABLE SALES-SOFTWARE</v>
      </c>
      <c r="C44" s="11"/>
      <c r="D44" s="2">
        <f t="shared" si="4"/>
        <v>0</v>
      </c>
      <c r="E44" s="2"/>
      <c r="F44" s="19"/>
      <c r="G44" s="2"/>
      <c r="H44" s="2">
        <f>--836</f>
        <v>836</v>
      </c>
      <c r="I44" s="2"/>
      <c r="J44" s="19"/>
      <c r="K44" s="2"/>
      <c r="L44" s="2">
        <f t="shared" si="0"/>
        <v>-836</v>
      </c>
      <c r="M44" s="2"/>
      <c r="N44" s="19">
        <f t="shared" si="1"/>
        <v>-1</v>
      </c>
      <c r="O44" s="11"/>
      <c r="P44" s="2">
        <f>--4407.94</f>
        <v>4407.9399999999996</v>
      </c>
      <c r="Q44" s="2"/>
      <c r="R44" s="19"/>
      <c r="S44" s="2"/>
      <c r="T44" s="2">
        <f>--9438.84</f>
        <v>9438.84</v>
      </c>
      <c r="U44" s="2"/>
      <c r="V44" s="19"/>
      <c r="W44" s="2"/>
      <c r="X44" s="2">
        <f t="shared" si="2"/>
        <v>-5030.9000000000005</v>
      </c>
      <c r="Y44" s="2"/>
      <c r="Z44" s="19">
        <f t="shared" si="3"/>
        <v>-0.53299981777421812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>--3874.61</f>
        <v>3874.61</v>
      </c>
      <c r="E45" s="2"/>
      <c r="F45" s="19"/>
      <c r="G45" s="2"/>
      <c r="H45" s="2">
        <f>--4390.17</f>
        <v>4390.17</v>
      </c>
      <c r="I45" s="2"/>
      <c r="J45" s="19"/>
      <c r="K45" s="2"/>
      <c r="L45" s="2">
        <f t="shared" si="0"/>
        <v>-515.55999999999995</v>
      </c>
      <c r="M45" s="2"/>
      <c r="N45" s="19">
        <f t="shared" si="1"/>
        <v>-0.11743508793509133</v>
      </c>
      <c r="O45" s="11"/>
      <c r="P45" s="2">
        <f>--31007.7</f>
        <v>31007.7</v>
      </c>
      <c r="Q45" s="2"/>
      <c r="R45" s="19"/>
      <c r="S45" s="2"/>
      <c r="T45" s="2">
        <f>--36839.66</f>
        <v>36839.660000000003</v>
      </c>
      <c r="U45" s="2"/>
      <c r="V45" s="19"/>
      <c r="W45" s="2"/>
      <c r="X45" s="2">
        <f t="shared" si="2"/>
        <v>-5831.9600000000028</v>
      </c>
      <c r="Y45" s="2"/>
      <c r="Z45" s="19">
        <f t="shared" si="3"/>
        <v>-0.15830656417567376</v>
      </c>
    </row>
    <row r="46" spans="1:26" s="24" customFormat="1" hidden="1" outlineLevel="1" x14ac:dyDescent="0.25">
      <c r="A46" s="44"/>
      <c r="B46" s="11" t="str">
        <f>CONCATENATE("          ", "4088", " - ", "TAXABLE SALES-MUSIC")</f>
        <v xml:space="preserve">          4088 - TAXABLE SALES-MUSIC</v>
      </c>
      <c r="C46" s="11"/>
      <c r="D46" s="2">
        <f>--118.97</f>
        <v>118.97</v>
      </c>
      <c r="E46" s="2"/>
      <c r="F46" s="19"/>
      <c r="G46" s="2"/>
      <c r="H46" s="2">
        <f>--365.97</f>
        <v>365.97</v>
      </c>
      <c r="I46" s="2"/>
      <c r="J46" s="19"/>
      <c r="K46" s="2"/>
      <c r="L46" s="2">
        <f t="shared" si="0"/>
        <v>-247.00000000000003</v>
      </c>
      <c r="M46" s="2"/>
      <c r="N46" s="19">
        <f t="shared" si="1"/>
        <v>-0.67491870918381291</v>
      </c>
      <c r="O46" s="11"/>
      <c r="P46" s="2">
        <f>--936.91</f>
        <v>936.91</v>
      </c>
      <c r="Q46" s="2"/>
      <c r="R46" s="19"/>
      <c r="S46" s="2"/>
      <c r="T46" s="2">
        <f>--1279.86</f>
        <v>1279.8599999999999</v>
      </c>
      <c r="U46" s="2"/>
      <c r="V46" s="19"/>
      <c r="W46" s="2"/>
      <c r="X46" s="2">
        <f t="shared" si="2"/>
        <v>-342.94999999999993</v>
      </c>
      <c r="Y46" s="2"/>
      <c r="Z46" s="19">
        <f t="shared" si="3"/>
        <v>-0.26795899551513441</v>
      </c>
    </row>
    <row r="47" spans="1:26" s="24" customFormat="1" hidden="1" outlineLevel="1" x14ac:dyDescent="0.25">
      <c r="A47" s="44"/>
      <c r="B47" s="11" t="str">
        <f>CONCATENATE("          ", "4092", " - ", "TAXABLE SALES-GRAD MERCH")</f>
        <v xml:space="preserve">          4092 - TAXABLE SALES-GRAD MERCH</v>
      </c>
      <c r="C47" s="11"/>
      <c r="D47" s="2">
        <f>--2389.54</f>
        <v>2389.54</v>
      </c>
      <c r="E47" s="2"/>
      <c r="F47" s="19"/>
      <c r="G47" s="2"/>
      <c r="H47" s="2">
        <f>--2259.21</f>
        <v>2259.21</v>
      </c>
      <c r="I47" s="2"/>
      <c r="J47" s="19"/>
      <c r="K47" s="2"/>
      <c r="L47" s="2">
        <f t="shared" si="0"/>
        <v>130.32999999999993</v>
      </c>
      <c r="M47" s="2"/>
      <c r="N47" s="19">
        <f t="shared" si="1"/>
        <v>5.768830697456187E-2</v>
      </c>
      <c r="O47" s="11"/>
      <c r="P47" s="2">
        <f>--7440.62</f>
        <v>7440.62</v>
      </c>
      <c r="Q47" s="2"/>
      <c r="R47" s="19"/>
      <c r="S47" s="2"/>
      <c r="T47" s="2">
        <f>--6626.46</f>
        <v>6626.46</v>
      </c>
      <c r="U47" s="2"/>
      <c r="V47" s="19"/>
      <c r="W47" s="2"/>
      <c r="X47" s="2">
        <f t="shared" si="2"/>
        <v>814.15999999999985</v>
      </c>
      <c r="Y47" s="2"/>
      <c r="Z47" s="19">
        <f t="shared" si="3"/>
        <v>0.12286499880780988</v>
      </c>
    </row>
    <row r="48" spans="1:26" s="24" customFormat="1" hidden="1" outlineLevel="1" x14ac:dyDescent="0.25">
      <c r="A48" s="44"/>
      <c r="B48" s="11" t="str">
        <f>CONCATENATE("          ", "4095", " - ", "TAXABLE SALES-CUSTOMER SERVICE")</f>
        <v xml:space="preserve">          4095 - TAXABLE SALES-CUSTOMER SERVICE</v>
      </c>
      <c r="C48" s="11"/>
      <c r="D48" s="2">
        <f>--31.83</f>
        <v>31.83</v>
      </c>
      <c r="E48" s="2"/>
      <c r="F48" s="19"/>
      <c r="G48" s="2"/>
      <c r="H48" s="2">
        <f>--138.7</f>
        <v>138.69999999999999</v>
      </c>
      <c r="I48" s="2"/>
      <c r="J48" s="19"/>
      <c r="K48" s="2"/>
      <c r="L48" s="2">
        <f t="shared" si="0"/>
        <v>-106.86999999999999</v>
      </c>
      <c r="M48" s="2"/>
      <c r="N48" s="19">
        <f t="shared" si="1"/>
        <v>-0.77051189617880311</v>
      </c>
      <c r="O48" s="11"/>
      <c r="P48" s="2">
        <f>--276.44</f>
        <v>276.44</v>
      </c>
      <c r="Q48" s="2"/>
      <c r="R48" s="19"/>
      <c r="S48" s="2"/>
      <c r="T48" s="2">
        <f>--1237.64</f>
        <v>1237.6400000000001</v>
      </c>
      <c r="U48" s="2"/>
      <c r="V48" s="19"/>
      <c r="W48" s="2"/>
      <c r="X48" s="2">
        <f t="shared" si="2"/>
        <v>-961.2</v>
      </c>
      <c r="Y48" s="2"/>
      <c r="Z48" s="19">
        <f t="shared" si="3"/>
        <v>-0.77663941049093432</v>
      </c>
    </row>
    <row r="49" spans="1:26" s="24" customFormat="1" hidden="1" outlineLevel="1" x14ac:dyDescent="0.25">
      <c r="A49" s="44"/>
      <c r="B49" s="11" t="str">
        <f>CONCATENATE("          ", "4100", " - ", "NON-TAXABLE SALES")</f>
        <v xml:space="preserve">          4100 - NON-TAXABLE SALES</v>
      </c>
      <c r="C49" s="11"/>
      <c r="D49" s="2">
        <f>--458.89</f>
        <v>458.89</v>
      </c>
      <c r="E49" s="2"/>
      <c r="F49" s="19"/>
      <c r="G49" s="2"/>
      <c r="H49" s="2">
        <f>--429.98</f>
        <v>429.98</v>
      </c>
      <c r="I49" s="2"/>
      <c r="J49" s="19"/>
      <c r="K49" s="2"/>
      <c r="L49" s="2">
        <f t="shared" si="0"/>
        <v>28.909999999999968</v>
      </c>
      <c r="M49" s="2"/>
      <c r="N49" s="19">
        <f t="shared" si="1"/>
        <v>6.723568538071531E-2</v>
      </c>
      <c r="O49" s="11"/>
      <c r="P49" s="2">
        <f>--335840.56</f>
        <v>335840.56</v>
      </c>
      <c r="Q49" s="2"/>
      <c r="R49" s="19"/>
      <c r="S49" s="2"/>
      <c r="T49" s="2">
        <f>--390740.27</f>
        <v>390740.27</v>
      </c>
      <c r="U49" s="2"/>
      <c r="V49" s="19"/>
      <c r="W49" s="2"/>
      <c r="X49" s="2">
        <f t="shared" si="2"/>
        <v>-54899.710000000021</v>
      </c>
      <c r="Y49" s="2"/>
      <c r="Z49" s="19">
        <f t="shared" si="3"/>
        <v>-0.14050179675619309</v>
      </c>
    </row>
    <row r="50" spans="1:26" s="24" customFormat="1" hidden="1" outlineLevel="1" x14ac:dyDescent="0.25">
      <c r="A50" s="44"/>
      <c r="B50" s="11" t="str">
        <f>CONCATENATE("          ", "4101", " - ", "NON-TAXABLE SALES-NEW TEXT")</f>
        <v xml:space="preserve">          4101 - NON-TAXABLE SALES-NEW TEXT</v>
      </c>
      <c r="C50" s="11"/>
      <c r="D50" s="2">
        <f>--349.66</f>
        <v>349.66</v>
      </c>
      <c r="E50" s="2"/>
      <c r="F50" s="19"/>
      <c r="G50" s="2"/>
      <c r="H50" s="2">
        <f>--643.05</f>
        <v>643.04999999999995</v>
      </c>
      <c r="I50" s="2"/>
      <c r="J50" s="19"/>
      <c r="K50" s="2"/>
      <c r="L50" s="2">
        <f t="shared" si="0"/>
        <v>-293.38999999999993</v>
      </c>
      <c r="M50" s="2"/>
      <c r="N50" s="19">
        <f t="shared" si="1"/>
        <v>-0.45624757017339235</v>
      </c>
      <c r="O50" s="11"/>
      <c r="P50" s="2">
        <f>--92680.75</f>
        <v>92680.75</v>
      </c>
      <c r="Q50" s="2"/>
      <c r="R50" s="19"/>
      <c r="S50" s="2"/>
      <c r="T50" s="2">
        <f>--148652.33</f>
        <v>148652.32999999999</v>
      </c>
      <c r="U50" s="2"/>
      <c r="V50" s="19"/>
      <c r="W50" s="2"/>
      <c r="X50" s="2">
        <f t="shared" si="2"/>
        <v>-55971.579999999987</v>
      </c>
      <c r="Y50" s="2"/>
      <c r="Z50" s="19">
        <f t="shared" si="3"/>
        <v>-0.37652675878003389</v>
      </c>
    </row>
    <row r="51" spans="1:26" s="24" customFormat="1" hidden="1" outlineLevel="1" x14ac:dyDescent="0.25">
      <c r="A51" s="44"/>
      <c r="B51" s="11" t="str">
        <f>CONCATENATE("          ", "4102", " - ", "NON-TAXABLE SALES-USED TEXT")</f>
        <v xml:space="preserve">          4102 - NON-TAXABLE SALES-USED TEXT</v>
      </c>
      <c r="C51" s="11"/>
      <c r="D51" s="2">
        <f>--584.52</f>
        <v>584.52</v>
      </c>
      <c r="E51" s="2"/>
      <c r="F51" s="19"/>
      <c r="G51" s="2"/>
      <c r="H51" s="2">
        <f>--365.45</f>
        <v>365.45</v>
      </c>
      <c r="I51" s="2"/>
      <c r="J51" s="19"/>
      <c r="K51" s="2"/>
      <c r="L51" s="2">
        <f t="shared" si="0"/>
        <v>219.07</v>
      </c>
      <c r="M51" s="2"/>
      <c r="N51" s="19">
        <f t="shared" si="1"/>
        <v>0.59945272951156114</v>
      </c>
      <c r="O51" s="11"/>
      <c r="P51" s="2">
        <f>--37606.84</f>
        <v>37606.839999999997</v>
      </c>
      <c r="Q51" s="2"/>
      <c r="R51" s="19"/>
      <c r="S51" s="2"/>
      <c r="T51" s="2">
        <f>--50860.62</f>
        <v>50860.62</v>
      </c>
      <c r="U51" s="2"/>
      <c r="V51" s="19"/>
      <c r="W51" s="2"/>
      <c r="X51" s="2">
        <f t="shared" si="2"/>
        <v>-13253.780000000006</v>
      </c>
      <c r="Y51" s="2"/>
      <c r="Z51" s="19">
        <f t="shared" si="3"/>
        <v>-0.2605902169497738</v>
      </c>
    </row>
    <row r="52" spans="1:26" s="24" customFormat="1" hidden="1" outlineLevel="1" x14ac:dyDescent="0.25">
      <c r="A52" s="44"/>
      <c r="B52" s="11" t="str">
        <f>CONCATENATE("          ", "4103", " - ", "NON-TAXABLE SALES-RENTAL TEXT")</f>
        <v xml:space="preserve">          4103 - NON-TAXABLE SALES-RENTAL TEXT</v>
      </c>
      <c r="C52" s="11"/>
      <c r="D52" s="2">
        <f>0</f>
        <v>0</v>
      </c>
      <c r="E52" s="2"/>
      <c r="F52" s="19"/>
      <c r="G52" s="2"/>
      <c r="H52" s="2">
        <f>0</f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--329.98</f>
        <v>329.98</v>
      </c>
      <c r="Q52" s="2"/>
      <c r="R52" s="19"/>
      <c r="S52" s="2"/>
      <c r="T52" s="2">
        <f>--509.85</f>
        <v>509.85</v>
      </c>
      <c r="U52" s="2"/>
      <c r="V52" s="19"/>
      <c r="W52" s="2"/>
      <c r="X52" s="2">
        <f t="shared" si="2"/>
        <v>-179.87</v>
      </c>
      <c r="Y52" s="2"/>
      <c r="Z52" s="19">
        <f t="shared" si="3"/>
        <v>-0.35279003628518191</v>
      </c>
    </row>
    <row r="53" spans="1:26" s="24" customFormat="1" hidden="1" outlineLevel="1" x14ac:dyDescent="0.25">
      <c r="A53" s="44"/>
      <c r="B53" s="11" t="str">
        <f>CONCATENATE("          ", "4104", " - ", "NON-TAXABLE SALES-DIGITAL TEXT")</f>
        <v xml:space="preserve">          4104 - NON-TAXABLE SALES-DIGITAL TEXT</v>
      </c>
      <c r="C53" s="11"/>
      <c r="D53" s="2">
        <f>--206.24</f>
        <v>206.24</v>
      </c>
      <c r="E53" s="2"/>
      <c r="F53" s="19"/>
      <c r="G53" s="2"/>
      <c r="H53" s="2">
        <f>--397.48</f>
        <v>397.48</v>
      </c>
      <c r="I53" s="2"/>
      <c r="J53" s="19"/>
      <c r="K53" s="2"/>
      <c r="L53" s="2">
        <f t="shared" si="0"/>
        <v>-191.24</v>
      </c>
      <c r="M53" s="2"/>
      <c r="N53" s="19">
        <f t="shared" si="1"/>
        <v>-0.48113112609439468</v>
      </c>
      <c r="O53" s="11"/>
      <c r="P53" s="2">
        <f>--320699.09</f>
        <v>320699.09000000003</v>
      </c>
      <c r="Q53" s="2"/>
      <c r="R53" s="19"/>
      <c r="S53" s="2"/>
      <c r="T53" s="2">
        <f>--337723.61</f>
        <v>337723.61</v>
      </c>
      <c r="U53" s="2"/>
      <c r="V53" s="19"/>
      <c r="W53" s="2"/>
      <c r="X53" s="2">
        <f t="shared" si="2"/>
        <v>-17024.51999999996</v>
      </c>
      <c r="Y53" s="2"/>
      <c r="Z53" s="19">
        <f t="shared" si="3"/>
        <v>-5.0409623419576624E-2</v>
      </c>
    </row>
    <row r="54" spans="1:26" s="24" customFormat="1" hidden="1" outlineLevel="1" x14ac:dyDescent="0.25">
      <c r="A54" s="44"/>
      <c r="B54" s="11" t="str">
        <f>CONCATENATE("          ", "4111", " - ", "NON-TAXABLE SALES-NO VALUE TEX")</f>
        <v xml:space="preserve">          4111 - NON-TAXABLE SALES-NO VALUE TEX</v>
      </c>
      <c r="C54" s="11"/>
      <c r="D54" s="2">
        <f>--492.72</f>
        <v>492.72</v>
      </c>
      <c r="E54" s="2"/>
      <c r="F54" s="19"/>
      <c r="G54" s="2"/>
      <c r="H54" s="2">
        <f>--204.07</f>
        <v>204.07</v>
      </c>
      <c r="I54" s="2"/>
      <c r="J54" s="19"/>
      <c r="K54" s="2"/>
      <c r="L54" s="2">
        <f t="shared" si="0"/>
        <v>288.65000000000003</v>
      </c>
      <c r="M54" s="2"/>
      <c r="N54" s="19">
        <f t="shared" si="1"/>
        <v>1.4144656245405991</v>
      </c>
      <c r="O54" s="11"/>
      <c r="P54" s="2">
        <f>--7592.19</f>
        <v>7592.19</v>
      </c>
      <c r="Q54" s="2"/>
      <c r="R54" s="19"/>
      <c r="S54" s="2"/>
      <c r="T54" s="2">
        <f>--9917.98</f>
        <v>9917.98</v>
      </c>
      <c r="U54" s="2"/>
      <c r="V54" s="19"/>
      <c r="W54" s="2"/>
      <c r="X54" s="2">
        <f t="shared" si="2"/>
        <v>-2325.79</v>
      </c>
      <c r="Y54" s="2"/>
      <c r="Z54" s="19">
        <f t="shared" si="3"/>
        <v>-0.23450238859122524</v>
      </c>
    </row>
    <row r="55" spans="1:26" s="24" customFormat="1" hidden="1" outlineLevel="1" x14ac:dyDescent="0.25">
      <c r="A55" s="44"/>
      <c r="B55" s="11" t="str">
        <f>CONCATENATE("          ", "4113", " - ", "NON-TAXABLE SALES-TRADE BOOKS")</f>
        <v xml:space="preserve">          4113 - NON-TAXABLE SALES-TRADE BOOKS</v>
      </c>
      <c r="C55" s="11"/>
      <c r="D55" s="2">
        <f>0</f>
        <v>0</v>
      </c>
      <c r="E55" s="2"/>
      <c r="F55" s="19"/>
      <c r="G55" s="2"/>
      <c r="H55" s="2">
        <f>0</f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--1146.72</f>
        <v>1146.72</v>
      </c>
      <c r="Q55" s="2"/>
      <c r="R55" s="19"/>
      <c r="S55" s="2"/>
      <c r="T55" s="2">
        <f>--38.23</f>
        <v>38.229999999999997</v>
      </c>
      <c r="U55" s="2"/>
      <c r="V55" s="19"/>
      <c r="W55" s="2"/>
      <c r="X55" s="2">
        <f t="shared" si="2"/>
        <v>1108.49</v>
      </c>
      <c r="Y55" s="2"/>
      <c r="Z55" s="19">
        <f t="shared" si="3"/>
        <v>28.995291655767723</v>
      </c>
    </row>
    <row r="56" spans="1:26" s="24" customFormat="1" hidden="1" outlineLevel="1" x14ac:dyDescent="0.25">
      <c r="A56" s="44"/>
      <c r="B56" s="11" t="str">
        <f>CONCATENATE("          ", "4118", " - ", "NON-TAXABLE SALES-STUDY GUIDES")</f>
        <v xml:space="preserve">          4118 - NON-TAXABLE SALES-STUDY GUIDES</v>
      </c>
      <c r="C56" s="11"/>
      <c r="D56" s="2">
        <f>--14.04</f>
        <v>14.04</v>
      </c>
      <c r="E56" s="2"/>
      <c r="F56" s="19"/>
      <c r="G56" s="2"/>
      <c r="H56" s="2">
        <f>--10.34</f>
        <v>10.34</v>
      </c>
      <c r="I56" s="2"/>
      <c r="J56" s="19"/>
      <c r="K56" s="2"/>
      <c r="L56" s="2">
        <f t="shared" si="0"/>
        <v>3.6999999999999993</v>
      </c>
      <c r="M56" s="2"/>
      <c r="N56" s="19">
        <f t="shared" si="1"/>
        <v>0.35783365570599607</v>
      </c>
      <c r="O56" s="11"/>
      <c r="P56" s="2">
        <f>--34.96</f>
        <v>34.96</v>
      </c>
      <c r="Q56" s="2"/>
      <c r="R56" s="19"/>
      <c r="S56" s="2"/>
      <c r="T56" s="2">
        <f>--121.75</f>
        <v>121.75</v>
      </c>
      <c r="U56" s="2"/>
      <c r="V56" s="19"/>
      <c r="W56" s="2"/>
      <c r="X56" s="2">
        <f t="shared" si="2"/>
        <v>-86.789999999999992</v>
      </c>
      <c r="Y56" s="2"/>
      <c r="Z56" s="19">
        <f t="shared" si="3"/>
        <v>-0.7128542094455852</v>
      </c>
    </row>
    <row r="57" spans="1:26" s="24" customFormat="1" hidden="1" outlineLevel="1" x14ac:dyDescent="0.25">
      <c r="A57" s="44"/>
      <c r="B57" s="11" t="str">
        <f>CONCATENATE("          ", "4125", " - ", "NON-TAXABLE SALES-TEST FORMS")</f>
        <v xml:space="preserve">          4125 - NON-TAXABLE SALES-TEST FORMS</v>
      </c>
      <c r="C57" s="11"/>
      <c r="D57" s="2">
        <f>0</f>
        <v>0</v>
      </c>
      <c r="E57" s="2"/>
      <c r="F57" s="19"/>
      <c r="G57" s="2"/>
      <c r="H57" s="2">
        <f>0</f>
        <v>0</v>
      </c>
      <c r="I57" s="2"/>
      <c r="J57" s="19"/>
      <c r="K57" s="2"/>
      <c r="L57" s="2">
        <f t="shared" si="0"/>
        <v>0</v>
      </c>
      <c r="M57" s="2"/>
      <c r="N57" s="19">
        <f t="shared" si="1"/>
        <v>0</v>
      </c>
      <c r="O57" s="11"/>
      <c r="P57" s="2">
        <f>--124.18</f>
        <v>124.18</v>
      </c>
      <c r="Q57" s="2"/>
      <c r="R57" s="19"/>
      <c r="S57" s="2"/>
      <c r="T57" s="2">
        <f>--160.73</f>
        <v>160.72999999999999</v>
      </c>
      <c r="U57" s="2"/>
      <c r="V57" s="19"/>
      <c r="W57" s="2"/>
      <c r="X57" s="2">
        <f t="shared" si="2"/>
        <v>-36.549999999999983</v>
      </c>
      <c r="Y57" s="2"/>
      <c r="Z57" s="19">
        <f t="shared" si="3"/>
        <v>-0.22739998755677213</v>
      </c>
    </row>
    <row r="58" spans="1:26" s="24" customFormat="1" hidden="1" outlineLevel="1" x14ac:dyDescent="0.25">
      <c r="A58" s="44"/>
      <c r="B58" s="11" t="str">
        <f>CONCATENATE("          ", "4126", " - ", "NON-TAXABLE SALES-WRITING INST")</f>
        <v xml:space="preserve">          4126 - NON-TAXABLE SALES-WRITING INST</v>
      </c>
      <c r="C58" s="11"/>
      <c r="D58" s="2">
        <f>--11.85</f>
        <v>11.85</v>
      </c>
      <c r="E58" s="2"/>
      <c r="F58" s="19"/>
      <c r="G58" s="2"/>
      <c r="H58" s="2">
        <f>--20.81</f>
        <v>20.81</v>
      </c>
      <c r="I58" s="2"/>
      <c r="J58" s="19"/>
      <c r="K58" s="2"/>
      <c r="L58" s="2">
        <f t="shared" si="0"/>
        <v>-8.9599999999999991</v>
      </c>
      <c r="M58" s="2"/>
      <c r="N58" s="19">
        <f t="shared" si="1"/>
        <v>-0.43056222969726093</v>
      </c>
      <c r="O58" s="11"/>
      <c r="P58" s="2">
        <f>--1470.38</f>
        <v>1470.38</v>
      </c>
      <c r="Q58" s="2"/>
      <c r="R58" s="19"/>
      <c r="S58" s="2"/>
      <c r="T58" s="2">
        <f>--1812.69</f>
        <v>1812.69</v>
      </c>
      <c r="U58" s="2"/>
      <c r="V58" s="19"/>
      <c r="W58" s="2"/>
      <c r="X58" s="2">
        <f t="shared" si="2"/>
        <v>-342.30999999999995</v>
      </c>
      <c r="Y58" s="2"/>
      <c r="Z58" s="19">
        <f t="shared" si="3"/>
        <v>-0.18884089392008557</v>
      </c>
    </row>
    <row r="59" spans="1:26" s="24" customFormat="1" hidden="1" outlineLevel="1" x14ac:dyDescent="0.25">
      <c r="A59" s="44"/>
      <c r="B59" s="11" t="str">
        <f>CONCATENATE("          ", "4127", " - ", "NON-TAXABLE SALES-SCHOOL SUPPL")</f>
        <v xml:space="preserve">          4127 - NON-TAXABLE SALES-SCHOOL SUPPL</v>
      </c>
      <c r="C59" s="11"/>
      <c r="D59" s="2">
        <f>--6.28</f>
        <v>6.28</v>
      </c>
      <c r="E59" s="2"/>
      <c r="F59" s="19"/>
      <c r="G59" s="2"/>
      <c r="H59" s="2">
        <f>--2449.78</f>
        <v>2449.7800000000002</v>
      </c>
      <c r="I59" s="2"/>
      <c r="J59" s="19"/>
      <c r="K59" s="2"/>
      <c r="L59" s="2">
        <f t="shared" si="0"/>
        <v>-2443.5</v>
      </c>
      <c r="M59" s="2"/>
      <c r="N59" s="19">
        <f t="shared" si="1"/>
        <v>-0.99743650450244503</v>
      </c>
      <c r="O59" s="11"/>
      <c r="P59" s="2">
        <f>--2603.4</f>
        <v>2603.4</v>
      </c>
      <c r="Q59" s="2"/>
      <c r="R59" s="19"/>
      <c r="S59" s="2"/>
      <c r="T59" s="2">
        <f>--8725.3</f>
        <v>8725.2999999999993</v>
      </c>
      <c r="U59" s="2"/>
      <c r="V59" s="19"/>
      <c r="W59" s="2"/>
      <c r="X59" s="2">
        <f t="shared" si="2"/>
        <v>-6121.9</v>
      </c>
      <c r="Y59" s="2"/>
      <c r="Z59" s="19">
        <f t="shared" si="3"/>
        <v>-0.70162630511271817</v>
      </c>
    </row>
    <row r="60" spans="1:26" s="24" customFormat="1" hidden="1" outlineLevel="1" x14ac:dyDescent="0.25">
      <c r="A60" s="44"/>
      <c r="B60" s="11" t="str">
        <f>CONCATENATE("          ", "4128", " - ", "NON-TAXABLE SALES-ART/TECH")</f>
        <v xml:space="preserve">          4128 - NON-TAXABLE SALES-ART/TECH</v>
      </c>
      <c r="C60" s="11"/>
      <c r="D60" s="2">
        <f>0</f>
        <v>0</v>
      </c>
      <c r="E60" s="2"/>
      <c r="F60" s="19"/>
      <c r="G60" s="2"/>
      <c r="H60" s="2">
        <f>--1.49</f>
        <v>1.49</v>
      </c>
      <c r="I60" s="2"/>
      <c r="J60" s="19"/>
      <c r="K60" s="2"/>
      <c r="L60" s="2">
        <f t="shared" si="0"/>
        <v>-1.49</v>
      </c>
      <c r="M60" s="2"/>
      <c r="N60" s="19">
        <f t="shared" si="1"/>
        <v>-1</v>
      </c>
      <c r="O60" s="11"/>
      <c r="P60" s="2">
        <f>--348.72</f>
        <v>348.72</v>
      </c>
      <c r="Q60" s="2"/>
      <c r="R60" s="19"/>
      <c r="S60" s="2"/>
      <c r="T60" s="2">
        <f>--625.7</f>
        <v>625.70000000000005</v>
      </c>
      <c r="U60" s="2"/>
      <c r="V60" s="19"/>
      <c r="W60" s="2"/>
      <c r="X60" s="2">
        <f t="shared" si="2"/>
        <v>-276.98</v>
      </c>
      <c r="Y60" s="2"/>
      <c r="Z60" s="19">
        <f t="shared" si="3"/>
        <v>-0.44267220712801664</v>
      </c>
    </row>
    <row r="61" spans="1:26" s="24" customFormat="1" hidden="1" outlineLevel="1" x14ac:dyDescent="0.25">
      <c r="A61" s="44"/>
      <c r="B61" s="11" t="str">
        <f>CONCATENATE("          ", "4131", " - ", "NON-TAXABLE SALES-FOOD")</f>
        <v xml:space="preserve">          4131 - NON-TAXABLE SALES-FOOD</v>
      </c>
      <c r="C61" s="11"/>
      <c r="D61" s="2">
        <f>--8305.09</f>
        <v>8305.09</v>
      </c>
      <c r="E61" s="2"/>
      <c r="F61" s="19"/>
      <c r="G61" s="2"/>
      <c r="H61" s="2">
        <f>--6730.02</f>
        <v>6730.02</v>
      </c>
      <c r="I61" s="2"/>
      <c r="J61" s="19"/>
      <c r="K61" s="2"/>
      <c r="L61" s="2">
        <f t="shared" si="0"/>
        <v>1575.0699999999997</v>
      </c>
      <c r="M61" s="2"/>
      <c r="N61" s="19">
        <f t="shared" si="1"/>
        <v>0.23403645160044095</v>
      </c>
      <c r="O61" s="11"/>
      <c r="P61" s="2">
        <f>--35027.51</f>
        <v>35027.51</v>
      </c>
      <c r="Q61" s="2"/>
      <c r="R61" s="19"/>
      <c r="S61" s="2"/>
      <c r="T61" s="2">
        <f>--33524.19</f>
        <v>33524.19</v>
      </c>
      <c r="U61" s="2"/>
      <c r="V61" s="19"/>
      <c r="W61" s="2"/>
      <c r="X61" s="2">
        <f t="shared" si="2"/>
        <v>1503.3199999999997</v>
      </c>
      <c r="Y61" s="2"/>
      <c r="Z61" s="19">
        <f t="shared" si="3"/>
        <v>4.4842843331934334E-2</v>
      </c>
    </row>
    <row r="62" spans="1:26" s="24" customFormat="1" hidden="1" outlineLevel="1" x14ac:dyDescent="0.25">
      <c r="A62" s="44"/>
      <c r="B62" s="11" t="str">
        <f>CONCATENATE("          ", "4132", " - ", "NON-TAXABLE SALES-JUICE")</f>
        <v xml:space="preserve">          4132 - NON-TAXABLE SALES-JUICE</v>
      </c>
      <c r="C62" s="11"/>
      <c r="D62" s="2">
        <f>--2505.59</f>
        <v>2505.59</v>
      </c>
      <c r="E62" s="2"/>
      <c r="F62" s="19"/>
      <c r="G62" s="2"/>
      <c r="H62" s="2">
        <f>--1795.11</f>
        <v>1795.11</v>
      </c>
      <c r="I62" s="2"/>
      <c r="J62" s="19"/>
      <c r="K62" s="2"/>
      <c r="L62" s="2">
        <f t="shared" si="0"/>
        <v>710.48000000000025</v>
      </c>
      <c r="M62" s="2"/>
      <c r="N62" s="19">
        <f t="shared" si="1"/>
        <v>0.39578633064269059</v>
      </c>
      <c r="O62" s="11"/>
      <c r="P62" s="2">
        <f>--10274.39</f>
        <v>10274.39</v>
      </c>
      <c r="Q62" s="2"/>
      <c r="R62" s="19"/>
      <c r="S62" s="2"/>
      <c r="T62" s="2">
        <f>--8636.19</f>
        <v>8636.19</v>
      </c>
      <c r="U62" s="2"/>
      <c r="V62" s="19"/>
      <c r="W62" s="2"/>
      <c r="X62" s="2">
        <f t="shared" si="2"/>
        <v>1638.1999999999989</v>
      </c>
      <c r="Y62" s="2"/>
      <c r="Z62" s="19">
        <f t="shared" si="3"/>
        <v>0.18969012955944681</v>
      </c>
    </row>
    <row r="63" spans="1:26" s="24" customFormat="1" hidden="1" outlineLevel="1" x14ac:dyDescent="0.25">
      <c r="A63" s="44"/>
      <c r="B63" s="11" t="str">
        <f>CONCATENATE("          ", "4133", " - ", "NON-TAXABLE SALES-CANDY")</f>
        <v xml:space="preserve">          4133 - NON-TAXABLE SALES-CANDY</v>
      </c>
      <c r="C63" s="11"/>
      <c r="D63" s="2">
        <f>--2349.7</f>
        <v>2349.6999999999998</v>
      </c>
      <c r="E63" s="2"/>
      <c r="F63" s="19"/>
      <c r="G63" s="2"/>
      <c r="H63" s="2">
        <f>--1690.3</f>
        <v>1690.3</v>
      </c>
      <c r="I63" s="2"/>
      <c r="J63" s="19"/>
      <c r="K63" s="2"/>
      <c r="L63" s="2">
        <f t="shared" si="0"/>
        <v>659.39999999999986</v>
      </c>
      <c r="M63" s="2"/>
      <c r="N63" s="19">
        <f t="shared" si="1"/>
        <v>0.39010826480506411</v>
      </c>
      <c r="O63" s="11"/>
      <c r="P63" s="2">
        <f>--10816.56</f>
        <v>10816.56</v>
      </c>
      <c r="Q63" s="2"/>
      <c r="R63" s="19"/>
      <c r="S63" s="2"/>
      <c r="T63" s="2">
        <f>--8906.29</f>
        <v>8906.2900000000009</v>
      </c>
      <c r="U63" s="2"/>
      <c r="V63" s="19"/>
      <c r="W63" s="2"/>
      <c r="X63" s="2">
        <f t="shared" si="2"/>
        <v>1910.2699999999986</v>
      </c>
      <c r="Y63" s="2"/>
      <c r="Z63" s="19">
        <f t="shared" si="3"/>
        <v>0.21448549283708462</v>
      </c>
    </row>
    <row r="64" spans="1:26" s="24" customFormat="1" hidden="1" outlineLevel="1" x14ac:dyDescent="0.25">
      <c r="A64" s="44"/>
      <c r="B64" s="11" t="str">
        <f>CONCATENATE("          ", "4134", " - ", "NON-TAXABLE SALES-SODA")</f>
        <v xml:space="preserve">          4134 - NON-TAXABLE SALES-SODA</v>
      </c>
      <c r="C64" s="11"/>
      <c r="D64" s="2">
        <f>0</f>
        <v>0</v>
      </c>
      <c r="E64" s="2"/>
      <c r="F64" s="19"/>
      <c r="G64" s="2"/>
      <c r="H64" s="2">
        <f>0</f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>0</f>
        <v>0</v>
      </c>
      <c r="Q64" s="2"/>
      <c r="R64" s="19"/>
      <c r="S64" s="2"/>
      <c r="T64" s="2">
        <f>--109.47</f>
        <v>109.47</v>
      </c>
      <c r="U64" s="2"/>
      <c r="V64" s="19"/>
      <c r="W64" s="2"/>
      <c r="X64" s="2">
        <f t="shared" si="2"/>
        <v>-109.47</v>
      </c>
      <c r="Y64" s="2"/>
      <c r="Z64" s="19">
        <f t="shared" si="3"/>
        <v>-1</v>
      </c>
    </row>
    <row r="65" spans="1:26" s="24" customFormat="1" hidden="1" outlineLevel="1" x14ac:dyDescent="0.25">
      <c r="A65" s="44"/>
      <c r="B65" s="11" t="str">
        <f>CONCATENATE("          ", "4135", " - ", "NON-TAXABLE SALES")</f>
        <v xml:space="preserve">          4135 - NON-TAXABLE SALES</v>
      </c>
      <c r="C65" s="11"/>
      <c r="D65" s="2">
        <f>--10.77</f>
        <v>10.77</v>
      </c>
      <c r="E65" s="2"/>
      <c r="F65" s="19"/>
      <c r="G65" s="2"/>
      <c r="H65" s="2">
        <f>--14.36</f>
        <v>14.36</v>
      </c>
      <c r="I65" s="2"/>
      <c r="J65" s="19"/>
      <c r="K65" s="2"/>
      <c r="L65" s="2">
        <f t="shared" si="0"/>
        <v>-3.59</v>
      </c>
      <c r="M65" s="2"/>
      <c r="N65" s="19">
        <f t="shared" si="1"/>
        <v>-0.25</v>
      </c>
      <c r="O65" s="11"/>
      <c r="P65" s="2">
        <f>--114.73</f>
        <v>114.73</v>
      </c>
      <c r="Q65" s="2"/>
      <c r="R65" s="19"/>
      <c r="S65" s="2"/>
      <c r="T65" s="2">
        <f>--123.42</f>
        <v>123.42</v>
      </c>
      <c r="U65" s="2"/>
      <c r="V65" s="19"/>
      <c r="W65" s="2"/>
      <c r="X65" s="2">
        <f t="shared" si="2"/>
        <v>-8.6899999999999977</v>
      </c>
      <c r="Y65" s="2"/>
      <c r="Z65" s="19">
        <f t="shared" si="3"/>
        <v>-7.0409982174688038E-2</v>
      </c>
    </row>
    <row r="66" spans="1:26" s="24" customFormat="1" hidden="1" outlineLevel="1" x14ac:dyDescent="0.25">
      <c r="A66" s="44"/>
      <c r="B66" s="11" t="str">
        <f>CONCATENATE("          ", "4137", " - ", "NON-TAXABLE SALES-WATER")</f>
        <v xml:space="preserve">          4137 - NON-TAXABLE SALES-WATER</v>
      </c>
      <c r="C66" s="11"/>
      <c r="D66" s="2">
        <f>--1024.04</f>
        <v>1024.04</v>
      </c>
      <c r="E66" s="2"/>
      <c r="F66" s="19"/>
      <c r="G66" s="2"/>
      <c r="H66" s="2">
        <f>--955.1</f>
        <v>955.1</v>
      </c>
      <c r="I66" s="2"/>
      <c r="J66" s="19"/>
      <c r="K66" s="2"/>
      <c r="L66" s="2">
        <f t="shared" si="0"/>
        <v>68.939999999999941</v>
      </c>
      <c r="M66" s="2"/>
      <c r="N66" s="19">
        <f t="shared" si="1"/>
        <v>7.2180923463511612E-2</v>
      </c>
      <c r="O66" s="11"/>
      <c r="P66" s="2">
        <f>--5289.34</f>
        <v>5289.34</v>
      </c>
      <c r="Q66" s="2"/>
      <c r="R66" s="19"/>
      <c r="S66" s="2"/>
      <c r="T66" s="2">
        <f>--4783.46</f>
        <v>4783.46</v>
      </c>
      <c r="U66" s="2"/>
      <c r="V66" s="19"/>
      <c r="W66" s="2"/>
      <c r="X66" s="2">
        <f t="shared" si="2"/>
        <v>505.88000000000011</v>
      </c>
      <c r="Y66" s="2"/>
      <c r="Z66" s="19">
        <f t="shared" si="3"/>
        <v>0.10575608450786671</v>
      </c>
    </row>
    <row r="67" spans="1:26" s="24" customFormat="1" hidden="1" outlineLevel="1" x14ac:dyDescent="0.25">
      <c r="A67" s="44"/>
      <c r="B67" s="11" t="str">
        <f>CONCATENATE("          ", "4140", " - ", "NON-TAXABLE SALES-LOGO CLOTHIN")</f>
        <v xml:space="preserve">          4140 - NON-TAXABLE SALES-LOGO CLOTHIN</v>
      </c>
      <c r="C67" s="11"/>
      <c r="D67" s="2">
        <f>--7373.27</f>
        <v>7373.27</v>
      </c>
      <c r="E67" s="2"/>
      <c r="F67" s="19"/>
      <c r="G67" s="2"/>
      <c r="H67" s="2">
        <f>--3104.15</f>
        <v>3104.15</v>
      </c>
      <c r="I67" s="2"/>
      <c r="J67" s="19"/>
      <c r="K67" s="2"/>
      <c r="L67" s="2">
        <f t="shared" si="0"/>
        <v>4269.1200000000008</v>
      </c>
      <c r="M67" s="2"/>
      <c r="N67" s="19">
        <f t="shared" si="1"/>
        <v>1.3752943639965853</v>
      </c>
      <c r="O67" s="11"/>
      <c r="P67" s="2">
        <f>--20008.79</f>
        <v>20008.79</v>
      </c>
      <c r="Q67" s="2"/>
      <c r="R67" s="19"/>
      <c r="S67" s="2"/>
      <c r="T67" s="2">
        <f>--14661.16</f>
        <v>14661.16</v>
      </c>
      <c r="U67" s="2"/>
      <c r="V67" s="19"/>
      <c r="W67" s="2"/>
      <c r="X67" s="2">
        <f t="shared" si="2"/>
        <v>5347.630000000001</v>
      </c>
      <c r="Y67" s="2"/>
      <c r="Z67" s="19">
        <f t="shared" si="3"/>
        <v>0.36474808268922793</v>
      </c>
    </row>
    <row r="68" spans="1:26" s="24" customFormat="1" hidden="1" outlineLevel="1" x14ac:dyDescent="0.25">
      <c r="A68" s="44"/>
      <c r="B68" s="11" t="str">
        <f>CONCATENATE("          ", "4141", " - ", "NON-TAXABLE SALES-LOGO GIFTS")</f>
        <v xml:space="preserve">          4141 - NON-TAXABLE SALES-LOGO GIFTS</v>
      </c>
      <c r="C68" s="11"/>
      <c r="D68" s="2">
        <f>--434.35</f>
        <v>434.35</v>
      </c>
      <c r="E68" s="2"/>
      <c r="F68" s="19"/>
      <c r="G68" s="2"/>
      <c r="H68" s="2">
        <f>--203.25</f>
        <v>203.25</v>
      </c>
      <c r="I68" s="2"/>
      <c r="J68" s="19"/>
      <c r="K68" s="2"/>
      <c r="L68" s="2">
        <f t="shared" si="0"/>
        <v>231.10000000000002</v>
      </c>
      <c r="M68" s="2"/>
      <c r="N68" s="19">
        <f t="shared" si="1"/>
        <v>1.1370233702337025</v>
      </c>
      <c r="O68" s="11"/>
      <c r="P68" s="2">
        <f>--1830.28</f>
        <v>1830.28</v>
      </c>
      <c r="Q68" s="2"/>
      <c r="R68" s="19"/>
      <c r="S68" s="2"/>
      <c r="T68" s="2">
        <f>--2672.78</f>
        <v>2672.78</v>
      </c>
      <c r="U68" s="2"/>
      <c r="V68" s="19"/>
      <c r="W68" s="2"/>
      <c r="X68" s="2">
        <f t="shared" si="2"/>
        <v>-842.50000000000023</v>
      </c>
      <c r="Y68" s="2"/>
      <c r="Z68" s="19">
        <f t="shared" si="3"/>
        <v>-0.31521486991072972</v>
      </c>
    </row>
    <row r="69" spans="1:26" s="24" customFormat="1" hidden="1" outlineLevel="1" x14ac:dyDescent="0.25">
      <c r="A69" s="44"/>
      <c r="B69" s="11" t="str">
        <f>CONCATENATE("          ", "4142", " - ", "NON-TAXABLE SALES-EVERYDAY GIF")</f>
        <v xml:space="preserve">          4142 - NON-TAXABLE SALES-EVERYDAY GIF</v>
      </c>
      <c r="C69" s="11"/>
      <c r="D69" s="2">
        <f>--2013.22</f>
        <v>2013.22</v>
      </c>
      <c r="E69" s="2"/>
      <c r="F69" s="19"/>
      <c r="G69" s="2"/>
      <c r="H69" s="2">
        <f>--2443.1</f>
        <v>2443.1</v>
      </c>
      <c r="I69" s="2"/>
      <c r="J69" s="19"/>
      <c r="K69" s="2"/>
      <c r="L69" s="2">
        <f t="shared" si="0"/>
        <v>-429.87999999999988</v>
      </c>
      <c r="M69" s="2"/>
      <c r="N69" s="19">
        <f t="shared" si="1"/>
        <v>-0.17595677622692477</v>
      </c>
      <c r="O69" s="11"/>
      <c r="P69" s="2">
        <f>--7932.83</f>
        <v>7932.83</v>
      </c>
      <c r="Q69" s="2"/>
      <c r="R69" s="19"/>
      <c r="S69" s="2"/>
      <c r="T69" s="2">
        <f>--7561.2</f>
        <v>7561.2</v>
      </c>
      <c r="U69" s="2"/>
      <c r="V69" s="19"/>
      <c r="W69" s="2"/>
      <c r="X69" s="2">
        <f t="shared" si="2"/>
        <v>371.63000000000011</v>
      </c>
      <c r="Y69" s="2"/>
      <c r="Z69" s="19">
        <f t="shared" si="3"/>
        <v>4.9149605882664142E-2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--29.95</f>
        <v>29.95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29.95</v>
      </c>
      <c r="M70" s="2"/>
      <c r="N70" s="19">
        <f t="shared" si="1"/>
        <v>0</v>
      </c>
      <c r="O70" s="11"/>
      <c r="P70" s="2">
        <f>--241.56</f>
        <v>241.56</v>
      </c>
      <c r="Q70" s="2"/>
      <c r="R70" s="19"/>
      <c r="S70" s="2"/>
      <c r="T70" s="2">
        <f>--340.6</f>
        <v>340.6</v>
      </c>
      <c r="U70" s="2"/>
      <c r="V70" s="19"/>
      <c r="W70" s="2"/>
      <c r="X70" s="2">
        <f t="shared" si="2"/>
        <v>-99.04000000000002</v>
      </c>
      <c r="Y70" s="2"/>
      <c r="Z70" s="19">
        <f t="shared" si="3"/>
        <v>-0.29078097475044046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--50</f>
        <v>50</v>
      </c>
      <c r="E71" s="2"/>
      <c r="F71" s="19"/>
      <c r="G71" s="2"/>
      <c r="H71" s="2">
        <f>--1396</f>
        <v>1396</v>
      </c>
      <c r="I71" s="2"/>
      <c r="J71" s="19"/>
      <c r="K71" s="2"/>
      <c r="L71" s="2">
        <f t="shared" si="0"/>
        <v>-1346</v>
      </c>
      <c r="M71" s="2"/>
      <c r="N71" s="19">
        <f t="shared" si="1"/>
        <v>-0.96418338108882518</v>
      </c>
      <c r="O71" s="11"/>
      <c r="P71" s="2">
        <f>--140</f>
        <v>140</v>
      </c>
      <c r="Q71" s="2"/>
      <c r="R71" s="19"/>
      <c r="S71" s="2"/>
      <c r="T71" s="2">
        <f>--1657.6</f>
        <v>1657.6</v>
      </c>
      <c r="U71" s="2"/>
      <c r="V71" s="19"/>
      <c r="W71" s="2"/>
      <c r="X71" s="2">
        <f t="shared" si="2"/>
        <v>-1517.6</v>
      </c>
      <c r="Y71" s="2"/>
      <c r="Z71" s="19">
        <f t="shared" si="3"/>
        <v>-0.91554054054054057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--28930.75</f>
        <v>28930.75</v>
      </c>
      <c r="E72" s="2"/>
      <c r="F72" s="19"/>
      <c r="G72" s="2"/>
      <c r="H72" s="2">
        <f>--27810.05</f>
        <v>27810.05</v>
      </c>
      <c r="I72" s="2"/>
      <c r="J72" s="19"/>
      <c r="K72" s="2"/>
      <c r="L72" s="2">
        <f t="shared" si="0"/>
        <v>1120.7000000000007</v>
      </c>
      <c r="M72" s="2"/>
      <c r="N72" s="19">
        <f t="shared" si="1"/>
        <v>4.0298381340558569E-2</v>
      </c>
      <c r="O72" s="11"/>
      <c r="P72" s="2">
        <f>--119341.05</f>
        <v>119341.05</v>
      </c>
      <c r="Q72" s="2"/>
      <c r="R72" s="19"/>
      <c r="S72" s="2"/>
      <c r="T72" s="2">
        <f>--118051.15</f>
        <v>118051.15</v>
      </c>
      <c r="U72" s="2"/>
      <c r="V72" s="19"/>
      <c r="W72" s="2"/>
      <c r="X72" s="2">
        <f t="shared" si="2"/>
        <v>1289.9000000000087</v>
      </c>
      <c r="Y72" s="2"/>
      <c r="Z72" s="19">
        <f t="shared" si="3"/>
        <v>1.0926619520436767E-2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--75</f>
        <v>75</v>
      </c>
      <c r="E73" s="2"/>
      <c r="F73" s="19"/>
      <c r="G73" s="2"/>
      <c r="H73" s="2">
        <f>--84</f>
        <v>84</v>
      </c>
      <c r="I73" s="2"/>
      <c r="J73" s="19"/>
      <c r="K73" s="2"/>
      <c r="L73" s="2">
        <f t="shared" si="0"/>
        <v>-9</v>
      </c>
      <c r="M73" s="2"/>
      <c r="N73" s="19">
        <f t="shared" si="1"/>
        <v>-0.10714285714285714</v>
      </c>
      <c r="O73" s="11"/>
      <c r="P73" s="2">
        <f>--249.9</f>
        <v>249.9</v>
      </c>
      <c r="Q73" s="2"/>
      <c r="R73" s="19"/>
      <c r="S73" s="2"/>
      <c r="T73" s="2">
        <f>--370</f>
        <v>370</v>
      </c>
      <c r="U73" s="2"/>
      <c r="V73" s="19"/>
      <c r="W73" s="2"/>
      <c r="X73" s="2">
        <f t="shared" si="2"/>
        <v>-120.1</v>
      </c>
      <c r="Y73" s="2"/>
      <c r="Z73" s="19">
        <f t="shared" si="3"/>
        <v>-0.32459459459459455</v>
      </c>
    </row>
    <row r="74" spans="1:26" s="24" customFormat="1" hidden="1" outlineLevel="1" x14ac:dyDescent="0.25">
      <c r="A74" s="44"/>
      <c r="B74" s="11" t="str">
        <f>CONCATENATE("          ", "4181", " - ", "NON-TAXABLE SALES-ELECTRONICS")</f>
        <v xml:space="preserve">          4181 - NON-TAXABLE SALES-ELECTRONICS</v>
      </c>
      <c r="C74" s="11"/>
      <c r="D74" s="2">
        <f>0</f>
        <v>0</v>
      </c>
      <c r="E74" s="2"/>
      <c r="F74" s="19"/>
      <c r="G74" s="2"/>
      <c r="H74" s="2">
        <f>--841.97</f>
        <v>841.97</v>
      </c>
      <c r="I74" s="2"/>
      <c r="J74" s="19"/>
      <c r="K74" s="2"/>
      <c r="L74" s="2">
        <f t="shared" si="0"/>
        <v>-841.97</v>
      </c>
      <c r="M74" s="2"/>
      <c r="N74" s="19">
        <f t="shared" si="1"/>
        <v>-1</v>
      </c>
      <c r="O74" s="11"/>
      <c r="P74" s="2">
        <f>--1462.51</f>
        <v>1462.51</v>
      </c>
      <c r="Q74" s="2"/>
      <c r="R74" s="19"/>
      <c r="S74" s="2"/>
      <c r="T74" s="2">
        <f>--1778.86</f>
        <v>1778.86</v>
      </c>
      <c r="U74" s="2"/>
      <c r="V74" s="19"/>
      <c r="W74" s="2"/>
      <c r="X74" s="2">
        <f t="shared" si="2"/>
        <v>-316.34999999999991</v>
      </c>
      <c r="Y74" s="2"/>
      <c r="Z74" s="19">
        <f t="shared" si="3"/>
        <v>-0.1778386157426666</v>
      </c>
    </row>
    <row r="75" spans="1:26" s="24" customFormat="1" hidden="1" outlineLevel="1" x14ac:dyDescent="0.25">
      <c r="A75" s="44"/>
      <c r="B75" s="11" t="str">
        <f>CONCATENATE("          ", "4182", " - ", "NON-TAXABLE SALES-COMPUTER HAR")</f>
        <v xml:space="preserve">          4182 - NON-TAXABLE SALES-COMPUTER HAR</v>
      </c>
      <c r="C75" s="11"/>
      <c r="D75" s="2">
        <f>--5749</f>
        <v>5749</v>
      </c>
      <c r="E75" s="2"/>
      <c r="F75" s="19"/>
      <c r="G75" s="2"/>
      <c r="H75" s="2">
        <f>--29248.97</f>
        <v>29248.97</v>
      </c>
      <c r="I75" s="2"/>
      <c r="J75" s="19"/>
      <c r="K75" s="2"/>
      <c r="L75" s="2">
        <f t="shared" si="0"/>
        <v>-23499.97</v>
      </c>
      <c r="M75" s="2"/>
      <c r="N75" s="19">
        <f t="shared" si="1"/>
        <v>-0.80344607006674085</v>
      </c>
      <c r="O75" s="11"/>
      <c r="P75" s="2">
        <f>--62309</f>
        <v>62309</v>
      </c>
      <c r="Q75" s="2"/>
      <c r="R75" s="19"/>
      <c r="S75" s="2"/>
      <c r="T75" s="2">
        <f>--148812.85</f>
        <v>148812.85</v>
      </c>
      <c r="U75" s="2"/>
      <c r="V75" s="19"/>
      <c r="W75" s="2"/>
      <c r="X75" s="2">
        <f t="shared" si="2"/>
        <v>-86503.85</v>
      </c>
      <c r="Y75" s="2"/>
      <c r="Z75" s="19">
        <f t="shared" si="3"/>
        <v>-0.58129287894156989</v>
      </c>
    </row>
    <row r="76" spans="1:26" s="24" customFormat="1" hidden="1" outlineLevel="1" x14ac:dyDescent="0.25">
      <c r="A76" s="44"/>
      <c r="B76" s="11" t="str">
        <f>CONCATENATE("          ", "4183", " - ", "NON-TAXABLE SALES-COMPUTER EQU")</f>
        <v xml:space="preserve">          4183 - NON-TAXABLE SALES-COMPUTER EQU</v>
      </c>
      <c r="C76" s="11"/>
      <c r="D76" s="2">
        <f>--249.96</f>
        <v>249.96</v>
      </c>
      <c r="E76" s="2"/>
      <c r="F76" s="19"/>
      <c r="G76" s="2"/>
      <c r="H76" s="2">
        <f>--457.93</f>
        <v>457.93</v>
      </c>
      <c r="I76" s="2"/>
      <c r="J76" s="19"/>
      <c r="K76" s="2"/>
      <c r="L76" s="2">
        <f t="shared" si="0"/>
        <v>-207.97</v>
      </c>
      <c r="M76" s="2"/>
      <c r="N76" s="19">
        <f t="shared" si="1"/>
        <v>-0.45415238136833141</v>
      </c>
      <c r="O76" s="11"/>
      <c r="P76" s="2">
        <f>--3304.88</f>
        <v>3304.88</v>
      </c>
      <c r="Q76" s="2"/>
      <c r="R76" s="19"/>
      <c r="S76" s="2"/>
      <c r="T76" s="2">
        <f>--4600.75</f>
        <v>4600.75</v>
      </c>
      <c r="U76" s="2"/>
      <c r="V76" s="19"/>
      <c r="W76" s="2"/>
      <c r="X76" s="2">
        <f t="shared" si="2"/>
        <v>-1295.8699999999999</v>
      </c>
      <c r="Y76" s="2"/>
      <c r="Z76" s="19">
        <f t="shared" si="3"/>
        <v>-0.28166494593272834</v>
      </c>
    </row>
    <row r="77" spans="1:26" s="24" customFormat="1" hidden="1" outlineLevel="1" x14ac:dyDescent="0.25">
      <c r="A77" s="44"/>
      <c r="B77" s="11" t="str">
        <f>CONCATENATE("          ", "4184", " - ", "NON-TAXABLE SALES-SOFTWARE LIC")</f>
        <v xml:space="preserve">          4184 - NON-TAXABLE SALES-SOFTWARE LIC</v>
      </c>
      <c r="C77" s="11"/>
      <c r="D77" s="2">
        <f>--1206</f>
        <v>1206</v>
      </c>
      <c r="E77" s="2"/>
      <c r="F77" s="19"/>
      <c r="G77" s="2"/>
      <c r="H77" s="2">
        <f>--258</f>
        <v>258</v>
      </c>
      <c r="I77" s="2"/>
      <c r="J77" s="19"/>
      <c r="K77" s="2"/>
      <c r="L77" s="2">
        <f t="shared" si="0"/>
        <v>948</v>
      </c>
      <c r="M77" s="2"/>
      <c r="N77" s="19">
        <f t="shared" si="1"/>
        <v>3.6744186046511627</v>
      </c>
      <c r="O77" s="11"/>
      <c r="P77" s="2">
        <f>--2728</f>
        <v>2728</v>
      </c>
      <c r="Q77" s="2"/>
      <c r="R77" s="19"/>
      <c r="S77" s="2"/>
      <c r="T77" s="2">
        <f>--357</f>
        <v>357</v>
      </c>
      <c r="U77" s="2"/>
      <c r="V77" s="19"/>
      <c r="W77" s="2"/>
      <c r="X77" s="2">
        <f t="shared" si="2"/>
        <v>2371</v>
      </c>
      <c r="Y77" s="2"/>
      <c r="Z77" s="19">
        <f t="shared" si="3"/>
        <v>6.6414565826330536</v>
      </c>
    </row>
    <row r="78" spans="1:26" s="24" customFormat="1" hidden="1" outlineLevel="1" x14ac:dyDescent="0.25">
      <c r="A78" s="44"/>
      <c r="B78" s="11" t="str">
        <f>CONCATENATE("          ", "4185", " - ", "NON-TAXABLE SALES-SOFTWARE")</f>
        <v xml:space="preserve">          4185 - NON-TAXABLE SALES-SOFTWARE</v>
      </c>
      <c r="C78" s="11"/>
      <c r="D78" s="2">
        <f>--495.98</f>
        <v>495.98</v>
      </c>
      <c r="E78" s="2"/>
      <c r="F78" s="19"/>
      <c r="G78" s="2"/>
      <c r="H78" s="2">
        <f>--256</f>
        <v>256</v>
      </c>
      <c r="I78" s="2"/>
      <c r="J78" s="19"/>
      <c r="K78" s="2"/>
      <c r="L78" s="2">
        <f t="shared" si="0"/>
        <v>239.98000000000002</v>
      </c>
      <c r="M78" s="2"/>
      <c r="N78" s="19">
        <f t="shared" si="1"/>
        <v>0.93742187500000007</v>
      </c>
      <c r="O78" s="11"/>
      <c r="P78" s="2">
        <f>--8963.87</f>
        <v>8963.8700000000008</v>
      </c>
      <c r="Q78" s="2"/>
      <c r="R78" s="19"/>
      <c r="S78" s="2"/>
      <c r="T78" s="2">
        <f>--2649.91</f>
        <v>2649.91</v>
      </c>
      <c r="U78" s="2"/>
      <c r="V78" s="19"/>
      <c r="W78" s="2"/>
      <c r="X78" s="2">
        <f t="shared" si="2"/>
        <v>6313.9600000000009</v>
      </c>
      <c r="Y78" s="2"/>
      <c r="Z78" s="19">
        <f t="shared" si="3"/>
        <v>2.3827073372303214</v>
      </c>
    </row>
    <row r="79" spans="1:26" s="24" customFormat="1" hidden="1" outlineLevel="1" x14ac:dyDescent="0.25">
      <c r="A79" s="44"/>
      <c r="B79" s="11" t="str">
        <f>CONCATENATE("          ", "4186", " - ", "NON-TAXABLE SALES-COMPUTER SUP")</f>
        <v xml:space="preserve">          4186 - NON-TAXABLE SALES-COMPUTER SUP</v>
      </c>
      <c r="C79" s="11"/>
      <c r="D79" s="2">
        <f>--49.99</f>
        <v>49.99</v>
      </c>
      <c r="E79" s="2"/>
      <c r="F79" s="19"/>
      <c r="G79" s="2"/>
      <c r="H79" s="2">
        <f>--474.86</f>
        <v>474.86</v>
      </c>
      <c r="I79" s="2"/>
      <c r="J79" s="19"/>
      <c r="K79" s="2"/>
      <c r="L79" s="2">
        <f t="shared" si="0"/>
        <v>-424.87</v>
      </c>
      <c r="M79" s="2"/>
      <c r="N79" s="19">
        <f t="shared" si="1"/>
        <v>-0.89472686686602365</v>
      </c>
      <c r="O79" s="11"/>
      <c r="P79" s="2">
        <f>--1572.4</f>
        <v>1572.4</v>
      </c>
      <c r="Q79" s="2"/>
      <c r="R79" s="19"/>
      <c r="S79" s="2"/>
      <c r="T79" s="2">
        <f>--2831.04</f>
        <v>2831.04</v>
      </c>
      <c r="U79" s="2"/>
      <c r="V79" s="19"/>
      <c r="W79" s="2"/>
      <c r="X79" s="2">
        <f t="shared" si="2"/>
        <v>-1258.6399999999999</v>
      </c>
      <c r="Y79" s="2"/>
      <c r="Z79" s="19">
        <f t="shared" si="3"/>
        <v>-0.44458573527749518</v>
      </c>
    </row>
    <row r="80" spans="1:26" s="24" customFormat="1" hidden="1" outlineLevel="1" x14ac:dyDescent="0.25">
      <c r="A80" s="44"/>
      <c r="B80" s="11" t="str">
        <f>CONCATENATE("          ", "4188", " - ", "NON-TAXABLE SALES-MUSIC")</f>
        <v xml:space="preserve">          4188 - NON-TAXABLE SALES-MUSIC</v>
      </c>
      <c r="C80" s="11"/>
      <c r="D80" s="2">
        <f>0</f>
        <v>0</v>
      </c>
      <c r="E80" s="2"/>
      <c r="F80" s="19"/>
      <c r="G80" s="2"/>
      <c r="H80" s="2">
        <f>0</f>
        <v>0</v>
      </c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--219.96</f>
        <v>219.96</v>
      </c>
      <c r="Q80" s="2"/>
      <c r="R80" s="19"/>
      <c r="S80" s="2"/>
      <c r="T80" s="2">
        <f>--199.98</f>
        <v>199.98</v>
      </c>
      <c r="U80" s="2"/>
      <c r="V80" s="19"/>
      <c r="W80" s="2"/>
      <c r="X80" s="2">
        <f t="shared" si="2"/>
        <v>19.980000000000018</v>
      </c>
      <c r="Y80" s="2"/>
      <c r="Z80" s="19">
        <f t="shared" si="3"/>
        <v>9.9909990999100001E-2</v>
      </c>
    </row>
    <row r="81" spans="1:26" s="24" customFormat="1" hidden="1" outlineLevel="1" x14ac:dyDescent="0.25">
      <c r="A81" s="44"/>
      <c r="B81" s="11" t="str">
        <f>CONCATENATE("          ", "4201", " - ", "SALES RETURN TAXABLE-NEW TEXT")</f>
        <v xml:space="preserve">          4201 - SALES RETURN TAXABLE-NEW TEXT</v>
      </c>
      <c r="C81" s="11"/>
      <c r="D81" s="2">
        <f>-314.9</f>
        <v>-314.89999999999998</v>
      </c>
      <c r="E81" s="2"/>
      <c r="F81" s="19"/>
      <c r="G81" s="2"/>
      <c r="H81" s="2">
        <f>-829.9</f>
        <v>-829.9</v>
      </c>
      <c r="I81" s="2"/>
      <c r="J81" s="19"/>
      <c r="K81" s="2"/>
      <c r="L81" s="2">
        <f t="shared" si="0"/>
        <v>515</v>
      </c>
      <c r="M81" s="2"/>
      <c r="N81" s="19">
        <f t="shared" si="1"/>
        <v>-0.62055669357753951</v>
      </c>
      <c r="O81" s="11"/>
      <c r="P81" s="2">
        <f>-78098.57</f>
        <v>-78098.570000000007</v>
      </c>
      <c r="Q81" s="2"/>
      <c r="R81" s="19"/>
      <c r="S81" s="2"/>
      <c r="T81" s="2">
        <f>-112562.57</f>
        <v>-112562.57</v>
      </c>
      <c r="U81" s="2"/>
      <c r="V81" s="19"/>
      <c r="W81" s="2"/>
      <c r="X81" s="2">
        <f t="shared" si="2"/>
        <v>34464</v>
      </c>
      <c r="Y81" s="2"/>
      <c r="Z81" s="19">
        <f t="shared" si="3"/>
        <v>-0.30617637816904852</v>
      </c>
    </row>
    <row r="82" spans="1:26" s="24" customFormat="1" hidden="1" outlineLevel="1" x14ac:dyDescent="0.25">
      <c r="A82" s="44"/>
      <c r="B82" s="11" t="str">
        <f>CONCATENATE("          ", "4202", " - ", "SALES RETURN TAXABLE-USED TEXT")</f>
        <v xml:space="preserve">          4202 - SALES RETURN TAXABLE-USED TEXT</v>
      </c>
      <c r="C82" s="11"/>
      <c r="D82" s="2">
        <f>-113.2</f>
        <v>-113.2</v>
      </c>
      <c r="E82" s="2"/>
      <c r="F82" s="19"/>
      <c r="G82" s="2"/>
      <c r="H82" s="2">
        <f>-368.75</f>
        <v>-368.75</v>
      </c>
      <c r="I82" s="2"/>
      <c r="J82" s="19"/>
      <c r="K82" s="2"/>
      <c r="L82" s="2">
        <f t="shared" si="0"/>
        <v>255.55</v>
      </c>
      <c r="M82" s="2"/>
      <c r="N82" s="19">
        <f t="shared" si="1"/>
        <v>-0.69301694915254242</v>
      </c>
      <c r="O82" s="11"/>
      <c r="P82" s="2">
        <f>-27042.2</f>
        <v>-27042.2</v>
      </c>
      <c r="Q82" s="2"/>
      <c r="R82" s="19"/>
      <c r="S82" s="2"/>
      <c r="T82" s="2">
        <f>-29468.4</f>
        <v>-29468.400000000001</v>
      </c>
      <c r="U82" s="2"/>
      <c r="V82" s="19"/>
      <c r="W82" s="2"/>
      <c r="X82" s="2">
        <f t="shared" si="2"/>
        <v>2426.2000000000007</v>
      </c>
      <c r="Y82" s="2"/>
      <c r="Z82" s="19">
        <f t="shared" si="3"/>
        <v>-8.2332260998221843E-2</v>
      </c>
    </row>
    <row r="83" spans="1:26" s="24" customFormat="1" hidden="1" outlineLevel="1" x14ac:dyDescent="0.25">
      <c r="A83" s="44"/>
      <c r="B83" s="11" t="str">
        <f>CONCATENATE("          ", "4203", " - ", "SALES RETURN TAXABLE-RENTAL TE")</f>
        <v xml:space="preserve">          4203 - SALES RETURN TAXABLE-RENTAL TE</v>
      </c>
      <c r="C83" s="11"/>
      <c r="D83" s="2">
        <f>0</f>
        <v>0</v>
      </c>
      <c r="E83" s="2"/>
      <c r="F83" s="19"/>
      <c r="G83" s="2"/>
      <c r="H83" s="2">
        <f>-169.95</f>
        <v>-169.95</v>
      </c>
      <c r="I83" s="2"/>
      <c r="J83" s="19"/>
      <c r="K83" s="2"/>
      <c r="L83" s="2">
        <f t="shared" si="0"/>
        <v>169.95</v>
      </c>
      <c r="M83" s="2"/>
      <c r="N83" s="19">
        <f t="shared" si="1"/>
        <v>-1</v>
      </c>
      <c r="O83" s="11"/>
      <c r="P83" s="2">
        <f>-144.99</f>
        <v>-144.99</v>
      </c>
      <c r="Q83" s="2"/>
      <c r="R83" s="19"/>
      <c r="S83" s="2"/>
      <c r="T83" s="2">
        <f>-1699.5</f>
        <v>-1699.5</v>
      </c>
      <c r="U83" s="2"/>
      <c r="V83" s="19"/>
      <c r="W83" s="2"/>
      <c r="X83" s="2">
        <f t="shared" si="2"/>
        <v>1554.51</v>
      </c>
      <c r="Y83" s="2"/>
      <c r="Z83" s="19">
        <f t="shared" si="3"/>
        <v>-0.9146866725507502</v>
      </c>
    </row>
    <row r="84" spans="1:26" s="24" customFormat="1" hidden="1" outlineLevel="1" x14ac:dyDescent="0.25">
      <c r="A84" s="44"/>
      <c r="B84" s="11" t="str">
        <f>CONCATENATE("          ", "4204", " - ", "SALES RETURN TAXABLE-DIGITAL T")</f>
        <v xml:space="preserve">          4204 - SALES RETURN TAXABLE-DIGITAL T</v>
      </c>
      <c r="C84" s="11"/>
      <c r="D84" s="2">
        <f>-119.4</f>
        <v>-119.4</v>
      </c>
      <c r="E84" s="2"/>
      <c r="F84" s="19"/>
      <c r="G84" s="2"/>
      <c r="H84" s="2">
        <f>-487.29</f>
        <v>-487.29</v>
      </c>
      <c r="I84" s="2"/>
      <c r="J84" s="19"/>
      <c r="K84" s="2"/>
      <c r="L84" s="2">
        <f t="shared" si="0"/>
        <v>367.89</v>
      </c>
      <c r="M84" s="2"/>
      <c r="N84" s="19">
        <f t="shared" si="1"/>
        <v>-0.75497137228344513</v>
      </c>
      <c r="O84" s="11"/>
      <c r="P84" s="2">
        <f>-11369.46</f>
        <v>-11369.46</v>
      </c>
      <c r="Q84" s="2"/>
      <c r="R84" s="19"/>
      <c r="S84" s="2"/>
      <c r="T84" s="2">
        <f>-15987.07</f>
        <v>-15987.07</v>
      </c>
      <c r="U84" s="2"/>
      <c r="V84" s="19"/>
      <c r="W84" s="2"/>
      <c r="X84" s="2">
        <f t="shared" si="2"/>
        <v>4617.6100000000006</v>
      </c>
      <c r="Y84" s="2"/>
      <c r="Z84" s="19">
        <f t="shared" si="3"/>
        <v>-0.28883403900777321</v>
      </c>
    </row>
    <row r="85" spans="1:26" s="24" customFormat="1" hidden="1" outlineLevel="1" x14ac:dyDescent="0.25">
      <c r="A85" s="44"/>
      <c r="B85" s="11" t="str">
        <f>CONCATENATE("          ", "4213", " - ", "NON-TAXABLE SALES-TRADE BOOKS")</f>
        <v xml:space="preserve">          4213 - NON-TAXABLE SALES-TRADE BOOKS</v>
      </c>
      <c r="C85" s="11"/>
      <c r="D85" s="2">
        <f>-67.34</f>
        <v>-67.34</v>
      </c>
      <c r="E85" s="2"/>
      <c r="F85" s="19"/>
      <c r="G85" s="2"/>
      <c r="H85" s="2">
        <f>-81.96</f>
        <v>-81.96</v>
      </c>
      <c r="I85" s="2"/>
      <c r="J85" s="19"/>
      <c r="K85" s="2"/>
      <c r="L85" s="2">
        <f t="shared" si="0"/>
        <v>14.61999999999999</v>
      </c>
      <c r="M85" s="2"/>
      <c r="N85" s="19">
        <f t="shared" si="1"/>
        <v>-0.17837969741337228</v>
      </c>
      <c r="O85" s="11"/>
      <c r="P85" s="2">
        <f>-102.71</f>
        <v>-102.71</v>
      </c>
      <c r="Q85" s="2"/>
      <c r="R85" s="19"/>
      <c r="S85" s="2"/>
      <c r="T85" s="2">
        <f>-96.96</f>
        <v>-96.96</v>
      </c>
      <c r="U85" s="2"/>
      <c r="V85" s="19"/>
      <c r="W85" s="2"/>
      <c r="X85" s="2">
        <f t="shared" si="2"/>
        <v>-5.75</v>
      </c>
      <c r="Y85" s="2"/>
      <c r="Z85" s="19">
        <f t="shared" si="3"/>
        <v>5.9302805280528059E-2</v>
      </c>
    </row>
    <row r="86" spans="1:26" s="24" customFormat="1" hidden="1" outlineLevel="1" x14ac:dyDescent="0.25">
      <c r="A86" s="44"/>
      <c r="B86" s="11" t="str">
        <f>CONCATENATE("          ", "4214", " - ", "SALES RETURN TAXABLE-REMAINDER")</f>
        <v xml:space="preserve">          4214 - SALES RETURN TAXABLE-REMAINDER</v>
      </c>
      <c r="C86" s="11"/>
      <c r="D86" s="2">
        <f t="shared" ref="D86:D88" si="5">0</f>
        <v>0</v>
      </c>
      <c r="E86" s="2"/>
      <c r="F86" s="19"/>
      <c r="G86" s="2"/>
      <c r="H86" s="2">
        <f>-3.95</f>
        <v>-3.95</v>
      </c>
      <c r="I86" s="2"/>
      <c r="J86" s="19"/>
      <c r="K86" s="2"/>
      <c r="L86" s="2">
        <f t="shared" si="0"/>
        <v>3.95</v>
      </c>
      <c r="M86" s="2"/>
      <c r="N86" s="19">
        <f t="shared" si="1"/>
        <v>-1</v>
      </c>
      <c r="O86" s="11"/>
      <c r="P86" s="2">
        <f>0</f>
        <v>0</v>
      </c>
      <c r="Q86" s="2"/>
      <c r="R86" s="19"/>
      <c r="S86" s="2"/>
      <c r="T86" s="2">
        <f>-3.95</f>
        <v>-3.95</v>
      </c>
      <c r="U86" s="2"/>
      <c r="V86" s="19"/>
      <c r="W86" s="2"/>
      <c r="X86" s="2">
        <f t="shared" si="2"/>
        <v>3.95</v>
      </c>
      <c r="Y86" s="2"/>
      <c r="Z86" s="19">
        <f t="shared" si="3"/>
        <v>-1</v>
      </c>
    </row>
    <row r="87" spans="1:26" s="24" customFormat="1" hidden="1" outlineLevel="1" x14ac:dyDescent="0.25">
      <c r="A87" s="44"/>
      <c r="B87" s="11" t="str">
        <f>CONCATENATE("          ", "4217", " - ", "NON-TAXABLE SALES-DORM/HOUSEWA")</f>
        <v xml:space="preserve">          4217 - NON-TAXABLE SALES-DORM/HOUSEWA</v>
      </c>
      <c r="C87" s="11"/>
      <c r="D87" s="2">
        <f t="shared" si="5"/>
        <v>0</v>
      </c>
      <c r="E87" s="2"/>
      <c r="F87" s="19"/>
      <c r="G87" s="2"/>
      <c r="H87" s="2">
        <f t="shared" ref="H87:H88" si="6">0</f>
        <v>0</v>
      </c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-2.98</f>
        <v>-2.98</v>
      </c>
      <c r="Q87" s="2"/>
      <c r="R87" s="19"/>
      <c r="S87" s="2"/>
      <c r="T87" s="2">
        <f>-1.5</f>
        <v>-1.5</v>
      </c>
      <c r="U87" s="2"/>
      <c r="V87" s="19"/>
      <c r="W87" s="2"/>
      <c r="X87" s="2">
        <f t="shared" si="2"/>
        <v>-1.48</v>
      </c>
      <c r="Y87" s="2"/>
      <c r="Z87" s="19">
        <f t="shared" si="3"/>
        <v>0.98666666666666669</v>
      </c>
    </row>
    <row r="88" spans="1:26" s="24" customFormat="1" hidden="1" outlineLevel="1" x14ac:dyDescent="0.25">
      <c r="A88" s="44"/>
      <c r="B88" s="11" t="str">
        <f>CONCATENATE("          ", "4218", " - ", "SALES RETURN TAXABLE-STUDY GUI")</f>
        <v xml:space="preserve">          4218 - SALES RETURN TAXABLE-STUDY GUI</v>
      </c>
      <c r="C88" s="11"/>
      <c r="D88" s="2">
        <f t="shared" si="5"/>
        <v>0</v>
      </c>
      <c r="E88" s="2"/>
      <c r="F88" s="19"/>
      <c r="G88" s="2"/>
      <c r="H88" s="2">
        <f t="shared" si="6"/>
        <v>0</v>
      </c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-32.75</f>
        <v>-32.75</v>
      </c>
      <c r="Q88" s="2"/>
      <c r="R88" s="19"/>
      <c r="S88" s="2"/>
      <c r="T88" s="2">
        <f>-22.9</f>
        <v>-22.9</v>
      </c>
      <c r="U88" s="2"/>
      <c r="V88" s="19"/>
      <c r="W88" s="2"/>
      <c r="X88" s="2">
        <f t="shared" si="2"/>
        <v>-9.8500000000000014</v>
      </c>
      <c r="Y88" s="2"/>
      <c r="Z88" s="19">
        <f t="shared" si="3"/>
        <v>0.43013100436681234</v>
      </c>
    </row>
    <row r="89" spans="1:26" s="24" customFormat="1" hidden="1" outlineLevel="1" x14ac:dyDescent="0.25">
      <c r="A89" s="44"/>
      <c r="B89" s="11" t="str">
        <f>CONCATENATE("          ", "4225", " - ", "SALES RETURN TAXABLE-TEST FORM")</f>
        <v xml:space="preserve">          4225 - SALES RETURN TAXABLE-TEST FORM</v>
      </c>
      <c r="C89" s="11"/>
      <c r="D89" s="2">
        <f>-23.91</f>
        <v>-23.91</v>
      </c>
      <c r="E89" s="2"/>
      <c r="F89" s="19"/>
      <c r="G89" s="2"/>
      <c r="H89" s="2">
        <f>-1.13</f>
        <v>-1.1299999999999999</v>
      </c>
      <c r="I89" s="2"/>
      <c r="J89" s="19"/>
      <c r="K89" s="2"/>
      <c r="L89" s="2">
        <f t="shared" si="0"/>
        <v>-22.78</v>
      </c>
      <c r="M89" s="2"/>
      <c r="N89" s="19">
        <f t="shared" si="1"/>
        <v>20.159292035398234</v>
      </c>
      <c r="O89" s="11"/>
      <c r="P89" s="2">
        <f>-65.46</f>
        <v>-65.459999999999994</v>
      </c>
      <c r="Q89" s="2"/>
      <c r="R89" s="19"/>
      <c r="S89" s="2"/>
      <c r="T89" s="2">
        <f>-62.42</f>
        <v>-62.42</v>
      </c>
      <c r="U89" s="2"/>
      <c r="V89" s="19"/>
      <c r="W89" s="2"/>
      <c r="X89" s="2">
        <f t="shared" si="2"/>
        <v>-3.039999999999992</v>
      </c>
      <c r="Y89" s="2"/>
      <c r="Z89" s="19">
        <f t="shared" si="3"/>
        <v>4.8702338993912075E-2</v>
      </c>
    </row>
    <row r="90" spans="1:26" s="24" customFormat="1" hidden="1" outlineLevel="1" x14ac:dyDescent="0.25">
      <c r="A90" s="44"/>
      <c r="B90" s="11" t="str">
        <f>CONCATENATE("          ", "4226", " - ", "SALES RETURN TAXABLE-WRITING I")</f>
        <v xml:space="preserve">          4226 - SALES RETURN TAXABLE-WRITING I</v>
      </c>
      <c r="C90" s="11"/>
      <c r="D90" s="2">
        <f>-13.74</f>
        <v>-13.74</v>
      </c>
      <c r="E90" s="2"/>
      <c r="F90" s="19"/>
      <c r="G90" s="2"/>
      <c r="H90" s="2">
        <f>-20.28</f>
        <v>-20.28</v>
      </c>
      <c r="I90" s="2"/>
      <c r="J90" s="19"/>
      <c r="K90" s="2"/>
      <c r="L90" s="2">
        <f t="shared" si="0"/>
        <v>6.5400000000000009</v>
      </c>
      <c r="M90" s="2"/>
      <c r="N90" s="19">
        <f t="shared" si="1"/>
        <v>-0.32248520710059175</v>
      </c>
      <c r="O90" s="11"/>
      <c r="P90" s="2">
        <f>-489.71</f>
        <v>-489.71</v>
      </c>
      <c r="Q90" s="2"/>
      <c r="R90" s="19"/>
      <c r="S90" s="2"/>
      <c r="T90" s="2">
        <f>-261.43</f>
        <v>-261.43</v>
      </c>
      <c r="U90" s="2"/>
      <c r="V90" s="19"/>
      <c r="W90" s="2"/>
      <c r="X90" s="2">
        <f t="shared" si="2"/>
        <v>-228.27999999999997</v>
      </c>
      <c r="Y90" s="2"/>
      <c r="Z90" s="19">
        <f t="shared" si="3"/>
        <v>0.8731974142217801</v>
      </c>
    </row>
    <row r="91" spans="1:26" s="24" customFormat="1" hidden="1" outlineLevel="1" x14ac:dyDescent="0.25">
      <c r="A91" s="44"/>
      <c r="B91" s="11" t="str">
        <f>CONCATENATE("          ", "4227", " - ", "SALES RETURN TAXABLE-SCHOOL SU")</f>
        <v xml:space="preserve">          4227 - SALES RETURN TAXABLE-SCHOOL SU</v>
      </c>
      <c r="C91" s="11"/>
      <c r="D91" s="2">
        <f>-917.34</f>
        <v>-917.34</v>
      </c>
      <c r="E91" s="2"/>
      <c r="F91" s="19"/>
      <c r="G91" s="2"/>
      <c r="H91" s="2">
        <f>-398.16</f>
        <v>-398.16</v>
      </c>
      <c r="I91" s="2"/>
      <c r="J91" s="19"/>
      <c r="K91" s="2"/>
      <c r="L91" s="2">
        <f t="shared" si="0"/>
        <v>-519.18000000000006</v>
      </c>
      <c r="M91" s="2"/>
      <c r="N91" s="19">
        <f t="shared" si="1"/>
        <v>1.3039481615430983</v>
      </c>
      <c r="O91" s="11"/>
      <c r="P91" s="2">
        <f>-5743.82</f>
        <v>-5743.82</v>
      </c>
      <c r="Q91" s="2"/>
      <c r="R91" s="19"/>
      <c r="S91" s="2"/>
      <c r="T91" s="2">
        <f>-2499</f>
        <v>-2499</v>
      </c>
      <c r="U91" s="2"/>
      <c r="V91" s="19"/>
      <c r="W91" s="2"/>
      <c r="X91" s="2">
        <f t="shared" si="2"/>
        <v>-3244.8199999999997</v>
      </c>
      <c r="Y91" s="2"/>
      <c r="Z91" s="19">
        <f t="shared" si="3"/>
        <v>1.2984473789515805</v>
      </c>
    </row>
    <row r="92" spans="1:26" s="24" customFormat="1" hidden="1" outlineLevel="1" x14ac:dyDescent="0.25">
      <c r="A92" s="44"/>
      <c r="B92" s="11" t="str">
        <f>CONCATENATE("          ", "4228", " - ", "SALES RETURN TAXABLE-ART/TECH")</f>
        <v xml:space="preserve">          4228 - SALES RETURN TAXABLE-ART/TECH</v>
      </c>
      <c r="C92" s="11"/>
      <c r="D92" s="2">
        <f>-441.03</f>
        <v>-441.03</v>
      </c>
      <c r="E92" s="2"/>
      <c r="F92" s="19"/>
      <c r="G92" s="2"/>
      <c r="H92" s="2">
        <f>-371.18</f>
        <v>-371.18</v>
      </c>
      <c r="I92" s="2"/>
      <c r="J92" s="19"/>
      <c r="K92" s="2"/>
      <c r="L92" s="2">
        <f t="shared" si="0"/>
        <v>-69.849999999999966</v>
      </c>
      <c r="M92" s="2"/>
      <c r="N92" s="19">
        <f t="shared" si="1"/>
        <v>0.18818363058354429</v>
      </c>
      <c r="O92" s="11"/>
      <c r="P92" s="2">
        <f>-2871.29</f>
        <v>-2871.29</v>
      </c>
      <c r="Q92" s="2"/>
      <c r="R92" s="19"/>
      <c r="S92" s="2"/>
      <c r="T92" s="2">
        <f>-4147.97</f>
        <v>-4147.97</v>
      </c>
      <c r="U92" s="2"/>
      <c r="V92" s="19"/>
      <c r="W92" s="2"/>
      <c r="X92" s="2">
        <f t="shared" si="2"/>
        <v>1276.6800000000003</v>
      </c>
      <c r="Y92" s="2"/>
      <c r="Z92" s="19">
        <f t="shared" si="3"/>
        <v>-0.30778428966458299</v>
      </c>
    </row>
    <row r="93" spans="1:26" s="24" customFormat="1" hidden="1" outlineLevel="1" x14ac:dyDescent="0.25">
      <c r="A93" s="44"/>
      <c r="B93" s="11" t="str">
        <f>CONCATENATE("          ", "4233", " - ", "SALES RETURN TAXABLE-CANDY")</f>
        <v xml:space="preserve">          4233 - SALES RETURN TAXABLE-CANDY</v>
      </c>
      <c r="C93" s="11"/>
      <c r="D93" s="2">
        <f>-1.29</f>
        <v>-1.29</v>
      </c>
      <c r="E93" s="2"/>
      <c r="F93" s="19"/>
      <c r="G93" s="2"/>
      <c r="H93" s="2">
        <f>0</f>
        <v>0</v>
      </c>
      <c r="I93" s="2"/>
      <c r="J93" s="19"/>
      <c r="K93" s="2"/>
      <c r="L93" s="2">
        <f t="shared" si="0"/>
        <v>-1.29</v>
      </c>
      <c r="M93" s="2"/>
      <c r="N93" s="19">
        <f t="shared" si="1"/>
        <v>0</v>
      </c>
      <c r="O93" s="11"/>
      <c r="P93" s="2">
        <f>-1.29</f>
        <v>-1.29</v>
      </c>
      <c r="Q93" s="2"/>
      <c r="R93" s="19"/>
      <c r="S93" s="2"/>
      <c r="T93" s="2">
        <f>-1.89</f>
        <v>-1.89</v>
      </c>
      <c r="U93" s="2"/>
      <c r="V93" s="19"/>
      <c r="W93" s="2"/>
      <c r="X93" s="2">
        <f t="shared" si="2"/>
        <v>0.59999999999999987</v>
      </c>
      <c r="Y93" s="2"/>
      <c r="Z93" s="19">
        <f t="shared" si="3"/>
        <v>-0.31746031746031739</v>
      </c>
    </row>
    <row r="94" spans="1:26" s="24" customFormat="1" hidden="1" outlineLevel="1" x14ac:dyDescent="0.25">
      <c r="A94" s="44"/>
      <c r="B94" s="11" t="str">
        <f>CONCATENATE("          ", "4240", " - ", "SALES RETURN TAXABLE-LOGO CLOT")</f>
        <v xml:space="preserve">          4240 - SALES RETURN TAXABLE-LOGO CLOT</v>
      </c>
      <c r="C94" s="11"/>
      <c r="D94" s="2">
        <f>-10814.23</f>
        <v>-10814.23</v>
      </c>
      <c r="E94" s="2"/>
      <c r="F94" s="19"/>
      <c r="G94" s="2"/>
      <c r="H94" s="2">
        <f>-7975.12</f>
        <v>-7975.12</v>
      </c>
      <c r="I94" s="2"/>
      <c r="J94" s="19"/>
      <c r="K94" s="2"/>
      <c r="L94" s="2">
        <f t="shared" si="0"/>
        <v>-2839.1099999999997</v>
      </c>
      <c r="M94" s="2"/>
      <c r="N94" s="19">
        <f t="shared" si="1"/>
        <v>0.35599589724041764</v>
      </c>
      <c r="O94" s="11"/>
      <c r="P94" s="2">
        <f>-41109.03</f>
        <v>-41109.03</v>
      </c>
      <c r="Q94" s="2"/>
      <c r="R94" s="19"/>
      <c r="S94" s="2"/>
      <c r="T94" s="2">
        <f>-36596.53</f>
        <v>-36596.53</v>
      </c>
      <c r="U94" s="2"/>
      <c r="V94" s="19"/>
      <c r="W94" s="2"/>
      <c r="X94" s="2">
        <f t="shared" si="2"/>
        <v>-4512.5</v>
      </c>
      <c r="Y94" s="2"/>
      <c r="Z94" s="19">
        <f t="shared" si="3"/>
        <v>0.12330404002783871</v>
      </c>
    </row>
    <row r="95" spans="1:26" s="24" customFormat="1" hidden="1" outlineLevel="1" x14ac:dyDescent="0.25">
      <c r="A95" s="44"/>
      <c r="B95" s="11" t="str">
        <f>CONCATENATE("          ", "4241", " - ", "SALES RETURN TAXABLE-LOGO GIFT")</f>
        <v xml:space="preserve">          4241 - SALES RETURN TAXABLE-LOGO GIFT</v>
      </c>
      <c r="C95" s="11"/>
      <c r="D95" s="2">
        <f>-491.64</f>
        <v>-491.64</v>
      </c>
      <c r="E95" s="2"/>
      <c r="F95" s="19"/>
      <c r="G95" s="2"/>
      <c r="H95" s="2">
        <f>-373.89</f>
        <v>-373.89</v>
      </c>
      <c r="I95" s="2"/>
      <c r="J95" s="19"/>
      <c r="K95" s="2"/>
      <c r="L95" s="2">
        <f t="shared" si="0"/>
        <v>-117.75</v>
      </c>
      <c r="M95" s="2"/>
      <c r="N95" s="19">
        <f t="shared" si="1"/>
        <v>0.31493219930995747</v>
      </c>
      <c r="O95" s="11"/>
      <c r="P95" s="2">
        <f>-3209.59</f>
        <v>-3209.59</v>
      </c>
      <c r="Q95" s="2"/>
      <c r="R95" s="19"/>
      <c r="S95" s="2"/>
      <c r="T95" s="2">
        <f>-3791.56</f>
        <v>-3791.56</v>
      </c>
      <c r="U95" s="2"/>
      <c r="V95" s="19"/>
      <c r="W95" s="2"/>
      <c r="X95" s="2">
        <f t="shared" si="2"/>
        <v>581.9699999999998</v>
      </c>
      <c r="Y95" s="2"/>
      <c r="Z95" s="19">
        <f t="shared" si="3"/>
        <v>-0.1534909113926721</v>
      </c>
    </row>
    <row r="96" spans="1:26" s="24" customFormat="1" hidden="1" outlineLevel="1" x14ac:dyDescent="0.25">
      <c r="A96" s="44"/>
      <c r="B96" s="11" t="str">
        <f>CONCATENATE("          ", "4242", " - ", "SALES RETURN TAXABLE-EVERYDAY")</f>
        <v xml:space="preserve">          4242 - SALES RETURN TAXABLE-EVERYDAY</v>
      </c>
      <c r="C96" s="11"/>
      <c r="D96" s="2">
        <f>-532.3</f>
        <v>-532.29999999999995</v>
      </c>
      <c r="E96" s="2"/>
      <c r="F96" s="19"/>
      <c r="G96" s="2"/>
      <c r="H96" s="2">
        <f>-243.08</f>
        <v>-243.08</v>
      </c>
      <c r="I96" s="2"/>
      <c r="J96" s="19"/>
      <c r="K96" s="2"/>
      <c r="L96" s="2">
        <f t="shared" si="0"/>
        <v>-289.21999999999991</v>
      </c>
      <c r="M96" s="2"/>
      <c r="N96" s="19">
        <f t="shared" si="1"/>
        <v>1.1898140529866705</v>
      </c>
      <c r="O96" s="11"/>
      <c r="P96" s="2">
        <f>-1691.87</f>
        <v>-1691.87</v>
      </c>
      <c r="Q96" s="2"/>
      <c r="R96" s="19"/>
      <c r="S96" s="2"/>
      <c r="T96" s="2">
        <f>-1309.3</f>
        <v>-1309.3</v>
      </c>
      <c r="U96" s="2"/>
      <c r="V96" s="19"/>
      <c r="W96" s="2"/>
      <c r="X96" s="2">
        <f t="shared" si="2"/>
        <v>-382.56999999999994</v>
      </c>
      <c r="Y96" s="2"/>
      <c r="Z96" s="19">
        <f t="shared" si="3"/>
        <v>0.29219430229893834</v>
      </c>
    </row>
    <row r="97" spans="1:26" s="24" customFormat="1" hidden="1" outlineLevel="1" x14ac:dyDescent="0.25">
      <c r="A97" s="44"/>
      <c r="B97" s="11" t="str">
        <f>CONCATENATE("          ", "4243", " - ", "SALES RETURN TAXABLE-CARDS")</f>
        <v xml:space="preserve">          4243 - SALES RETURN TAXABLE-CARDS</v>
      </c>
      <c r="C97" s="11"/>
      <c r="D97" s="2">
        <f>-316.34</f>
        <v>-316.33999999999997</v>
      </c>
      <c r="E97" s="2"/>
      <c r="F97" s="19"/>
      <c r="G97" s="2"/>
      <c r="H97" s="2">
        <f>-7</f>
        <v>-7</v>
      </c>
      <c r="I97" s="2"/>
      <c r="J97" s="19"/>
      <c r="K97" s="2"/>
      <c r="L97" s="2">
        <f t="shared" si="0"/>
        <v>-309.33999999999997</v>
      </c>
      <c r="M97" s="2"/>
      <c r="N97" s="19">
        <f t="shared" si="1"/>
        <v>44.191428571428567</v>
      </c>
      <c r="O97" s="11"/>
      <c r="P97" s="2">
        <f>-320.84</f>
        <v>-320.83999999999997</v>
      </c>
      <c r="Q97" s="2"/>
      <c r="R97" s="19"/>
      <c r="S97" s="2"/>
      <c r="T97" s="2">
        <f>-19.95</f>
        <v>-19.95</v>
      </c>
      <c r="U97" s="2"/>
      <c r="V97" s="19"/>
      <c r="W97" s="2"/>
      <c r="X97" s="2">
        <f t="shared" si="2"/>
        <v>-300.89</v>
      </c>
      <c r="Y97" s="2"/>
      <c r="Z97" s="19">
        <f t="shared" si="3"/>
        <v>15.08220551378446</v>
      </c>
    </row>
    <row r="98" spans="1:26" s="24" customFormat="1" hidden="1" outlineLevel="1" x14ac:dyDescent="0.25">
      <c r="A98" s="44"/>
      <c r="B98" s="11" t="str">
        <f>CONCATENATE("          ", "4244", " - ", "SALES RETURN TAXABLE-ACCESSORI")</f>
        <v xml:space="preserve">          4244 - SALES RETURN TAXABLE-ACCESSORI</v>
      </c>
      <c r="C98" s="11"/>
      <c r="D98" s="2">
        <f>-96.7</f>
        <v>-96.7</v>
      </c>
      <c r="E98" s="2"/>
      <c r="F98" s="19"/>
      <c r="G98" s="2"/>
      <c r="H98" s="2">
        <f>-141.81</f>
        <v>-141.81</v>
      </c>
      <c r="I98" s="2"/>
      <c r="J98" s="19"/>
      <c r="K98" s="2"/>
      <c r="L98" s="2">
        <f t="shared" si="0"/>
        <v>45.11</v>
      </c>
      <c r="M98" s="2"/>
      <c r="N98" s="19">
        <f t="shared" si="1"/>
        <v>-0.31810168535364219</v>
      </c>
      <c r="O98" s="11"/>
      <c r="P98" s="2">
        <f>-1529.06</f>
        <v>-1529.06</v>
      </c>
      <c r="Q98" s="2"/>
      <c r="R98" s="19"/>
      <c r="S98" s="2"/>
      <c r="T98" s="2">
        <f>-2589.87</f>
        <v>-2589.87</v>
      </c>
      <c r="U98" s="2"/>
      <c r="V98" s="19"/>
      <c r="W98" s="2"/>
      <c r="X98" s="2">
        <f t="shared" si="2"/>
        <v>1060.81</v>
      </c>
      <c r="Y98" s="2"/>
      <c r="Z98" s="19">
        <f t="shared" si="3"/>
        <v>-0.40959970963793552</v>
      </c>
    </row>
    <row r="99" spans="1:26" s="24" customFormat="1" hidden="1" outlineLevel="1" x14ac:dyDescent="0.25">
      <c r="A99" s="44"/>
      <c r="B99" s="11" t="str">
        <f>CONCATENATE("          ", "4245", " - ", "SALES RETURN TAXABLE-SPECIAL O")</f>
        <v xml:space="preserve">          4245 - SALES RETURN TAXABLE-SPECIAL O</v>
      </c>
      <c r="C99" s="11"/>
      <c r="D99" s="2">
        <f>0</f>
        <v>0</v>
      </c>
      <c r="E99" s="2"/>
      <c r="F99" s="19"/>
      <c r="G99" s="2"/>
      <c r="H99" s="2">
        <f>-44.94</f>
        <v>-44.94</v>
      </c>
      <c r="I99" s="2"/>
      <c r="J99" s="19"/>
      <c r="K99" s="2"/>
      <c r="L99" s="2">
        <f t="shared" si="0"/>
        <v>44.94</v>
      </c>
      <c r="M99" s="2"/>
      <c r="N99" s="19">
        <f t="shared" si="1"/>
        <v>-1</v>
      </c>
      <c r="O99" s="11"/>
      <c r="P99" s="2">
        <f>-91.96</f>
        <v>-91.96</v>
      </c>
      <c r="Q99" s="2"/>
      <c r="R99" s="19"/>
      <c r="S99" s="2"/>
      <c r="T99" s="2">
        <f>-219.79</f>
        <v>-219.79</v>
      </c>
      <c r="U99" s="2"/>
      <c r="V99" s="19"/>
      <c r="W99" s="2"/>
      <c r="X99" s="2">
        <f t="shared" si="2"/>
        <v>127.83</v>
      </c>
      <c r="Y99" s="2"/>
      <c r="Z99" s="19">
        <f t="shared" si="3"/>
        <v>-0.58160061877246461</v>
      </c>
    </row>
    <row r="100" spans="1:26" s="24" customFormat="1" hidden="1" outlineLevel="1" x14ac:dyDescent="0.25">
      <c r="A100" s="44"/>
      <c r="B100" s="11" t="str">
        <f>CONCATENATE("          ", "4281", " - ", "SALES RETURN TAXABLE-ELECTRONI")</f>
        <v xml:space="preserve">          4281 - SALES RETURN TAXABLE-ELECTRONI</v>
      </c>
      <c r="C100" s="11"/>
      <c r="D100" s="2">
        <f>-445.93</f>
        <v>-445.93</v>
      </c>
      <c r="E100" s="2"/>
      <c r="F100" s="19"/>
      <c r="G100" s="2"/>
      <c r="H100" s="2">
        <f>-646.85</f>
        <v>-646.85</v>
      </c>
      <c r="I100" s="2"/>
      <c r="J100" s="19"/>
      <c r="K100" s="2"/>
      <c r="L100" s="2">
        <f t="shared" si="0"/>
        <v>200.92000000000002</v>
      </c>
      <c r="M100" s="2"/>
      <c r="N100" s="19">
        <f t="shared" si="1"/>
        <v>-0.31061297054958648</v>
      </c>
      <c r="O100" s="11"/>
      <c r="P100" s="2">
        <f>-5047.06</f>
        <v>-5047.0600000000004</v>
      </c>
      <c r="Q100" s="2"/>
      <c r="R100" s="19"/>
      <c r="S100" s="2"/>
      <c r="T100" s="2">
        <f>-4513.02</f>
        <v>-4513.0200000000004</v>
      </c>
      <c r="U100" s="2"/>
      <c r="V100" s="19"/>
      <c r="W100" s="2"/>
      <c r="X100" s="2">
        <f t="shared" si="2"/>
        <v>-534.04</v>
      </c>
      <c r="Y100" s="2"/>
      <c r="Z100" s="19">
        <f t="shared" si="3"/>
        <v>0.11833317822655337</v>
      </c>
    </row>
    <row r="101" spans="1:26" s="24" customFormat="1" hidden="1" outlineLevel="1" x14ac:dyDescent="0.25">
      <c r="A101" s="44"/>
      <c r="B101" s="11" t="str">
        <f>CONCATENATE("          ", "4282", " - ", "SALES RETURN TAXABLE-COMPUTER")</f>
        <v xml:space="preserve">          4282 - SALES RETURN TAXABLE-COMPUTER</v>
      </c>
      <c r="C101" s="11"/>
      <c r="D101" s="2">
        <f>-10339.73</f>
        <v>-10339.73</v>
      </c>
      <c r="E101" s="2"/>
      <c r="F101" s="19"/>
      <c r="G101" s="2"/>
      <c r="H101" s="2">
        <f>-4801.4</f>
        <v>-4801.3999999999996</v>
      </c>
      <c r="I101" s="2"/>
      <c r="J101" s="19"/>
      <c r="K101" s="2"/>
      <c r="L101" s="2">
        <f t="shared" si="0"/>
        <v>-5538.33</v>
      </c>
      <c r="M101" s="2"/>
      <c r="N101" s="19">
        <f t="shared" si="1"/>
        <v>1.1534823176573501</v>
      </c>
      <c r="O101" s="11"/>
      <c r="P101" s="2">
        <f>-180477.59</f>
        <v>-180477.59</v>
      </c>
      <c r="Q101" s="2"/>
      <c r="R101" s="19"/>
      <c r="S101" s="2"/>
      <c r="T101" s="2">
        <f>-37576.67</f>
        <v>-37576.67</v>
      </c>
      <c r="U101" s="2"/>
      <c r="V101" s="19"/>
      <c r="W101" s="2"/>
      <c r="X101" s="2">
        <f t="shared" si="2"/>
        <v>-142900.91999999998</v>
      </c>
      <c r="Y101" s="2"/>
      <c r="Z101" s="19">
        <f t="shared" si="3"/>
        <v>3.8029160114507219</v>
      </c>
    </row>
    <row r="102" spans="1:26" s="24" customFormat="1" hidden="1" outlineLevel="1" x14ac:dyDescent="0.25">
      <c r="A102" s="44"/>
      <c r="B102" s="11" t="str">
        <f>CONCATENATE("          ", "4283", " - ", "SALES RETURN TAXABLE-COMPUTER")</f>
        <v xml:space="preserve">          4283 - SALES RETURN TAXABLE-COMPUTER</v>
      </c>
      <c r="C102" s="11"/>
      <c r="D102" s="2">
        <f>-423.91</f>
        <v>-423.91</v>
      </c>
      <c r="E102" s="2"/>
      <c r="F102" s="19"/>
      <c r="G102" s="2"/>
      <c r="H102" s="2">
        <f>-403.71</f>
        <v>-403.71</v>
      </c>
      <c r="I102" s="2"/>
      <c r="J102" s="19"/>
      <c r="K102" s="2"/>
      <c r="L102" s="2">
        <f t="shared" si="0"/>
        <v>-20.200000000000045</v>
      </c>
      <c r="M102" s="2"/>
      <c r="N102" s="19">
        <f t="shared" si="1"/>
        <v>5.0035916871021394E-2</v>
      </c>
      <c r="O102" s="11"/>
      <c r="P102" s="2">
        <f>-2956.24</f>
        <v>-2956.24</v>
      </c>
      <c r="Q102" s="2"/>
      <c r="R102" s="19"/>
      <c r="S102" s="2"/>
      <c r="T102" s="2">
        <f>-3608.53</f>
        <v>-3608.53</v>
      </c>
      <c r="U102" s="2"/>
      <c r="V102" s="19"/>
      <c r="W102" s="2"/>
      <c r="X102" s="2">
        <f t="shared" si="2"/>
        <v>652.29000000000042</v>
      </c>
      <c r="Y102" s="2"/>
      <c r="Z102" s="19">
        <f t="shared" si="3"/>
        <v>-0.1807633579324546</v>
      </c>
    </row>
    <row r="103" spans="1:26" s="24" customFormat="1" hidden="1" outlineLevel="1" x14ac:dyDescent="0.25">
      <c r="A103" s="44"/>
      <c r="B103" s="11" t="str">
        <f>CONCATENATE("          ", "4284", " - ", "SALES RETURN TAXABLE-SOFTWARE")</f>
        <v xml:space="preserve">          4284 - SALES RETURN TAXABLE-SOFTWARE</v>
      </c>
      <c r="C103" s="11"/>
      <c r="D103" s="2">
        <f t="shared" ref="D103:D104" si="7">0</f>
        <v>0</v>
      </c>
      <c r="E103" s="2"/>
      <c r="F103" s="19"/>
      <c r="G103" s="2"/>
      <c r="H103" s="2">
        <f t="shared" ref="H103:H104" si="8">0</f>
        <v>0</v>
      </c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-129</f>
        <v>-129</v>
      </c>
      <c r="Q103" s="2"/>
      <c r="R103" s="19"/>
      <c r="S103" s="2"/>
      <c r="T103" s="2">
        <f t="shared" ref="T103:T104" si="9">0</f>
        <v>0</v>
      </c>
      <c r="U103" s="2"/>
      <c r="V103" s="19"/>
      <c r="W103" s="2"/>
      <c r="X103" s="2">
        <f t="shared" si="2"/>
        <v>-129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"4285", " - ", "SALES RETURN TAXABLE-SOFTWARE")</f>
        <v xml:space="preserve">          4285 - SALES RETURN TAXABLE-SOFTWARE</v>
      </c>
      <c r="C104" s="11"/>
      <c r="D104" s="2">
        <f t="shared" si="7"/>
        <v>0</v>
      </c>
      <c r="E104" s="2"/>
      <c r="F104" s="19"/>
      <c r="G104" s="2"/>
      <c r="H104" s="2">
        <f t="shared" si="8"/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-655.98</f>
        <v>-655.98</v>
      </c>
      <c r="Q104" s="2"/>
      <c r="R104" s="19"/>
      <c r="S104" s="2"/>
      <c r="T104" s="2">
        <f t="shared" si="9"/>
        <v>0</v>
      </c>
      <c r="U104" s="2"/>
      <c r="V104" s="19"/>
      <c r="W104" s="2"/>
      <c r="X104" s="2">
        <f t="shared" si="2"/>
        <v>-655.98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"4286", " - ", "SALES RETURN TAXABLE-COMPUTER")</f>
        <v xml:space="preserve">          4286 - SALES RETURN TAXABLE-COMPUTER</v>
      </c>
      <c r="C105" s="11"/>
      <c r="D105" s="2">
        <f>-340.39</f>
        <v>-340.39</v>
      </c>
      <c r="E105" s="2"/>
      <c r="F105" s="19"/>
      <c r="G105" s="2"/>
      <c r="H105" s="2">
        <f>-331.06</f>
        <v>-331.06</v>
      </c>
      <c r="I105" s="2"/>
      <c r="J105" s="19"/>
      <c r="K105" s="2"/>
      <c r="L105" s="2">
        <f t="shared" si="0"/>
        <v>-9.3299999999999841</v>
      </c>
      <c r="M105" s="2"/>
      <c r="N105" s="19">
        <f t="shared" si="1"/>
        <v>2.8182202621881182E-2</v>
      </c>
      <c r="O105" s="11"/>
      <c r="P105" s="2">
        <f>-2791.99</f>
        <v>-2791.99</v>
      </c>
      <c r="Q105" s="2"/>
      <c r="R105" s="19"/>
      <c r="S105" s="2"/>
      <c r="T105" s="2">
        <f>-2513.62</f>
        <v>-2513.62</v>
      </c>
      <c r="U105" s="2"/>
      <c r="V105" s="19"/>
      <c r="W105" s="2"/>
      <c r="X105" s="2">
        <f t="shared" si="2"/>
        <v>-278.36999999999989</v>
      </c>
      <c r="Y105" s="2"/>
      <c r="Z105" s="19">
        <f t="shared" si="3"/>
        <v>0.11074466307556428</v>
      </c>
    </row>
    <row r="106" spans="1:26" s="24" customFormat="1" hidden="1" outlineLevel="1" x14ac:dyDescent="0.25">
      <c r="A106" s="44"/>
      <c r="B106" s="11" t="str">
        <f>CONCATENATE("          ", "4288", " - ", "TAXABLE SALES RETURN-MUSIC")</f>
        <v xml:space="preserve">          4288 - TAXABLE SALES RETURN-MUSIC</v>
      </c>
      <c r="C106" s="11"/>
      <c r="D106" s="2">
        <f>0</f>
        <v>0</v>
      </c>
      <c r="E106" s="2"/>
      <c r="F106" s="19"/>
      <c r="G106" s="2"/>
      <c r="H106" s="2">
        <f>0</f>
        <v>0</v>
      </c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-3.99</f>
        <v>-3.99</v>
      </c>
      <c r="Q106" s="2"/>
      <c r="R106" s="19"/>
      <c r="S106" s="2"/>
      <c r="T106" s="2">
        <f>0</f>
        <v>0</v>
      </c>
      <c r="U106" s="2"/>
      <c r="V106" s="19"/>
      <c r="W106" s="2"/>
      <c r="X106" s="2">
        <f t="shared" si="2"/>
        <v>-3.99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"4292", " - ", "SALES RETURN TAXABLE-GRAD MERC")</f>
        <v xml:space="preserve">          4292 - SALES RETURN TAXABLE-GRAD MERC</v>
      </c>
      <c r="C107" s="11"/>
      <c r="D107" s="2">
        <f>-9.95</f>
        <v>-9.9499999999999993</v>
      </c>
      <c r="E107" s="2"/>
      <c r="F107" s="19"/>
      <c r="G107" s="2"/>
      <c r="H107" s="2">
        <f>-9.99</f>
        <v>-9.99</v>
      </c>
      <c r="I107" s="2"/>
      <c r="J107" s="19"/>
      <c r="K107" s="2"/>
      <c r="L107" s="2">
        <f t="shared" si="0"/>
        <v>4.0000000000000924E-2</v>
      </c>
      <c r="M107" s="2"/>
      <c r="N107" s="19">
        <f t="shared" si="1"/>
        <v>-4.0040040040040968E-3</v>
      </c>
      <c r="O107" s="11"/>
      <c r="P107" s="2">
        <f>-419.05</f>
        <v>-419.05</v>
      </c>
      <c r="Q107" s="2"/>
      <c r="R107" s="19"/>
      <c r="S107" s="2"/>
      <c r="T107" s="2">
        <f>-488.24</f>
        <v>-488.24</v>
      </c>
      <c r="U107" s="2"/>
      <c r="V107" s="19"/>
      <c r="W107" s="2"/>
      <c r="X107" s="2">
        <f t="shared" si="2"/>
        <v>69.19</v>
      </c>
      <c r="Y107" s="2"/>
      <c r="Z107" s="19">
        <f t="shared" si="3"/>
        <v>-0.14171309192200557</v>
      </c>
    </row>
    <row r="108" spans="1:26" s="24" customFormat="1" hidden="1" outlineLevel="1" x14ac:dyDescent="0.25">
      <c r="A108" s="44"/>
      <c r="B108" s="11" t="str">
        <f>CONCATENATE("          ", "4295", " - ", "SALES RETURN TAXABLE-CUSTOMER")</f>
        <v xml:space="preserve">          4295 - SALES RETURN TAXABLE-CUSTOMER</v>
      </c>
      <c r="C108" s="11"/>
      <c r="D108" s="2">
        <f t="shared" ref="D108:D111" si="10">0</f>
        <v>0</v>
      </c>
      <c r="E108" s="2"/>
      <c r="F108" s="19"/>
      <c r="G108" s="2"/>
      <c r="H108" s="2">
        <f>-27.72</f>
        <v>-27.72</v>
      </c>
      <c r="I108" s="2"/>
      <c r="J108" s="19"/>
      <c r="K108" s="2"/>
      <c r="L108" s="2">
        <f t="shared" si="0"/>
        <v>27.72</v>
      </c>
      <c r="M108" s="2"/>
      <c r="N108" s="19">
        <f t="shared" si="1"/>
        <v>-1</v>
      </c>
      <c r="O108" s="11"/>
      <c r="P108" s="2">
        <f>--0.99</f>
        <v>0.99</v>
      </c>
      <c r="Q108" s="2"/>
      <c r="R108" s="19"/>
      <c r="S108" s="2"/>
      <c r="T108" s="2">
        <f>-126.72</f>
        <v>-126.72</v>
      </c>
      <c r="U108" s="2"/>
      <c r="V108" s="19"/>
      <c r="W108" s="2"/>
      <c r="X108" s="2">
        <f t="shared" si="2"/>
        <v>127.71</v>
      </c>
      <c r="Y108" s="2"/>
      <c r="Z108" s="19">
        <f t="shared" si="3"/>
        <v>-1.0078125</v>
      </c>
    </row>
    <row r="109" spans="1:26" s="24" customFormat="1" hidden="1" outlineLevel="1" x14ac:dyDescent="0.25">
      <c r="A109" s="44"/>
      <c r="B109" s="11" t="str">
        <f>CONCATENATE("          ", "4301", " - ", "SALES RETURN NON TAXABLE-NEW T")</f>
        <v xml:space="preserve">          4301 - SALES RETURN NON TAXABLE-NEW T</v>
      </c>
      <c r="C109" s="11"/>
      <c r="D109" s="2">
        <f t="shared" si="10"/>
        <v>0</v>
      </c>
      <c r="E109" s="2"/>
      <c r="F109" s="19"/>
      <c r="G109" s="2"/>
      <c r="H109" s="2">
        <f>-111.62</f>
        <v>-111.62</v>
      </c>
      <c r="I109" s="2"/>
      <c r="J109" s="19"/>
      <c r="K109" s="2"/>
      <c r="L109" s="2">
        <f t="shared" si="0"/>
        <v>111.62</v>
      </c>
      <c r="M109" s="2"/>
      <c r="N109" s="19">
        <f t="shared" si="1"/>
        <v>-1</v>
      </c>
      <c r="O109" s="11"/>
      <c r="P109" s="2">
        <f>-12310.98</f>
        <v>-12310.98</v>
      </c>
      <c r="Q109" s="2"/>
      <c r="R109" s="19"/>
      <c r="S109" s="2"/>
      <c r="T109" s="2">
        <f>-25032.99</f>
        <v>-25032.99</v>
      </c>
      <c r="U109" s="2"/>
      <c r="V109" s="19"/>
      <c r="W109" s="2"/>
      <c r="X109" s="2">
        <f t="shared" si="2"/>
        <v>12722.010000000002</v>
      </c>
      <c r="Y109" s="2"/>
      <c r="Z109" s="19">
        <f t="shared" si="3"/>
        <v>-0.50820976639226878</v>
      </c>
    </row>
    <row r="110" spans="1:26" s="24" customFormat="1" hidden="1" outlineLevel="1" x14ac:dyDescent="0.25">
      <c r="A110" s="44"/>
      <c r="B110" s="11" t="str">
        <f>CONCATENATE("          ", "4302", " - ", "SALES RETURN NON TAXABLE-TEXT")</f>
        <v xml:space="preserve">          4302 - SALES RETURN NON TAXABLE-TEXT</v>
      </c>
      <c r="C110" s="11"/>
      <c r="D110" s="2">
        <f t="shared" si="10"/>
        <v>0</v>
      </c>
      <c r="E110" s="2"/>
      <c r="F110" s="19"/>
      <c r="G110" s="2"/>
      <c r="H110" s="2">
        <f>-54</f>
        <v>-54</v>
      </c>
      <c r="I110" s="2"/>
      <c r="J110" s="19"/>
      <c r="K110" s="2"/>
      <c r="L110" s="2">
        <f t="shared" si="0"/>
        <v>54</v>
      </c>
      <c r="M110" s="2"/>
      <c r="N110" s="19">
        <f t="shared" si="1"/>
        <v>-1</v>
      </c>
      <c r="O110" s="11"/>
      <c r="P110" s="2">
        <f>-683.8</f>
        <v>-683.8</v>
      </c>
      <c r="Q110" s="2"/>
      <c r="R110" s="19"/>
      <c r="S110" s="2"/>
      <c r="T110" s="2">
        <f>-2206.04</f>
        <v>-2206.04</v>
      </c>
      <c r="U110" s="2"/>
      <c r="V110" s="19"/>
      <c r="W110" s="2"/>
      <c r="X110" s="2">
        <f t="shared" si="2"/>
        <v>1522.24</v>
      </c>
      <c r="Y110" s="2"/>
      <c r="Z110" s="19">
        <f t="shared" si="3"/>
        <v>-0.69003281898786972</v>
      </c>
    </row>
    <row r="111" spans="1:26" s="24" customFormat="1" hidden="1" outlineLevel="1" x14ac:dyDescent="0.25">
      <c r="A111" s="44"/>
      <c r="B111" s="11" t="str">
        <f>CONCATENATE("          ", "4303", " - ", "SALES RETURN NON-TAXABLE-RENTA")</f>
        <v xml:space="preserve">          4303 - SALES RETURN NON-TAXABLE-RENTA</v>
      </c>
      <c r="C111" s="11"/>
      <c r="D111" s="2">
        <f t="shared" si="10"/>
        <v>0</v>
      </c>
      <c r="E111" s="2"/>
      <c r="F111" s="19"/>
      <c r="G111" s="2"/>
      <c r="H111" s="2">
        <f t="shared" ref="H111:H115" si="11">0</f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-184.99</f>
        <v>-184.99</v>
      </c>
      <c r="Q111" s="2"/>
      <c r="R111" s="19"/>
      <c r="S111" s="2"/>
      <c r="T111" s="2">
        <f>-509.85</f>
        <v>-509.85</v>
      </c>
      <c r="U111" s="2"/>
      <c r="V111" s="19"/>
      <c r="W111" s="2"/>
      <c r="X111" s="2">
        <f t="shared" si="2"/>
        <v>324.86</v>
      </c>
      <c r="Y111" s="2"/>
      <c r="Z111" s="19">
        <f t="shared" si="3"/>
        <v>-0.63716779444934779</v>
      </c>
    </row>
    <row r="112" spans="1:26" s="24" customFormat="1" hidden="1" outlineLevel="1" x14ac:dyDescent="0.25">
      <c r="A112" s="44"/>
      <c r="B112" s="11" t="str">
        <f>CONCATENATE("          ", "4304", " - ", "SALES RETURN NON TAXABLE-DIGIT")</f>
        <v xml:space="preserve">          4304 - SALES RETURN NON TAXABLE-DIGIT</v>
      </c>
      <c r="C112" s="11"/>
      <c r="D112" s="2">
        <f>-70.58</f>
        <v>-70.58</v>
      </c>
      <c r="E112" s="2"/>
      <c r="F112" s="19"/>
      <c r="G112" s="2"/>
      <c r="H112" s="2">
        <f t="shared" si="11"/>
        <v>0</v>
      </c>
      <c r="I112" s="2"/>
      <c r="J112" s="19"/>
      <c r="K112" s="2"/>
      <c r="L112" s="2">
        <f t="shared" si="0"/>
        <v>-70.58</v>
      </c>
      <c r="M112" s="2"/>
      <c r="N112" s="19">
        <f t="shared" si="1"/>
        <v>0</v>
      </c>
      <c r="O112" s="11"/>
      <c r="P112" s="2">
        <f>-13203.87</f>
        <v>-13203.87</v>
      </c>
      <c r="Q112" s="2"/>
      <c r="R112" s="19"/>
      <c r="S112" s="2"/>
      <c r="T112" s="2">
        <f>-3743.75</f>
        <v>-3743.75</v>
      </c>
      <c r="U112" s="2"/>
      <c r="V112" s="19"/>
      <c r="W112" s="2"/>
      <c r="X112" s="2">
        <f t="shared" si="2"/>
        <v>-9460.1200000000008</v>
      </c>
      <c r="Y112" s="2"/>
      <c r="Z112" s="19">
        <f t="shared" si="3"/>
        <v>2.5269101836393992</v>
      </c>
    </row>
    <row r="113" spans="1:26" s="24" customFormat="1" hidden="1" outlineLevel="1" x14ac:dyDescent="0.25">
      <c r="A113" s="44"/>
      <c r="B113" s="11" t="str">
        <f>CONCATENATE("          ", "4311", " - ", "SALES RETURN NON TAXABLE-NO VA")</f>
        <v xml:space="preserve">          4311 - SALES RETURN NON TAXABLE-NO VA</v>
      </c>
      <c r="C113" s="11"/>
      <c r="D113" s="2">
        <f t="shared" ref="D113:D115" si="12">0</f>
        <v>0</v>
      </c>
      <c r="E113" s="2"/>
      <c r="F113" s="19"/>
      <c r="G113" s="2"/>
      <c r="H113" s="2">
        <f t="shared" si="11"/>
        <v>0</v>
      </c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-387.96</f>
        <v>-387.96</v>
      </c>
      <c r="Q113" s="2"/>
      <c r="R113" s="19"/>
      <c r="S113" s="2"/>
      <c r="T113" s="2">
        <f>-586.28</f>
        <v>-586.28</v>
      </c>
      <c r="U113" s="2"/>
      <c r="V113" s="19"/>
      <c r="W113" s="2"/>
      <c r="X113" s="2">
        <f t="shared" si="2"/>
        <v>198.32</v>
      </c>
      <c r="Y113" s="2"/>
      <c r="Z113" s="19">
        <f t="shared" si="3"/>
        <v>-0.33826840417547932</v>
      </c>
    </row>
    <row r="114" spans="1:26" s="24" customFormat="1" hidden="1" outlineLevel="1" x14ac:dyDescent="0.25">
      <c r="A114" s="44"/>
      <c r="B114" s="11" t="str">
        <f>CONCATENATE("          ", "4326", " - ", "SALES RETURN NON TAXABLE-WRITI")</f>
        <v xml:space="preserve">          4326 - SALES RETURN NON TAXABLE-WRITI</v>
      </c>
      <c r="C114" s="11"/>
      <c r="D114" s="2">
        <f t="shared" si="12"/>
        <v>0</v>
      </c>
      <c r="E114" s="2"/>
      <c r="F114" s="19"/>
      <c r="G114" s="2"/>
      <c r="H114" s="2">
        <f t="shared" si="11"/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0</f>
        <v>0</v>
      </c>
      <c r="Q114" s="2"/>
      <c r="R114" s="19"/>
      <c r="S114" s="2"/>
      <c r="T114" s="2">
        <f>-8.08</f>
        <v>-8.08</v>
      </c>
      <c r="U114" s="2"/>
      <c r="V114" s="19"/>
      <c r="W114" s="2"/>
      <c r="X114" s="2">
        <f t="shared" si="2"/>
        <v>8.08</v>
      </c>
      <c r="Y114" s="2"/>
      <c r="Z114" s="19">
        <f t="shared" si="3"/>
        <v>-1</v>
      </c>
    </row>
    <row r="115" spans="1:26" s="24" customFormat="1" hidden="1" outlineLevel="1" x14ac:dyDescent="0.25">
      <c r="A115" s="44"/>
      <c r="B115" s="11" t="str">
        <f>CONCATENATE("          ", "4327", " - ", "SALES RETURN NON TAXABLE-SCHOO")</f>
        <v xml:space="preserve">          4327 - SALES RETURN NON TAXABLE-SCHOO</v>
      </c>
      <c r="C115" s="11"/>
      <c r="D115" s="2">
        <f t="shared" si="12"/>
        <v>0</v>
      </c>
      <c r="E115" s="2"/>
      <c r="F115" s="19"/>
      <c r="G115" s="2"/>
      <c r="H115" s="2">
        <f t="shared" si="11"/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-21.87</f>
        <v>-21.87</v>
      </c>
      <c r="Q115" s="2"/>
      <c r="R115" s="19"/>
      <c r="S115" s="2"/>
      <c r="T115" s="2">
        <f>0</f>
        <v>0</v>
      </c>
      <c r="U115" s="2"/>
      <c r="V115" s="19"/>
      <c r="W115" s="2"/>
      <c r="X115" s="2">
        <f t="shared" si="2"/>
        <v>-21.87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"4340", " - ", "SALES RETURN NON TAXABLE-LOGO")</f>
        <v xml:space="preserve">          4340 - SALES RETURN NON TAXABLE-LOGO</v>
      </c>
      <c r="C116" s="11"/>
      <c r="D116" s="2">
        <f>-29.95</f>
        <v>-29.95</v>
      </c>
      <c r="E116" s="2"/>
      <c r="F116" s="19"/>
      <c r="G116" s="2"/>
      <c r="H116" s="2">
        <f>-34.95</f>
        <v>-34.950000000000003</v>
      </c>
      <c r="I116" s="2"/>
      <c r="J116" s="19"/>
      <c r="K116" s="2"/>
      <c r="L116" s="2">
        <f t="shared" si="0"/>
        <v>5.0000000000000036</v>
      </c>
      <c r="M116" s="2"/>
      <c r="N116" s="19">
        <f t="shared" si="1"/>
        <v>-0.14306151645207449</v>
      </c>
      <c r="O116" s="11"/>
      <c r="P116" s="2">
        <f>-323.4</f>
        <v>-323.39999999999998</v>
      </c>
      <c r="Q116" s="2"/>
      <c r="R116" s="19"/>
      <c r="S116" s="2"/>
      <c r="T116" s="2">
        <f>-301.59</f>
        <v>-301.58999999999997</v>
      </c>
      <c r="U116" s="2"/>
      <c r="V116" s="19"/>
      <c r="W116" s="2"/>
      <c r="X116" s="2">
        <f t="shared" si="2"/>
        <v>-21.810000000000002</v>
      </c>
      <c r="Y116" s="2"/>
      <c r="Z116" s="19">
        <f t="shared" si="3"/>
        <v>7.2316721376703488E-2</v>
      </c>
    </row>
    <row r="117" spans="1:26" s="24" customFormat="1" hidden="1" outlineLevel="1" x14ac:dyDescent="0.25">
      <c r="A117" s="44"/>
      <c r="B117" s="11" t="str">
        <f>CONCATENATE("          ", "4341", " - ", "SALES RETURN NON TAXABLE-LOGO")</f>
        <v xml:space="preserve">          4341 - SALES RETURN NON TAXABLE-LOGO</v>
      </c>
      <c r="C117" s="11"/>
      <c r="D117" s="2">
        <f>0</f>
        <v>0</v>
      </c>
      <c r="E117" s="2"/>
      <c r="F117" s="19"/>
      <c r="G117" s="2"/>
      <c r="H117" s="2">
        <f t="shared" ref="H117:H122" si="13">0</f>
        <v>0</v>
      </c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-10.9</f>
        <v>-10.9</v>
      </c>
      <c r="Q117" s="2"/>
      <c r="R117" s="19"/>
      <c r="S117" s="2"/>
      <c r="T117" s="2">
        <f>-60</f>
        <v>-60</v>
      </c>
      <c r="U117" s="2"/>
      <c r="V117" s="19"/>
      <c r="W117" s="2"/>
      <c r="X117" s="2">
        <f t="shared" si="2"/>
        <v>49.1</v>
      </c>
      <c r="Y117" s="2"/>
      <c r="Z117" s="19">
        <f t="shared" si="3"/>
        <v>-0.81833333333333336</v>
      </c>
    </row>
    <row r="118" spans="1:26" s="24" customFormat="1" hidden="1" outlineLevel="1" x14ac:dyDescent="0.25">
      <c r="A118" s="44"/>
      <c r="B118" s="11" t="str">
        <f>CONCATENATE("          ", "4342", " - ", "SALES RETURN NON TAXABLE-EVERY")</f>
        <v xml:space="preserve">          4342 - SALES RETURN NON TAXABLE-EVERY</v>
      </c>
      <c r="C118" s="11"/>
      <c r="D118" s="2">
        <f>-6.95</f>
        <v>-6.95</v>
      </c>
      <c r="E118" s="2"/>
      <c r="F118" s="19"/>
      <c r="G118" s="2"/>
      <c r="H118" s="2">
        <f t="shared" si="13"/>
        <v>0</v>
      </c>
      <c r="I118" s="2"/>
      <c r="J118" s="19"/>
      <c r="K118" s="2"/>
      <c r="L118" s="2">
        <f t="shared" si="0"/>
        <v>-6.95</v>
      </c>
      <c r="M118" s="2"/>
      <c r="N118" s="19">
        <f t="shared" si="1"/>
        <v>0</v>
      </c>
      <c r="O118" s="11"/>
      <c r="P118" s="2">
        <f>-109.8</f>
        <v>-109.8</v>
      </c>
      <c r="Q118" s="2"/>
      <c r="R118" s="19"/>
      <c r="S118" s="2"/>
      <c r="T118" s="2">
        <f t="shared" ref="T118:T120" si="14">0</f>
        <v>0</v>
      </c>
      <c r="U118" s="2"/>
      <c r="V118" s="19"/>
      <c r="W118" s="2"/>
      <c r="X118" s="2">
        <f t="shared" si="2"/>
        <v>-109.8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"4346", " - ", "SALES RETURN NON TAXABLE-COIN-")</f>
        <v xml:space="preserve">          4346 - SALES RETURN NON TAXABLE-COIN-</v>
      </c>
      <c r="C119" s="11"/>
      <c r="D119" s="2">
        <f t="shared" ref="D119:D122" si="15">0</f>
        <v>0</v>
      </c>
      <c r="E119" s="2"/>
      <c r="F119" s="19"/>
      <c r="G119" s="2"/>
      <c r="H119" s="2">
        <f t="shared" si="13"/>
        <v>0</v>
      </c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-8.15</f>
        <v>-8.15</v>
      </c>
      <c r="Q119" s="2"/>
      <c r="R119" s="19"/>
      <c r="S119" s="2"/>
      <c r="T119" s="2">
        <f t="shared" si="14"/>
        <v>0</v>
      </c>
      <c r="U119" s="2"/>
      <c r="V119" s="19"/>
      <c r="W119" s="2"/>
      <c r="X119" s="2">
        <f t="shared" si="2"/>
        <v>-8.15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"4381", " - ", "SALES RETURN NON TAXABLE-ELECT")</f>
        <v xml:space="preserve">          4381 - SALES RETURN NON TAXABLE-ELECT</v>
      </c>
      <c r="C120" s="11"/>
      <c r="D120" s="2">
        <f t="shared" si="15"/>
        <v>0</v>
      </c>
      <c r="E120" s="2"/>
      <c r="F120" s="19"/>
      <c r="G120" s="2"/>
      <c r="H120" s="2">
        <f t="shared" si="13"/>
        <v>0</v>
      </c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-1279.84</f>
        <v>-1279.8399999999999</v>
      </c>
      <c r="Q120" s="2"/>
      <c r="R120" s="19"/>
      <c r="S120" s="2"/>
      <c r="T120" s="2">
        <f t="shared" si="14"/>
        <v>0</v>
      </c>
      <c r="U120" s="2"/>
      <c r="V120" s="19"/>
      <c r="W120" s="2"/>
      <c r="X120" s="2">
        <f t="shared" si="2"/>
        <v>-1279.8399999999999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"4383", " - ", "SALES RETURN NON TAXABLE-COMPU")</f>
        <v xml:space="preserve">          4383 - SALES RETURN NON TAXABLE-COMPU</v>
      </c>
      <c r="C121" s="11"/>
      <c r="D121" s="2">
        <f t="shared" si="15"/>
        <v>0</v>
      </c>
      <c r="E121" s="2"/>
      <c r="F121" s="19"/>
      <c r="G121" s="2"/>
      <c r="H121" s="2">
        <f t="shared" si="13"/>
        <v>0</v>
      </c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-49.98</f>
        <v>-49.98</v>
      </c>
      <c r="Q121" s="2"/>
      <c r="R121" s="19"/>
      <c r="S121" s="2"/>
      <c r="T121" s="2">
        <f>-13.99</f>
        <v>-13.99</v>
      </c>
      <c r="U121" s="2"/>
      <c r="V121" s="19"/>
      <c r="W121" s="2"/>
      <c r="X121" s="2">
        <f t="shared" si="2"/>
        <v>-35.989999999999995</v>
      </c>
      <c r="Y121" s="2"/>
      <c r="Z121" s="19">
        <f t="shared" si="3"/>
        <v>2.5725518227305213</v>
      </c>
    </row>
    <row r="122" spans="1:26" s="24" customFormat="1" hidden="1" outlineLevel="1" x14ac:dyDescent="0.25">
      <c r="A122" s="44"/>
      <c r="B122" s="11" t="str">
        <f>CONCATENATE("          ", "4386", " - ", "SALES RETURN NON TAXABLE-COMPU")</f>
        <v xml:space="preserve">          4386 - SALES RETURN NON TAXABLE-COMPU</v>
      </c>
      <c r="C122" s="11"/>
      <c r="D122" s="2">
        <f t="shared" si="15"/>
        <v>0</v>
      </c>
      <c r="E122" s="2"/>
      <c r="F122" s="19"/>
      <c r="G122" s="2"/>
      <c r="H122" s="2">
        <f t="shared" si="13"/>
        <v>0</v>
      </c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-54.97</f>
        <v>-54.97</v>
      </c>
      <c r="Q122" s="2"/>
      <c r="R122" s="19"/>
      <c r="S122" s="2"/>
      <c r="T122" s="2">
        <f>0</f>
        <v>0</v>
      </c>
      <c r="U122" s="2"/>
      <c r="V122" s="19"/>
      <c r="W122" s="2"/>
      <c r="X122" s="2">
        <f t="shared" si="2"/>
        <v>-54.97</v>
      </c>
      <c r="Y122" s="2"/>
      <c r="Z122" s="19">
        <f t="shared" si="3"/>
        <v>0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collapsed="1" x14ac:dyDescent="0.25">
      <c r="A124" s="10"/>
      <c r="B124" s="28" t="s">
        <v>8</v>
      </c>
      <c r="C124" s="10"/>
      <c r="D124" s="4">
        <f>SUM(OSRRefD16x_0)</f>
        <v>347490.74000000022</v>
      </c>
      <c r="E124" s="4"/>
      <c r="F124" s="12">
        <f t="shared" ref="F124:F181" si="16">IF(D$12=0,0,D124/D$12)</f>
        <v>0.56887061309466402</v>
      </c>
      <c r="G124" s="4"/>
      <c r="H124" s="4">
        <f>SUM(OSRRefH16x_0)</f>
        <v>306965.19</v>
      </c>
      <c r="I124" s="4"/>
      <c r="J124" s="12">
        <f t="shared" ref="J124:J181" si="17">IF(H$12=0,0,H124/H$12)</f>
        <v>0.57614083049251485</v>
      </c>
      <c r="K124" s="4"/>
      <c r="L124" s="4">
        <f t="shared" ref="L124:L181" si="18">+D124-H124</f>
        <v>40525.550000000221</v>
      </c>
      <c r="M124" s="4"/>
      <c r="N124" s="12">
        <f t="shared" ref="N124:N181" si="19">IF(H124=0,0,L124/H124)</f>
        <v>0.13202001829588633</v>
      </c>
      <c r="O124" s="10"/>
      <c r="P124" s="4">
        <f>SUM(OSRRefP16x_0)</f>
        <v>4362764.9600000009</v>
      </c>
      <c r="Q124" s="4"/>
      <c r="R124" s="12">
        <f t="shared" ref="R124:R181" si="20">IF(P$12=0,0,P124/P$12)</f>
        <v>0.66403689829471801</v>
      </c>
      <c r="S124" s="4"/>
      <c r="T124" s="4">
        <f>SUM(OSRRefT16x_0)</f>
        <v>4481225.47</v>
      </c>
      <c r="U124" s="4"/>
      <c r="V124" s="12">
        <f t="shared" ref="V124:V181" si="21">IF(T$12=0,0,T124/T$12)</f>
        <v>0.66544239593634913</v>
      </c>
      <c r="W124" s="4"/>
      <c r="X124" s="4">
        <f t="shared" ref="X124:X181" si="22">+P124-T124</f>
        <v>-118460.50999999885</v>
      </c>
      <c r="Y124" s="4"/>
      <c r="Z124" s="12">
        <f t="shared" ref="Z124:Z181" si="23">IF(T124=0,0,X124/T124)</f>
        <v>-2.6434847073204475E-2</v>
      </c>
    </row>
    <row r="125" spans="1:26" s="24" customFormat="1" hidden="1" outlineLevel="1" x14ac:dyDescent="0.25">
      <c r="A125" s="44"/>
      <c r="B125" s="11" t="str">
        <f>CONCATENATE("          ", "5001", " - ", "PURCHASES @ COST-NEW TEXT")</f>
        <v xml:space="preserve">          5001 - PURCHASES @ COST-NEW TEXT</v>
      </c>
      <c r="C125" s="11"/>
      <c r="D125" s="2">
        <v>-175297.72999999998</v>
      </c>
      <c r="E125" s="2"/>
      <c r="F125" s="19">
        <f t="shared" si="16"/>
        <v>-0.28697664616675195</v>
      </c>
      <c r="G125" s="2"/>
      <c r="H125" s="2">
        <v>-3892.46</v>
      </c>
      <c r="I125" s="2"/>
      <c r="J125" s="19">
        <f t="shared" si="17"/>
        <v>-7.3057311060543851E-3</v>
      </c>
      <c r="K125" s="2"/>
      <c r="L125" s="2">
        <f t="shared" si="18"/>
        <v>-171405.27</v>
      </c>
      <c r="M125" s="2"/>
      <c r="N125" s="19">
        <f t="shared" si="19"/>
        <v>44.03520395842218</v>
      </c>
      <c r="O125" s="11"/>
      <c r="P125" s="2">
        <v>1581850.69</v>
      </c>
      <c r="Q125" s="2"/>
      <c r="R125" s="19">
        <f t="shared" si="20"/>
        <v>0.2407664028164743</v>
      </c>
      <c r="S125" s="2"/>
      <c r="T125" s="2">
        <v>1720657.5599999998</v>
      </c>
      <c r="U125" s="2"/>
      <c r="V125" s="19">
        <f t="shared" si="21"/>
        <v>0.25551012707967857</v>
      </c>
      <c r="W125" s="2"/>
      <c r="X125" s="2">
        <f t="shared" si="22"/>
        <v>-138806.86999999988</v>
      </c>
      <c r="Y125" s="2"/>
      <c r="Z125" s="19">
        <f t="shared" si="23"/>
        <v>-8.0670827959515606E-2</v>
      </c>
    </row>
    <row r="126" spans="1:26" s="24" customFormat="1" hidden="1" outlineLevel="1" x14ac:dyDescent="0.25">
      <c r="A126" s="44"/>
      <c r="B126" s="11" t="str">
        <f>CONCATENATE("          ", "5002", " - ", "PURCHASES @ COST-USED TEXT")</f>
        <v xml:space="preserve">          5002 - PURCHASES @ COST-USED TEXT</v>
      </c>
      <c r="C126" s="11"/>
      <c r="D126" s="2">
        <v>-155785.26999999999</v>
      </c>
      <c r="E126" s="2"/>
      <c r="F126" s="19">
        <f t="shared" si="16"/>
        <v>-0.25503316162041528</v>
      </c>
      <c r="G126" s="2"/>
      <c r="H126" s="2">
        <v>-8649.41</v>
      </c>
      <c r="I126" s="2"/>
      <c r="J126" s="19">
        <f t="shared" si="17"/>
        <v>-1.6234017481494445E-2</v>
      </c>
      <c r="K126" s="2"/>
      <c r="L126" s="2">
        <f t="shared" si="18"/>
        <v>-147135.85999999999</v>
      </c>
      <c r="M126" s="2"/>
      <c r="N126" s="19">
        <f t="shared" si="19"/>
        <v>17.011086305308684</v>
      </c>
      <c r="O126" s="11"/>
      <c r="P126" s="2">
        <v>212247.9</v>
      </c>
      <c r="Q126" s="2"/>
      <c r="R126" s="19">
        <f t="shared" si="20"/>
        <v>3.230530144937431E-2</v>
      </c>
      <c r="S126" s="2"/>
      <c r="T126" s="2">
        <v>308318.01</v>
      </c>
      <c r="U126" s="2"/>
      <c r="V126" s="19">
        <f t="shared" si="21"/>
        <v>4.5783876901138665E-2</v>
      </c>
      <c r="W126" s="2"/>
      <c r="X126" s="2">
        <f t="shared" si="22"/>
        <v>-96070.110000000015</v>
      </c>
      <c r="Y126" s="2"/>
      <c r="Z126" s="19">
        <f t="shared" si="23"/>
        <v>-0.31159422052574876</v>
      </c>
    </row>
    <row r="127" spans="1:26" s="24" customFormat="1" hidden="1" outlineLevel="1" x14ac:dyDescent="0.25">
      <c r="A127" s="44"/>
      <c r="B127" s="11" t="str">
        <f>CONCATENATE("          ", "5003", " - ", "PURCHASES @ COST-RENTAL TEXT")</f>
        <v xml:space="preserve">          5003 - PURCHASES @ COST-RENTAL TEXT</v>
      </c>
      <c r="C127" s="11"/>
      <c r="D127" s="2"/>
      <c r="E127" s="2"/>
      <c r="F127" s="19">
        <f t="shared" si="16"/>
        <v>0</v>
      </c>
      <c r="G127" s="2"/>
      <c r="H127" s="2">
        <v>-1948.8</v>
      </c>
      <c r="I127" s="2"/>
      <c r="J127" s="19">
        <f t="shared" si="17"/>
        <v>-3.6576891681555585E-3</v>
      </c>
      <c r="K127" s="2"/>
      <c r="L127" s="2">
        <f t="shared" si="18"/>
        <v>1948.8</v>
      </c>
      <c r="M127" s="2"/>
      <c r="N127" s="19">
        <f t="shared" si="19"/>
        <v>-1</v>
      </c>
      <c r="O127" s="11"/>
      <c r="P127" s="2">
        <v>-78.400000000000006</v>
      </c>
      <c r="Q127" s="2"/>
      <c r="R127" s="19">
        <f t="shared" si="20"/>
        <v>-1.1932912568892066E-5</v>
      </c>
      <c r="S127" s="2"/>
      <c r="T127" s="2">
        <v>-1763.7</v>
      </c>
      <c r="U127" s="2"/>
      <c r="V127" s="19">
        <f t="shared" si="21"/>
        <v>-2.6190174129152647E-4</v>
      </c>
      <c r="W127" s="2"/>
      <c r="X127" s="2">
        <f t="shared" si="22"/>
        <v>1685.3</v>
      </c>
      <c r="Y127" s="2"/>
      <c r="Z127" s="19">
        <f t="shared" si="23"/>
        <v>-0.95554799569087712</v>
      </c>
    </row>
    <row r="128" spans="1:26" s="24" customFormat="1" hidden="1" outlineLevel="1" x14ac:dyDescent="0.25">
      <c r="A128" s="44"/>
      <c r="B128" s="11" t="str">
        <f>CONCATENATE("          ", "5004", " - ", "PURCHASES @ COST-DIGITAL TEXT")</f>
        <v xml:space="preserve">          5004 - PURCHASES @ COST-DIGITAL TEXT</v>
      </c>
      <c r="C128" s="11"/>
      <c r="D128" s="2">
        <v>0.94</v>
      </c>
      <c r="E128" s="2"/>
      <c r="F128" s="19">
        <f t="shared" si="16"/>
        <v>1.5388564780430804E-6</v>
      </c>
      <c r="G128" s="2"/>
      <c r="H128" s="2">
        <v>15359.04</v>
      </c>
      <c r="I128" s="2"/>
      <c r="J128" s="19">
        <f t="shared" si="17"/>
        <v>2.8827275370108763E-2</v>
      </c>
      <c r="K128" s="2"/>
      <c r="L128" s="2">
        <f t="shared" si="18"/>
        <v>-15358.1</v>
      </c>
      <c r="M128" s="2"/>
      <c r="N128" s="19">
        <f t="shared" si="19"/>
        <v>-0.9999387982582244</v>
      </c>
      <c r="O128" s="11"/>
      <c r="P128" s="2">
        <v>322779.97000000003</v>
      </c>
      <c r="Q128" s="2"/>
      <c r="R128" s="19">
        <f t="shared" si="20"/>
        <v>4.9128892359688828E-2</v>
      </c>
      <c r="S128" s="2"/>
      <c r="T128" s="2">
        <v>306955.37</v>
      </c>
      <c r="U128" s="2"/>
      <c r="V128" s="19">
        <f t="shared" si="21"/>
        <v>4.5581530816910347E-2</v>
      </c>
      <c r="W128" s="2"/>
      <c r="X128" s="2">
        <f t="shared" si="22"/>
        <v>15824.600000000035</v>
      </c>
      <c r="Y128" s="2"/>
      <c r="Z128" s="19">
        <f t="shared" si="23"/>
        <v>5.1553422896625116E-2</v>
      </c>
    </row>
    <row r="129" spans="1:26" s="24" customFormat="1" hidden="1" outlineLevel="1" x14ac:dyDescent="0.25">
      <c r="A129" s="44"/>
      <c r="B129" s="11" t="str">
        <f>CONCATENATE("          ", "5011", " - ", "PURCHASES @ COST-NO VALUE TEXT")</f>
        <v xml:space="preserve">          5011 - PURCHASES @ COST-NO VALUE TEXT</v>
      </c>
      <c r="C129" s="11"/>
      <c r="D129" s="2">
        <v>66</v>
      </c>
      <c r="E129" s="2"/>
      <c r="F129" s="19">
        <f t="shared" si="16"/>
        <v>1.0804736973493969E-4</v>
      </c>
      <c r="G129" s="2"/>
      <c r="H129" s="2">
        <v>63</v>
      </c>
      <c r="I129" s="2"/>
      <c r="J129" s="19">
        <f t="shared" si="17"/>
        <v>1.1824426190158057E-4</v>
      </c>
      <c r="K129" s="2"/>
      <c r="L129" s="2">
        <f t="shared" si="18"/>
        <v>3</v>
      </c>
      <c r="M129" s="2"/>
      <c r="N129" s="19">
        <f t="shared" si="19"/>
        <v>4.7619047619047616E-2</v>
      </c>
      <c r="O129" s="11"/>
      <c r="P129" s="2">
        <v>3741</v>
      </c>
      <c r="Q129" s="2"/>
      <c r="R129" s="19">
        <f t="shared" si="20"/>
        <v>5.6940084081919917E-4</v>
      </c>
      <c r="S129" s="2"/>
      <c r="T129" s="2">
        <v>2838</v>
      </c>
      <c r="U129" s="2"/>
      <c r="V129" s="19">
        <f t="shared" si="21"/>
        <v>4.2143059578463005E-4</v>
      </c>
      <c r="W129" s="2"/>
      <c r="X129" s="2">
        <f t="shared" si="22"/>
        <v>903</v>
      </c>
      <c r="Y129" s="2"/>
      <c r="Z129" s="19">
        <f t="shared" si="23"/>
        <v>0.31818181818181818</v>
      </c>
    </row>
    <row r="130" spans="1:26" s="24" customFormat="1" hidden="1" outlineLevel="1" x14ac:dyDescent="0.25">
      <c r="A130" s="44"/>
      <c r="B130" s="11" t="str">
        <f>CONCATENATE("          ", "5013", " - ", "PURCHASES @ COST-TRADE BOOKS")</f>
        <v xml:space="preserve">          5013 - PURCHASES @ COST-TRADE BOOKS</v>
      </c>
      <c r="C130" s="11"/>
      <c r="D130" s="2">
        <v>10.79</v>
      </c>
      <c r="E130" s="2"/>
      <c r="F130" s="19">
        <f t="shared" si="16"/>
        <v>1.7664107870303018E-5</v>
      </c>
      <c r="G130" s="2"/>
      <c r="H130" s="2">
        <v>270</v>
      </c>
      <c r="I130" s="2"/>
      <c r="J130" s="19">
        <f t="shared" si="17"/>
        <v>5.0676112243534528E-4</v>
      </c>
      <c r="K130" s="2"/>
      <c r="L130" s="2">
        <f t="shared" si="18"/>
        <v>-259.20999999999998</v>
      </c>
      <c r="M130" s="2"/>
      <c r="N130" s="19">
        <f t="shared" si="19"/>
        <v>-0.96003703703703691</v>
      </c>
      <c r="O130" s="11"/>
      <c r="P130" s="2">
        <v>698.14</v>
      </c>
      <c r="Q130" s="2"/>
      <c r="R130" s="19">
        <f t="shared" si="20"/>
        <v>1.0626075995977431E-4</v>
      </c>
      <c r="S130" s="2"/>
      <c r="T130" s="2">
        <v>1406.94</v>
      </c>
      <c r="U130" s="2"/>
      <c r="V130" s="19">
        <f t="shared" si="21"/>
        <v>2.0892444060367424E-4</v>
      </c>
      <c r="W130" s="2"/>
      <c r="X130" s="2">
        <f t="shared" si="22"/>
        <v>-708.80000000000007</v>
      </c>
      <c r="Y130" s="2"/>
      <c r="Z130" s="19">
        <f t="shared" si="23"/>
        <v>-0.50378836339858135</v>
      </c>
    </row>
    <row r="131" spans="1:26" s="24" customFormat="1" hidden="1" outlineLevel="1" x14ac:dyDescent="0.25">
      <c r="A131" s="44"/>
      <c r="B131" s="11" t="str">
        <f>CONCATENATE("          ", "5014", " - ", "PURCHASES @ COST-REMAINDERS")</f>
        <v xml:space="preserve">          5014 - PURCHASES @ COST-REMAINDERS</v>
      </c>
      <c r="C131" s="11"/>
      <c r="D131" s="2">
        <v>114.84</v>
      </c>
      <c r="E131" s="2"/>
      <c r="F131" s="19">
        <f t="shared" si="16"/>
        <v>1.8800242333879508E-4</v>
      </c>
      <c r="G131" s="2"/>
      <c r="H131" s="2">
        <v>246.34</v>
      </c>
      <c r="I131" s="2"/>
      <c r="J131" s="19">
        <f t="shared" si="17"/>
        <v>4.6235383296564056E-4</v>
      </c>
      <c r="K131" s="2"/>
      <c r="L131" s="2">
        <f t="shared" si="18"/>
        <v>-131.5</v>
      </c>
      <c r="M131" s="2"/>
      <c r="N131" s="19">
        <f t="shared" si="19"/>
        <v>-0.53381505236664772</v>
      </c>
      <c r="O131" s="11"/>
      <c r="P131" s="2">
        <v>456.81</v>
      </c>
      <c r="Q131" s="2"/>
      <c r="R131" s="19">
        <f t="shared" si="20"/>
        <v>6.9529002431066122E-5</v>
      </c>
      <c r="S131" s="2"/>
      <c r="T131" s="2">
        <v>735.2</v>
      </c>
      <c r="U131" s="2"/>
      <c r="V131" s="19">
        <f t="shared" si="21"/>
        <v>1.091739866176392E-4</v>
      </c>
      <c r="W131" s="2"/>
      <c r="X131" s="2">
        <f t="shared" si="22"/>
        <v>-278.39000000000004</v>
      </c>
      <c r="Y131" s="2"/>
      <c r="Z131" s="19">
        <f t="shared" si="23"/>
        <v>-0.37865886833514695</v>
      </c>
    </row>
    <row r="132" spans="1:26" s="24" customFormat="1" hidden="1" outlineLevel="1" x14ac:dyDescent="0.25">
      <c r="A132" s="44"/>
      <c r="B132" s="11" t="str">
        <f>CONCATENATE("          ", "5017", " - ", "PURCHASES @ COST-DORM/HOUSEWAR")</f>
        <v xml:space="preserve">          5017 - PURCHASES @ COST-DORM/HOUSEWAR</v>
      </c>
      <c r="C132" s="11"/>
      <c r="D132" s="2"/>
      <c r="E132" s="2"/>
      <c r="F132" s="19">
        <f t="shared" si="16"/>
        <v>0</v>
      </c>
      <c r="G132" s="2"/>
      <c r="H132" s="2"/>
      <c r="I132" s="2"/>
      <c r="J132" s="19">
        <f t="shared" si="17"/>
        <v>0</v>
      </c>
      <c r="K132" s="2"/>
      <c r="L132" s="2">
        <f t="shared" si="18"/>
        <v>0</v>
      </c>
      <c r="M132" s="2"/>
      <c r="N132" s="19">
        <f t="shared" si="19"/>
        <v>0</v>
      </c>
      <c r="O132" s="11"/>
      <c r="P132" s="2">
        <v>0</v>
      </c>
      <c r="Q132" s="2"/>
      <c r="R132" s="19">
        <f t="shared" si="20"/>
        <v>0</v>
      </c>
      <c r="S132" s="2"/>
      <c r="T132" s="2">
        <v>239.9</v>
      </c>
      <c r="U132" s="2"/>
      <c r="V132" s="19">
        <f t="shared" si="21"/>
        <v>3.5624101454803647E-5</v>
      </c>
      <c r="W132" s="2"/>
      <c r="X132" s="2">
        <f t="shared" si="22"/>
        <v>-239.9</v>
      </c>
      <c r="Y132" s="2"/>
      <c r="Z132" s="19">
        <f t="shared" si="23"/>
        <v>-1</v>
      </c>
    </row>
    <row r="133" spans="1:26" s="24" customFormat="1" hidden="1" outlineLevel="1" x14ac:dyDescent="0.25">
      <c r="A133" s="44"/>
      <c r="B133" s="11" t="str">
        <f>CONCATENATE("          ", "5018", " - ", "PURCHASES @ COST-STUDY GUIDES")</f>
        <v xml:space="preserve">          5018 - PURCHASES @ COST-STUDY GUIDES</v>
      </c>
      <c r="C133" s="11"/>
      <c r="D133" s="2"/>
      <c r="E133" s="2"/>
      <c r="F133" s="19">
        <f t="shared" si="16"/>
        <v>0</v>
      </c>
      <c r="G133" s="2"/>
      <c r="H133" s="2"/>
      <c r="I133" s="2"/>
      <c r="J133" s="19">
        <f t="shared" si="17"/>
        <v>0</v>
      </c>
      <c r="K133" s="2"/>
      <c r="L133" s="2">
        <f t="shared" si="18"/>
        <v>0</v>
      </c>
      <c r="M133" s="2"/>
      <c r="N133" s="19">
        <f t="shared" si="19"/>
        <v>0</v>
      </c>
      <c r="O133" s="11"/>
      <c r="P133" s="2">
        <v>802.09</v>
      </c>
      <c r="Q133" s="2"/>
      <c r="R133" s="19">
        <f t="shared" si="20"/>
        <v>1.2208252349977852E-4</v>
      </c>
      <c r="S133" s="2"/>
      <c r="T133" s="2">
        <v>1034.55</v>
      </c>
      <c r="U133" s="2"/>
      <c r="V133" s="19">
        <f t="shared" si="21"/>
        <v>1.5362615323079247E-4</v>
      </c>
      <c r="W133" s="2"/>
      <c r="X133" s="2">
        <f t="shared" si="22"/>
        <v>-232.45999999999992</v>
      </c>
      <c r="Y133" s="2"/>
      <c r="Z133" s="19">
        <f t="shared" si="23"/>
        <v>-0.22469672804601029</v>
      </c>
    </row>
    <row r="134" spans="1:26" s="24" customFormat="1" hidden="1" outlineLevel="1" x14ac:dyDescent="0.25">
      <c r="A134" s="44"/>
      <c r="B134" s="11" t="str">
        <f>CONCATENATE("          ", "5025", " - ", "PURCHASES @ COST-TEST FORMS")</f>
        <v xml:space="preserve">          5025 - PURCHASES @ COST-TEST FORMS</v>
      </c>
      <c r="C134" s="11"/>
      <c r="D134" s="2">
        <v>18846</v>
      </c>
      <c r="E134" s="2"/>
      <c r="F134" s="19">
        <f t="shared" si="16"/>
        <v>3.0852435303404143E-2</v>
      </c>
      <c r="G134" s="2"/>
      <c r="H134" s="2">
        <v>1000</v>
      </c>
      <c r="I134" s="2"/>
      <c r="J134" s="19">
        <f t="shared" si="17"/>
        <v>1.8768930460568343E-3</v>
      </c>
      <c r="K134" s="2"/>
      <c r="L134" s="2">
        <f t="shared" si="18"/>
        <v>17846</v>
      </c>
      <c r="M134" s="2"/>
      <c r="N134" s="19">
        <f t="shared" si="19"/>
        <v>17.846</v>
      </c>
      <c r="O134" s="11"/>
      <c r="P134" s="2">
        <v>22098.390000000003</v>
      </c>
      <c r="Q134" s="2"/>
      <c r="R134" s="19">
        <f t="shared" si="20"/>
        <v>3.3634968849908004E-3</v>
      </c>
      <c r="S134" s="2"/>
      <c r="T134" s="2">
        <v>2050</v>
      </c>
      <c r="U134" s="2"/>
      <c r="V134" s="19">
        <f t="shared" si="21"/>
        <v>3.0441603994309078E-4</v>
      </c>
      <c r="W134" s="2"/>
      <c r="X134" s="2">
        <f t="shared" si="22"/>
        <v>20048.390000000003</v>
      </c>
      <c r="Y134" s="2"/>
      <c r="Z134" s="19">
        <f t="shared" si="23"/>
        <v>9.7797024390243923</v>
      </c>
    </row>
    <row r="135" spans="1:26" s="24" customFormat="1" hidden="1" outlineLevel="1" x14ac:dyDescent="0.25">
      <c r="A135" s="44"/>
      <c r="B135" s="11" t="str">
        <f>CONCATENATE("          ", "5026", " - ", "PURCHASES @ COST-WRITING INSTR")</f>
        <v xml:space="preserve">          5026 - PURCHASES @ COST-WRITING INSTR</v>
      </c>
      <c r="C135" s="11"/>
      <c r="D135" s="2">
        <v>4633</v>
      </c>
      <c r="E135" s="2"/>
      <c r="F135" s="19">
        <f t="shared" si="16"/>
        <v>7.5845979391208429E-3</v>
      </c>
      <c r="G135" s="2"/>
      <c r="H135" s="2">
        <v>784.13</v>
      </c>
      <c r="I135" s="2"/>
      <c r="J135" s="19">
        <f t="shared" si="17"/>
        <v>1.4717281442045455E-3</v>
      </c>
      <c r="K135" s="2"/>
      <c r="L135" s="2">
        <f t="shared" si="18"/>
        <v>3848.87</v>
      </c>
      <c r="M135" s="2"/>
      <c r="N135" s="19">
        <f t="shared" si="19"/>
        <v>4.9084590565339932</v>
      </c>
      <c r="O135" s="11"/>
      <c r="P135" s="2">
        <v>29950.57</v>
      </c>
      <c r="Q135" s="2"/>
      <c r="R135" s="19">
        <f t="shared" si="20"/>
        <v>4.5586420050826738E-3</v>
      </c>
      <c r="S135" s="2"/>
      <c r="T135" s="2">
        <v>28009.06</v>
      </c>
      <c r="U135" s="2"/>
      <c r="V135" s="19">
        <f t="shared" si="21"/>
        <v>4.1592229891358181E-3</v>
      </c>
      <c r="W135" s="2"/>
      <c r="X135" s="2">
        <f t="shared" si="22"/>
        <v>1941.5099999999984</v>
      </c>
      <c r="Y135" s="2"/>
      <c r="Z135" s="19">
        <f t="shared" si="23"/>
        <v>6.9317213787253071E-2</v>
      </c>
    </row>
    <row r="136" spans="1:26" s="24" customFormat="1" hidden="1" outlineLevel="1" x14ac:dyDescent="0.25">
      <c r="A136" s="44"/>
      <c r="B136" s="11" t="str">
        <f>CONCATENATE("          ", "5027", " - ", "PURCHASES @ COST-SCHOOL SUPPLI")</f>
        <v xml:space="preserve">          5027 - PURCHASES @ COST-SCHOOL SUPPLI</v>
      </c>
      <c r="C136" s="11"/>
      <c r="D136" s="2">
        <v>3483.98</v>
      </c>
      <c r="E136" s="2"/>
      <c r="F136" s="19">
        <f t="shared" si="16"/>
        <v>5.7035587152899272E-3</v>
      </c>
      <c r="G136" s="2"/>
      <c r="H136" s="2">
        <v>7654.23</v>
      </c>
      <c r="I136" s="2"/>
      <c r="J136" s="19">
        <f t="shared" si="17"/>
        <v>1.4366171059919603E-2</v>
      </c>
      <c r="K136" s="2"/>
      <c r="L136" s="2">
        <f t="shared" si="18"/>
        <v>-4170.25</v>
      </c>
      <c r="M136" s="2"/>
      <c r="N136" s="19">
        <f t="shared" si="19"/>
        <v>-0.54482946031148793</v>
      </c>
      <c r="O136" s="11"/>
      <c r="P136" s="2">
        <v>75506.36</v>
      </c>
      <c r="Q136" s="2"/>
      <c r="R136" s="19">
        <f t="shared" si="20"/>
        <v>1.1492484595348074E-2</v>
      </c>
      <c r="S136" s="2"/>
      <c r="T136" s="2">
        <v>82233.260000000009</v>
      </c>
      <c r="U136" s="2"/>
      <c r="V136" s="19">
        <f t="shared" si="21"/>
        <v>1.221127968820028E-2</v>
      </c>
      <c r="W136" s="2"/>
      <c r="X136" s="2">
        <f t="shared" si="22"/>
        <v>-6726.9000000000087</v>
      </c>
      <c r="Y136" s="2"/>
      <c r="Z136" s="19">
        <f t="shared" si="23"/>
        <v>-8.1802667193298775E-2</v>
      </c>
    </row>
    <row r="137" spans="1:26" s="24" customFormat="1" hidden="1" outlineLevel="1" x14ac:dyDescent="0.25">
      <c r="A137" s="44"/>
      <c r="B137" s="11" t="str">
        <f>CONCATENATE("          ", "5028", " - ", "PURCHASES @ COST-ART/TECH")</f>
        <v xml:space="preserve">          5028 - PURCHASES @ COST-ART/TECH</v>
      </c>
      <c r="C137" s="11"/>
      <c r="D137" s="2">
        <v>4931.4399999999996</v>
      </c>
      <c r="E137" s="2"/>
      <c r="F137" s="19">
        <f t="shared" si="16"/>
        <v>8.0731685000859244E-3</v>
      </c>
      <c r="G137" s="2"/>
      <c r="H137" s="2">
        <v>2870.17</v>
      </c>
      <c r="I137" s="2"/>
      <c r="J137" s="19">
        <f t="shared" si="17"/>
        <v>5.3870021140009442E-3</v>
      </c>
      <c r="K137" s="2"/>
      <c r="L137" s="2">
        <f t="shared" si="18"/>
        <v>2061.2699999999995</v>
      </c>
      <c r="M137" s="2"/>
      <c r="N137" s="19">
        <f t="shared" si="19"/>
        <v>0.71817000386736651</v>
      </c>
      <c r="O137" s="11"/>
      <c r="P137" s="2">
        <v>95270.51</v>
      </c>
      <c r="Q137" s="2"/>
      <c r="R137" s="19">
        <f t="shared" si="20"/>
        <v>1.4500697273262208E-2</v>
      </c>
      <c r="S137" s="2"/>
      <c r="T137" s="2">
        <v>85665.68</v>
      </c>
      <c r="U137" s="2"/>
      <c r="V137" s="19">
        <f t="shared" si="21"/>
        <v>1.2720979055918064E-2</v>
      </c>
      <c r="W137" s="2"/>
      <c r="X137" s="2">
        <f t="shared" si="22"/>
        <v>9604.8300000000017</v>
      </c>
      <c r="Y137" s="2"/>
      <c r="Z137" s="19">
        <f t="shared" si="23"/>
        <v>0.11211992947467414</v>
      </c>
    </row>
    <row r="138" spans="1:26" s="24" customFormat="1" hidden="1" outlineLevel="1" x14ac:dyDescent="0.25">
      <c r="A138" s="44"/>
      <c r="B138" s="11" t="str">
        <f>CONCATENATE("          ", "5031", " - ", "PURCHASES @ COST-FOOD")</f>
        <v xml:space="preserve">          5031 - PURCHASES @ COST-FOOD</v>
      </c>
      <c r="C138" s="11"/>
      <c r="D138" s="2">
        <v>4825.3999999999996</v>
      </c>
      <c r="E138" s="2"/>
      <c r="F138" s="19">
        <f t="shared" si="16"/>
        <v>7.8995723927117872E-3</v>
      </c>
      <c r="G138" s="2"/>
      <c r="H138" s="2">
        <v>4001.16</v>
      </c>
      <c r="I138" s="2"/>
      <c r="J138" s="19">
        <f t="shared" si="17"/>
        <v>7.5097493801607627E-3</v>
      </c>
      <c r="K138" s="2"/>
      <c r="L138" s="2">
        <f t="shared" si="18"/>
        <v>824.23999999999978</v>
      </c>
      <c r="M138" s="2"/>
      <c r="N138" s="19">
        <f t="shared" si="19"/>
        <v>0.20600025992462181</v>
      </c>
      <c r="O138" s="11"/>
      <c r="P138" s="2">
        <v>20814.489999999998</v>
      </c>
      <c r="Q138" s="2"/>
      <c r="R138" s="19">
        <f t="shared" si="20"/>
        <v>3.1680802211234461E-3</v>
      </c>
      <c r="S138" s="2"/>
      <c r="T138" s="2">
        <v>17422.769999999997</v>
      </c>
      <c r="U138" s="2"/>
      <c r="V138" s="19">
        <f t="shared" si="21"/>
        <v>2.5872051942630648E-3</v>
      </c>
      <c r="W138" s="2"/>
      <c r="X138" s="2">
        <f t="shared" si="22"/>
        <v>3391.7200000000012</v>
      </c>
      <c r="Y138" s="2"/>
      <c r="Z138" s="19">
        <f t="shared" si="23"/>
        <v>0.19467168538642257</v>
      </c>
    </row>
    <row r="139" spans="1:26" s="24" customFormat="1" hidden="1" outlineLevel="1" x14ac:dyDescent="0.25">
      <c r="A139" s="44"/>
      <c r="B139" s="11" t="str">
        <f>CONCATENATE("          ", "5032", " - ", "PURCHASES @ COST-JUICE")</f>
        <v xml:space="preserve">          5032 - PURCHASES @ COST-JUICE</v>
      </c>
      <c r="C139" s="11"/>
      <c r="D139" s="2">
        <v>1278.21</v>
      </c>
      <c r="E139" s="2"/>
      <c r="F139" s="19">
        <f t="shared" si="16"/>
        <v>2.0925337646802615E-3</v>
      </c>
      <c r="G139" s="2"/>
      <c r="H139" s="2">
        <v>842.58</v>
      </c>
      <c r="I139" s="2"/>
      <c r="J139" s="19">
        <f t="shared" si="17"/>
        <v>1.5814325427465675E-3</v>
      </c>
      <c r="K139" s="2"/>
      <c r="L139" s="2">
        <f t="shared" si="18"/>
        <v>435.63</v>
      </c>
      <c r="M139" s="2"/>
      <c r="N139" s="19">
        <f t="shared" si="19"/>
        <v>0.51701915545111443</v>
      </c>
      <c r="O139" s="11"/>
      <c r="P139" s="2">
        <v>4662.49</v>
      </c>
      <c r="Q139" s="2"/>
      <c r="R139" s="19">
        <f t="shared" si="20"/>
        <v>7.0965670310374441E-4</v>
      </c>
      <c r="S139" s="2"/>
      <c r="T139" s="2">
        <v>4678.3500000000004</v>
      </c>
      <c r="U139" s="2"/>
      <c r="V139" s="19">
        <f t="shared" si="21"/>
        <v>6.947145270574434E-4</v>
      </c>
      <c r="W139" s="2"/>
      <c r="X139" s="2">
        <f t="shared" si="22"/>
        <v>-15.860000000000582</v>
      </c>
      <c r="Y139" s="2"/>
      <c r="Z139" s="19">
        <f t="shared" si="23"/>
        <v>-3.3900841108511722E-3</v>
      </c>
    </row>
    <row r="140" spans="1:26" s="24" customFormat="1" hidden="1" outlineLevel="1" x14ac:dyDescent="0.25">
      <c r="A140" s="44"/>
      <c r="B140" s="11" t="str">
        <f>CONCATENATE("          ", "5033", " - ", "PURCHASES @ COST-CANDY")</f>
        <v xml:space="preserve">          5033 - PURCHASES @ COST-CANDY</v>
      </c>
      <c r="C140" s="11"/>
      <c r="D140" s="2">
        <v>1482.54</v>
      </c>
      <c r="E140" s="2"/>
      <c r="F140" s="19">
        <f t="shared" si="16"/>
        <v>2.4270385988914771E-3</v>
      </c>
      <c r="G140" s="2"/>
      <c r="H140" s="2">
        <v>871.44</v>
      </c>
      <c r="I140" s="2"/>
      <c r="J140" s="19">
        <f t="shared" si="17"/>
        <v>1.6355996760557677E-3</v>
      </c>
      <c r="K140" s="2"/>
      <c r="L140" s="2">
        <f t="shared" si="18"/>
        <v>611.09999999999991</v>
      </c>
      <c r="M140" s="2"/>
      <c r="N140" s="19">
        <f t="shared" si="19"/>
        <v>0.70125309832002192</v>
      </c>
      <c r="O140" s="11"/>
      <c r="P140" s="2">
        <v>5937.74</v>
      </c>
      <c r="Q140" s="2"/>
      <c r="R140" s="19">
        <f t="shared" si="20"/>
        <v>9.0375678924506592E-4</v>
      </c>
      <c r="S140" s="2"/>
      <c r="T140" s="2">
        <v>4438.3599999999997</v>
      </c>
      <c r="U140" s="2"/>
      <c r="V140" s="19">
        <f t="shared" si="21"/>
        <v>6.5907706099600793E-4</v>
      </c>
      <c r="W140" s="2"/>
      <c r="X140" s="2">
        <f t="shared" si="22"/>
        <v>1499.38</v>
      </c>
      <c r="Y140" s="2"/>
      <c r="Z140" s="19">
        <f t="shared" si="23"/>
        <v>0.33782297965915342</v>
      </c>
    </row>
    <row r="141" spans="1:26" s="24" customFormat="1" hidden="1" outlineLevel="1" x14ac:dyDescent="0.25">
      <c r="A141" s="44"/>
      <c r="B141" s="11" t="str">
        <f>CONCATENATE("          ", "5034", " - ", "PURCHASES @ COST-SODA")</f>
        <v xml:space="preserve">          5034 - PURCHASES @ COST-SODA</v>
      </c>
      <c r="C141" s="11"/>
      <c r="D141" s="2">
        <v>587.38</v>
      </c>
      <c r="E141" s="2"/>
      <c r="F141" s="19">
        <f t="shared" si="16"/>
        <v>9.6158884901377084E-4</v>
      </c>
      <c r="G141" s="2"/>
      <c r="H141" s="2">
        <v>402.87</v>
      </c>
      <c r="I141" s="2"/>
      <c r="J141" s="19">
        <f t="shared" si="17"/>
        <v>7.5614390146491685E-4</v>
      </c>
      <c r="K141" s="2"/>
      <c r="L141" s="2">
        <f t="shared" si="18"/>
        <v>184.51</v>
      </c>
      <c r="M141" s="2"/>
      <c r="N141" s="19">
        <f t="shared" si="19"/>
        <v>0.45798892943133018</v>
      </c>
      <c r="O141" s="11"/>
      <c r="P141" s="2">
        <v>2081.92</v>
      </c>
      <c r="Q141" s="2"/>
      <c r="R141" s="19">
        <f t="shared" si="20"/>
        <v>3.1687971091106846E-4</v>
      </c>
      <c r="S141" s="2"/>
      <c r="T141" s="2">
        <v>1660.62</v>
      </c>
      <c r="U141" s="2"/>
      <c r="V141" s="19">
        <f t="shared" si="21"/>
        <v>2.4659481182941239E-4</v>
      </c>
      <c r="W141" s="2"/>
      <c r="X141" s="2">
        <f t="shared" si="22"/>
        <v>421.30000000000018</v>
      </c>
      <c r="Y141" s="2"/>
      <c r="Z141" s="19">
        <f t="shared" si="23"/>
        <v>0.25370042514241681</v>
      </c>
    </row>
    <row r="142" spans="1:26" s="24" customFormat="1" hidden="1" outlineLevel="1" x14ac:dyDescent="0.25">
      <c r="A142" s="44"/>
      <c r="B142" s="11" t="str">
        <f>CONCATENATE("          ", "5035", " - ", "PURCHASES @ COST-HEALTH &amp; BEAU")</f>
        <v xml:space="preserve">          5035 - PURCHASES @ COST-HEALTH &amp; BEAU</v>
      </c>
      <c r="C142" s="11"/>
      <c r="D142" s="2">
        <v>222.52</v>
      </c>
      <c r="E142" s="2"/>
      <c r="F142" s="19">
        <f t="shared" si="16"/>
        <v>3.6428334414270882E-4</v>
      </c>
      <c r="G142" s="2"/>
      <c r="H142" s="2">
        <v>88.54</v>
      </c>
      <c r="I142" s="2"/>
      <c r="J142" s="19">
        <f t="shared" si="17"/>
        <v>1.6618011029787211E-4</v>
      </c>
      <c r="K142" s="2"/>
      <c r="L142" s="2">
        <f t="shared" si="18"/>
        <v>133.98000000000002</v>
      </c>
      <c r="M142" s="2"/>
      <c r="N142" s="19">
        <f t="shared" si="19"/>
        <v>1.5132143663880733</v>
      </c>
      <c r="O142" s="11"/>
      <c r="P142" s="2">
        <v>801.21</v>
      </c>
      <c r="Q142" s="2"/>
      <c r="R142" s="19">
        <f t="shared" si="20"/>
        <v>1.2194858264441341E-4</v>
      </c>
      <c r="S142" s="2"/>
      <c r="T142" s="2">
        <v>557.87</v>
      </c>
      <c r="U142" s="2"/>
      <c r="V142" s="19">
        <f t="shared" si="21"/>
        <v>8.2841256684415641E-5</v>
      </c>
      <c r="W142" s="2"/>
      <c r="X142" s="2">
        <f t="shared" si="22"/>
        <v>243.34000000000003</v>
      </c>
      <c r="Y142" s="2"/>
      <c r="Z142" s="19">
        <f t="shared" si="23"/>
        <v>0.43619481241149377</v>
      </c>
    </row>
    <row r="143" spans="1:26" s="24" customFormat="1" hidden="1" outlineLevel="1" x14ac:dyDescent="0.25">
      <c r="A143" s="44"/>
      <c r="B143" s="11" t="str">
        <f>CONCATENATE("          ", "5037", " - ", "PURCHASES @ COST-WATER")</f>
        <v xml:space="preserve">          5037 - PURCHASES @ COST-WATER</v>
      </c>
      <c r="C143" s="11"/>
      <c r="D143" s="2">
        <v>667.52</v>
      </c>
      <c r="E143" s="2"/>
      <c r="F143" s="19">
        <f t="shared" si="16"/>
        <v>1.0927845491737415E-3</v>
      </c>
      <c r="G143" s="2"/>
      <c r="H143" s="2">
        <v>805.53</v>
      </c>
      <c r="I143" s="2"/>
      <c r="J143" s="19">
        <f t="shared" si="17"/>
        <v>1.5118936553901617E-3</v>
      </c>
      <c r="K143" s="2"/>
      <c r="L143" s="2">
        <f t="shared" si="18"/>
        <v>-138.01</v>
      </c>
      <c r="M143" s="2"/>
      <c r="N143" s="19">
        <f t="shared" si="19"/>
        <v>-0.17132819385994313</v>
      </c>
      <c r="O143" s="11"/>
      <c r="P143" s="2">
        <v>3523.37</v>
      </c>
      <c r="Q143" s="2"/>
      <c r="R143" s="19">
        <f t="shared" si="20"/>
        <v>5.3627635405430142E-4</v>
      </c>
      <c r="S143" s="2"/>
      <c r="T143" s="2">
        <v>3471.61</v>
      </c>
      <c r="U143" s="2"/>
      <c r="V143" s="19">
        <f t="shared" si="21"/>
        <v>5.1551891142772362E-4</v>
      </c>
      <c r="W143" s="2"/>
      <c r="X143" s="2">
        <f t="shared" si="22"/>
        <v>51.759999999999764</v>
      </c>
      <c r="Y143" s="2"/>
      <c r="Z143" s="19">
        <f t="shared" si="23"/>
        <v>1.4909508844599411E-2</v>
      </c>
    </row>
    <row r="144" spans="1:26" s="24" customFormat="1" hidden="1" outlineLevel="1" x14ac:dyDescent="0.25">
      <c r="A144" s="44"/>
      <c r="B144" s="11" t="str">
        <f>CONCATENATE("          ", "5040", " - ", "PURCHASES @ COST-LOGO CLOTHING")</f>
        <v xml:space="preserve">          5040 - PURCHASES @ COST-LOGO CLOTHING</v>
      </c>
      <c r="C144" s="11"/>
      <c r="D144" s="2">
        <v>105691.4</v>
      </c>
      <c r="E144" s="2"/>
      <c r="F144" s="19">
        <f t="shared" si="16"/>
        <v>0.17302542081217279</v>
      </c>
      <c r="G144" s="2"/>
      <c r="H144" s="2">
        <v>105025.65000000001</v>
      </c>
      <c r="I144" s="2"/>
      <c r="J144" s="19">
        <f t="shared" si="17"/>
        <v>0.19712191214259897</v>
      </c>
      <c r="K144" s="2"/>
      <c r="L144" s="2">
        <f t="shared" si="18"/>
        <v>665.74999999998545</v>
      </c>
      <c r="M144" s="2"/>
      <c r="N144" s="19">
        <f t="shared" si="19"/>
        <v>6.3389276809996927E-3</v>
      </c>
      <c r="O144" s="11"/>
      <c r="P144" s="2">
        <v>618292.30999999994</v>
      </c>
      <c r="Q144" s="2"/>
      <c r="R144" s="19">
        <f t="shared" si="20"/>
        <v>9.4107500985310052E-2</v>
      </c>
      <c r="S144" s="2"/>
      <c r="T144" s="2">
        <v>548235.94000000006</v>
      </c>
      <c r="U144" s="2"/>
      <c r="V144" s="19">
        <f t="shared" si="21"/>
        <v>8.1410640882574603E-2</v>
      </c>
      <c r="W144" s="2"/>
      <c r="X144" s="2">
        <f t="shared" si="22"/>
        <v>70056.369999999879</v>
      </c>
      <c r="Y144" s="2"/>
      <c r="Z144" s="19">
        <f t="shared" si="23"/>
        <v>0.1277850737038507</v>
      </c>
    </row>
    <row r="145" spans="1:26" s="24" customFormat="1" hidden="1" outlineLevel="1" x14ac:dyDescent="0.25">
      <c r="A145" s="44"/>
      <c r="B145" s="11" t="str">
        <f>CONCATENATE("          ", "5041", " - ", "PURCHASES @ COST-LOGO GIFTS")</f>
        <v xml:space="preserve">          5041 - PURCHASES @ COST-LOGO GIFTS</v>
      </c>
      <c r="C145" s="11"/>
      <c r="D145" s="2">
        <v>18340.09</v>
      </c>
      <c r="E145" s="2"/>
      <c r="F145" s="19">
        <f t="shared" si="16"/>
        <v>3.0024219472758639E-2</v>
      </c>
      <c r="G145" s="2"/>
      <c r="H145" s="2">
        <v>13418.66</v>
      </c>
      <c r="I145" s="2"/>
      <c r="J145" s="19">
        <f t="shared" si="17"/>
        <v>2.5185389641401001E-2</v>
      </c>
      <c r="K145" s="2"/>
      <c r="L145" s="2">
        <f t="shared" si="18"/>
        <v>4921.43</v>
      </c>
      <c r="M145" s="2"/>
      <c r="N145" s="19">
        <f t="shared" si="19"/>
        <v>0.36676016830294533</v>
      </c>
      <c r="O145" s="11"/>
      <c r="P145" s="2">
        <v>88796.55</v>
      </c>
      <c r="Q145" s="2"/>
      <c r="R145" s="19">
        <f t="shared" si="20"/>
        <v>1.351532484144455E-2</v>
      </c>
      <c r="S145" s="2"/>
      <c r="T145" s="2">
        <v>96519.51</v>
      </c>
      <c r="U145" s="2"/>
      <c r="V145" s="19">
        <f t="shared" si="21"/>
        <v>1.4332725371437829E-2</v>
      </c>
      <c r="W145" s="2"/>
      <c r="X145" s="2">
        <f t="shared" si="22"/>
        <v>-7722.9599999999919</v>
      </c>
      <c r="Y145" s="2"/>
      <c r="Z145" s="19">
        <f t="shared" si="23"/>
        <v>-8.0014496551008105E-2</v>
      </c>
    </row>
    <row r="146" spans="1:26" s="24" customFormat="1" hidden="1" outlineLevel="1" x14ac:dyDescent="0.25">
      <c r="A146" s="44"/>
      <c r="B146" s="11" t="str">
        <f>CONCATENATE("          ", "5042", " - ", "PURCHASES @ COST-EVERYDAY GIFT")</f>
        <v xml:space="preserve">          5042 - PURCHASES @ COST-EVERYDAY GIFT</v>
      </c>
      <c r="C146" s="11"/>
      <c r="D146" s="2">
        <v>31316.85</v>
      </c>
      <c r="E146" s="2"/>
      <c r="F146" s="19">
        <f t="shared" si="16"/>
        <v>5.1268231377024943E-2</v>
      </c>
      <c r="G146" s="2"/>
      <c r="H146" s="2">
        <v>14055.43</v>
      </c>
      <c r="I146" s="2"/>
      <c r="J146" s="19">
        <f t="shared" si="17"/>
        <v>2.6380538826338611E-2</v>
      </c>
      <c r="K146" s="2"/>
      <c r="L146" s="2">
        <f t="shared" si="18"/>
        <v>17261.419999999998</v>
      </c>
      <c r="M146" s="2"/>
      <c r="N146" s="19">
        <f t="shared" si="19"/>
        <v>1.2280961877366967</v>
      </c>
      <c r="O146" s="11"/>
      <c r="P146" s="2">
        <v>80565.319999999992</v>
      </c>
      <c r="Q146" s="2"/>
      <c r="R146" s="19">
        <f t="shared" si="20"/>
        <v>1.2262486219959326E-2</v>
      </c>
      <c r="S146" s="2"/>
      <c r="T146" s="2">
        <v>74390.78</v>
      </c>
      <c r="U146" s="2"/>
      <c r="V146" s="19">
        <f t="shared" si="21"/>
        <v>1.104670568579399E-2</v>
      </c>
      <c r="W146" s="2"/>
      <c r="X146" s="2">
        <f t="shared" si="22"/>
        <v>6174.5399999999936</v>
      </c>
      <c r="Y146" s="2"/>
      <c r="Z146" s="19">
        <f t="shared" si="23"/>
        <v>8.3001414960294728E-2</v>
      </c>
    </row>
    <row r="147" spans="1:26" s="24" customFormat="1" hidden="1" outlineLevel="1" x14ac:dyDescent="0.25">
      <c r="A147" s="44"/>
      <c r="B147" s="11" t="str">
        <f>CONCATENATE("          ", "5043", " - ", "PURCHASES @ COST-CARDS")</f>
        <v xml:space="preserve">          5043 - PURCHASES @ COST-CARDS</v>
      </c>
      <c r="C147" s="11"/>
      <c r="D147" s="2">
        <v>2188.66</v>
      </c>
      <c r="E147" s="2"/>
      <c r="F147" s="19">
        <f t="shared" si="16"/>
        <v>3.583014488546562E-3</v>
      </c>
      <c r="G147" s="2"/>
      <c r="H147" s="2">
        <v>455.53</v>
      </c>
      <c r="I147" s="2"/>
      <c r="J147" s="19">
        <f t="shared" si="17"/>
        <v>8.5498108927026966E-4</v>
      </c>
      <c r="K147" s="2"/>
      <c r="L147" s="2">
        <f t="shared" si="18"/>
        <v>1733.1299999999999</v>
      </c>
      <c r="M147" s="2"/>
      <c r="N147" s="19">
        <f t="shared" si="19"/>
        <v>3.804645138629728</v>
      </c>
      <c r="O147" s="11"/>
      <c r="P147" s="2">
        <v>3528.74</v>
      </c>
      <c r="Q147" s="2"/>
      <c r="R147" s="19">
        <f t="shared" si="20"/>
        <v>5.3709369768306355E-4</v>
      </c>
      <c r="S147" s="2"/>
      <c r="T147" s="2">
        <v>2263.87</v>
      </c>
      <c r="U147" s="2"/>
      <c r="V147" s="19">
        <f t="shared" si="21"/>
        <v>3.3617480016876334E-4</v>
      </c>
      <c r="W147" s="2"/>
      <c r="X147" s="2">
        <f t="shared" si="22"/>
        <v>1264.8699999999999</v>
      </c>
      <c r="Y147" s="2"/>
      <c r="Z147" s="19">
        <f t="shared" si="23"/>
        <v>0.55872024453700964</v>
      </c>
    </row>
    <row r="148" spans="1:26" s="24" customFormat="1" hidden="1" outlineLevel="1" x14ac:dyDescent="0.25">
      <c r="A148" s="44"/>
      <c r="B148" s="11" t="str">
        <f>CONCATENATE("          ", "5044", " - ", "PURCHASES @ COST-ACCESSORIES")</f>
        <v xml:space="preserve">          5044 - PURCHASES @ COST-ACCESSORIES</v>
      </c>
      <c r="C148" s="11"/>
      <c r="D148" s="2">
        <v>-6895.55</v>
      </c>
      <c r="E148" s="2"/>
      <c r="F148" s="19">
        <f t="shared" si="16"/>
        <v>-1.1288576369329749E-2</v>
      </c>
      <c r="G148" s="2"/>
      <c r="H148" s="2">
        <v>1191.96</v>
      </c>
      <c r="I148" s="2"/>
      <c r="J148" s="19">
        <f t="shared" si="17"/>
        <v>2.2371814351779045E-3</v>
      </c>
      <c r="K148" s="2"/>
      <c r="L148" s="2">
        <f t="shared" si="18"/>
        <v>-8087.51</v>
      </c>
      <c r="M148" s="2"/>
      <c r="N148" s="19">
        <f t="shared" si="19"/>
        <v>-6.7850515117956975</v>
      </c>
      <c r="O148" s="11"/>
      <c r="P148" s="2">
        <v>17255.580000000002</v>
      </c>
      <c r="Q148" s="2"/>
      <c r="R148" s="19">
        <f t="shared" si="20"/>
        <v>2.6263944829786039E-3</v>
      </c>
      <c r="S148" s="2"/>
      <c r="T148" s="2">
        <v>20139.030000000002</v>
      </c>
      <c r="U148" s="2"/>
      <c r="V148" s="19">
        <f t="shared" si="21"/>
        <v>2.9905579321439532E-3</v>
      </c>
      <c r="W148" s="2"/>
      <c r="X148" s="2">
        <f t="shared" si="22"/>
        <v>-2883.4500000000007</v>
      </c>
      <c r="Y148" s="2"/>
      <c r="Z148" s="19">
        <f t="shared" si="23"/>
        <v>-0.14317720366869707</v>
      </c>
    </row>
    <row r="149" spans="1:26" s="24" customFormat="1" hidden="1" outlineLevel="1" x14ac:dyDescent="0.25">
      <c r="A149" s="44"/>
      <c r="B149" s="11" t="str">
        <f>CONCATENATE("          ", "5045", " - ", "PURCHASES @ COST-SPECIAL ORDER")</f>
        <v xml:space="preserve">          5045 - PURCHASES @ COST-SPECIAL ORDER</v>
      </c>
      <c r="C149" s="11"/>
      <c r="D149" s="2">
        <v>14163.29</v>
      </c>
      <c r="E149" s="2"/>
      <c r="F149" s="19">
        <f t="shared" si="16"/>
        <v>2.3186458049896577E-2</v>
      </c>
      <c r="G149" s="2"/>
      <c r="H149" s="2">
        <v>7341.66</v>
      </c>
      <c r="I149" s="2"/>
      <c r="J149" s="19">
        <f t="shared" si="17"/>
        <v>1.3779510600513618E-2</v>
      </c>
      <c r="K149" s="2"/>
      <c r="L149" s="2">
        <f t="shared" si="18"/>
        <v>6821.630000000001</v>
      </c>
      <c r="M149" s="2"/>
      <c r="N149" s="19">
        <f t="shared" si="19"/>
        <v>0.92916724555482022</v>
      </c>
      <c r="O149" s="11"/>
      <c r="P149" s="2">
        <v>42226.49</v>
      </c>
      <c r="Q149" s="2"/>
      <c r="R149" s="19">
        <f t="shared" si="20"/>
        <v>6.4271047609846307E-3</v>
      </c>
      <c r="S149" s="2"/>
      <c r="T149" s="2">
        <v>49312.08</v>
      </c>
      <c r="U149" s="2"/>
      <c r="V149" s="19">
        <f t="shared" si="21"/>
        <v>7.3226283487594582E-3</v>
      </c>
      <c r="W149" s="2"/>
      <c r="X149" s="2">
        <f t="shared" si="22"/>
        <v>-7085.5900000000038</v>
      </c>
      <c r="Y149" s="2"/>
      <c r="Z149" s="19">
        <f t="shared" si="23"/>
        <v>-0.14368872698129959</v>
      </c>
    </row>
    <row r="150" spans="1:26" s="24" customFormat="1" hidden="1" outlineLevel="1" x14ac:dyDescent="0.25">
      <c r="A150" s="44"/>
      <c r="B150" s="11" t="str">
        <f>CONCATENATE("          ", "5081", " - ", "PURCHASES @ COST-ELECTRONICS")</f>
        <v xml:space="preserve">          5081 - PURCHASES @ COST-ELECTRONICS</v>
      </c>
      <c r="C150" s="11"/>
      <c r="D150" s="2">
        <v>16915.849999999999</v>
      </c>
      <c r="E150" s="2"/>
      <c r="F150" s="19">
        <f t="shared" si="16"/>
        <v>2.7692622717133023E-2</v>
      </c>
      <c r="G150" s="2"/>
      <c r="H150" s="2">
        <v>14757.25</v>
      </c>
      <c r="I150" s="2"/>
      <c r="J150" s="19">
        <f t="shared" si="17"/>
        <v>2.7697779903922217E-2</v>
      </c>
      <c r="K150" s="2"/>
      <c r="L150" s="2">
        <f t="shared" si="18"/>
        <v>2158.5999999999985</v>
      </c>
      <c r="M150" s="2"/>
      <c r="N150" s="19">
        <f t="shared" si="19"/>
        <v>0.14627386538819892</v>
      </c>
      <c r="O150" s="11"/>
      <c r="P150" s="2">
        <v>186052.53999999998</v>
      </c>
      <c r="Q150" s="2"/>
      <c r="R150" s="19">
        <f t="shared" si="20"/>
        <v>2.8318223125513946E-2</v>
      </c>
      <c r="S150" s="2"/>
      <c r="T150" s="2">
        <v>160886.57</v>
      </c>
      <c r="U150" s="2"/>
      <c r="V150" s="19">
        <f t="shared" si="21"/>
        <v>2.3890952448500914E-2</v>
      </c>
      <c r="W150" s="2"/>
      <c r="X150" s="2">
        <f t="shared" si="22"/>
        <v>25165.969999999972</v>
      </c>
      <c r="Y150" s="2"/>
      <c r="Z150" s="19">
        <f t="shared" si="23"/>
        <v>0.15642057631037801</v>
      </c>
    </row>
    <row r="151" spans="1:26" s="24" customFormat="1" hidden="1" outlineLevel="1" x14ac:dyDescent="0.25">
      <c r="A151" s="44"/>
      <c r="B151" s="11" t="str">
        <f>CONCATENATE("          ", "5082", " - ", "PURCHASES @ COST-COMPUTER HARD")</f>
        <v xml:space="preserve">          5082 - PURCHASES @ COST-COMPUTER HARD</v>
      </c>
      <c r="C151" s="11"/>
      <c r="D151" s="2">
        <v>62807.55999999999</v>
      </c>
      <c r="E151" s="2"/>
      <c r="F151" s="19">
        <f t="shared" si="16"/>
        <v>0.10282108571923346</v>
      </c>
      <c r="G151" s="2"/>
      <c r="H151" s="2">
        <v>224384.15</v>
      </c>
      <c r="I151" s="2"/>
      <c r="J151" s="19">
        <f t="shared" si="17"/>
        <v>0.42114505078037362</v>
      </c>
      <c r="K151" s="2"/>
      <c r="L151" s="2">
        <f t="shared" si="18"/>
        <v>-161576.59</v>
      </c>
      <c r="M151" s="2"/>
      <c r="N151" s="19">
        <f t="shared" si="19"/>
        <v>-0.72008914176870331</v>
      </c>
      <c r="O151" s="11"/>
      <c r="P151" s="2">
        <v>958594.8600000001</v>
      </c>
      <c r="Q151" s="2"/>
      <c r="R151" s="19">
        <f t="shared" si="20"/>
        <v>0.14590342670113943</v>
      </c>
      <c r="S151" s="2"/>
      <c r="T151" s="2">
        <v>859664.56</v>
      </c>
      <c r="U151" s="2"/>
      <c r="V151" s="19">
        <f t="shared" si="21"/>
        <v>0.12765642977298516</v>
      </c>
      <c r="W151" s="2"/>
      <c r="X151" s="2">
        <f t="shared" si="22"/>
        <v>98930.300000000047</v>
      </c>
      <c r="Y151" s="2"/>
      <c r="Z151" s="19">
        <f t="shared" si="23"/>
        <v>0.11508011915717456</v>
      </c>
    </row>
    <row r="152" spans="1:26" s="24" customFormat="1" hidden="1" outlineLevel="1" x14ac:dyDescent="0.25">
      <c r="A152" s="44"/>
      <c r="B152" s="11" t="str">
        <f>CONCATENATE("          ", "5083", " - ", "PURCHASES @ COST-COMPUTER EQUI")</f>
        <v xml:space="preserve">          5083 - PURCHASES @ COST-COMPUTER EQUI</v>
      </c>
      <c r="C152" s="11"/>
      <c r="D152" s="2">
        <v>7127.48</v>
      </c>
      <c r="E152" s="2"/>
      <c r="F152" s="19">
        <f t="shared" si="16"/>
        <v>1.1668264649066484E-2</v>
      </c>
      <c r="G152" s="2"/>
      <c r="H152" s="2">
        <v>13058.9</v>
      </c>
      <c r="I152" s="2"/>
      <c r="J152" s="19">
        <f t="shared" si="17"/>
        <v>2.4510158599151594E-2</v>
      </c>
      <c r="K152" s="2"/>
      <c r="L152" s="2">
        <f t="shared" si="18"/>
        <v>-5931.42</v>
      </c>
      <c r="M152" s="2"/>
      <c r="N152" s="19">
        <f t="shared" si="19"/>
        <v>-0.45420517807778604</v>
      </c>
      <c r="O152" s="11"/>
      <c r="P152" s="2">
        <v>49168.32</v>
      </c>
      <c r="Q152" s="2"/>
      <c r="R152" s="19">
        <f t="shared" si="20"/>
        <v>7.4836895882564678E-3</v>
      </c>
      <c r="S152" s="2"/>
      <c r="T152" s="2">
        <v>57405.340000000004</v>
      </c>
      <c r="U152" s="2"/>
      <c r="V152" s="19">
        <f t="shared" si="21"/>
        <v>8.5244420850666865E-3</v>
      </c>
      <c r="W152" s="2"/>
      <c r="X152" s="2">
        <f t="shared" si="22"/>
        <v>-8237.0200000000041</v>
      </c>
      <c r="Y152" s="2"/>
      <c r="Z152" s="19">
        <f t="shared" si="23"/>
        <v>-0.14348874163971512</v>
      </c>
    </row>
    <row r="153" spans="1:26" s="24" customFormat="1" hidden="1" outlineLevel="1" x14ac:dyDescent="0.25">
      <c r="A153" s="44"/>
      <c r="B153" s="11" t="str">
        <f>CONCATENATE("          ", "5084", " - ", "PURCHASES @ COST-SOFTWARE LICE")</f>
        <v xml:space="preserve">          5084 - PURCHASES @ COST-SOFTWARE LICE</v>
      </c>
      <c r="C153" s="11"/>
      <c r="D153" s="2"/>
      <c r="E153" s="2"/>
      <c r="F153" s="19">
        <f t="shared" si="16"/>
        <v>0</v>
      </c>
      <c r="G153" s="2"/>
      <c r="H153" s="2">
        <v>445</v>
      </c>
      <c r="I153" s="2"/>
      <c r="J153" s="19">
        <f t="shared" si="17"/>
        <v>8.3521740549529128E-4</v>
      </c>
      <c r="K153" s="2"/>
      <c r="L153" s="2">
        <f t="shared" si="18"/>
        <v>-445</v>
      </c>
      <c r="M153" s="2"/>
      <c r="N153" s="19">
        <f t="shared" si="19"/>
        <v>-1</v>
      </c>
      <c r="O153" s="11"/>
      <c r="P153" s="2">
        <v>2728</v>
      </c>
      <c r="Q153" s="2"/>
      <c r="R153" s="19">
        <f t="shared" si="20"/>
        <v>4.1521665163185654E-4</v>
      </c>
      <c r="S153" s="2"/>
      <c r="T153" s="2">
        <v>673</v>
      </c>
      <c r="U153" s="2"/>
      <c r="V153" s="19">
        <f t="shared" si="21"/>
        <v>9.9937558478878095E-5</v>
      </c>
      <c r="W153" s="2"/>
      <c r="X153" s="2">
        <f t="shared" si="22"/>
        <v>2055</v>
      </c>
      <c r="Y153" s="2"/>
      <c r="Z153" s="19">
        <f t="shared" si="23"/>
        <v>3.0534918276374441</v>
      </c>
    </row>
    <row r="154" spans="1:26" s="24" customFormat="1" hidden="1" outlineLevel="1" x14ac:dyDescent="0.25">
      <c r="A154" s="44"/>
      <c r="B154" s="11" t="str">
        <f>CONCATENATE("          ", "5085", " - ", "PURCHASES @ COST-SOFTWARE")</f>
        <v xml:space="preserve">          5085 - PURCHASES @ COST-SOFTWARE</v>
      </c>
      <c r="C154" s="11"/>
      <c r="D154" s="2">
        <v>148.36000000000001</v>
      </c>
      <c r="E154" s="2"/>
      <c r="F154" s="19">
        <f t="shared" si="16"/>
        <v>2.4287739051326749E-4</v>
      </c>
      <c r="G154" s="2"/>
      <c r="H154" s="2"/>
      <c r="I154" s="2"/>
      <c r="J154" s="19">
        <f t="shared" si="17"/>
        <v>0</v>
      </c>
      <c r="K154" s="2"/>
      <c r="L154" s="2">
        <f t="shared" si="18"/>
        <v>148.36000000000001</v>
      </c>
      <c r="M154" s="2"/>
      <c r="N154" s="19">
        <f t="shared" si="19"/>
        <v>0</v>
      </c>
      <c r="O154" s="11"/>
      <c r="P154" s="2">
        <v>7080.4</v>
      </c>
      <c r="Q154" s="2"/>
      <c r="R154" s="19">
        <f t="shared" si="20"/>
        <v>1.0776759458263185E-3</v>
      </c>
      <c r="S154" s="2"/>
      <c r="T154" s="2">
        <v>6563.47</v>
      </c>
      <c r="U154" s="2"/>
      <c r="V154" s="19">
        <f t="shared" si="21"/>
        <v>9.7464660765135525E-4</v>
      </c>
      <c r="W154" s="2"/>
      <c r="X154" s="2">
        <f t="shared" si="22"/>
        <v>516.92999999999938</v>
      </c>
      <c r="Y154" s="2"/>
      <c r="Z154" s="19">
        <f t="shared" si="23"/>
        <v>7.8758644436555572E-2</v>
      </c>
    </row>
    <row r="155" spans="1:26" s="24" customFormat="1" hidden="1" outlineLevel="1" x14ac:dyDescent="0.25">
      <c r="A155" s="44"/>
      <c r="B155" s="11" t="str">
        <f>CONCATENATE("          ", "5086", " - ", "PURCHASES @ COST-COMPUTER SUPP")</f>
        <v xml:space="preserve">          5086 - PURCHASES @ COST-COMPUTER SUPP</v>
      </c>
      <c r="C155" s="11"/>
      <c r="D155" s="2">
        <v>913.55</v>
      </c>
      <c r="E155" s="2"/>
      <c r="F155" s="19">
        <f t="shared" si="16"/>
        <v>1.4955556760811236E-3</v>
      </c>
      <c r="G155" s="2"/>
      <c r="H155" s="2">
        <v>1346.43</v>
      </c>
      <c r="I155" s="2"/>
      <c r="J155" s="19">
        <f t="shared" si="17"/>
        <v>2.5271051040023037E-3</v>
      </c>
      <c r="K155" s="2"/>
      <c r="L155" s="2">
        <f t="shared" si="18"/>
        <v>-432.88000000000011</v>
      </c>
      <c r="M155" s="2"/>
      <c r="N155" s="19">
        <f t="shared" si="19"/>
        <v>-0.32150204615167521</v>
      </c>
      <c r="O155" s="11"/>
      <c r="P155" s="2">
        <v>19422.649999999998</v>
      </c>
      <c r="Q155" s="2"/>
      <c r="R155" s="19">
        <f t="shared" si="20"/>
        <v>2.9562344937014212E-3</v>
      </c>
      <c r="S155" s="2"/>
      <c r="T155" s="2">
        <v>19026.900000000001</v>
      </c>
      <c r="U155" s="2"/>
      <c r="V155" s="19">
        <f t="shared" si="21"/>
        <v>2.8254114879966803E-3</v>
      </c>
      <c r="W155" s="2"/>
      <c r="X155" s="2">
        <f t="shared" si="22"/>
        <v>395.74999999999636</v>
      </c>
      <c r="Y155" s="2"/>
      <c r="Z155" s="19">
        <f t="shared" si="23"/>
        <v>2.0799499655750349E-2</v>
      </c>
    </row>
    <row r="156" spans="1:26" s="24" customFormat="1" hidden="1" outlineLevel="1" x14ac:dyDescent="0.25">
      <c r="A156" s="44"/>
      <c r="B156" s="11" t="str">
        <f>CONCATENATE("          ", "5088", " - ", "PURCHASES @ COST-MUSIC")</f>
        <v xml:space="preserve">          5088 - PURCHASES @ COST-MUSIC</v>
      </c>
      <c r="C156" s="11"/>
      <c r="D156" s="2"/>
      <c r="E156" s="2"/>
      <c r="F156" s="19">
        <f t="shared" si="16"/>
        <v>0</v>
      </c>
      <c r="G156" s="2"/>
      <c r="H156" s="2"/>
      <c r="I156" s="2"/>
      <c r="J156" s="19">
        <f t="shared" si="17"/>
        <v>0</v>
      </c>
      <c r="K156" s="2"/>
      <c r="L156" s="2">
        <f t="shared" si="18"/>
        <v>0</v>
      </c>
      <c r="M156" s="2"/>
      <c r="N156" s="19">
        <f t="shared" si="19"/>
        <v>0</v>
      </c>
      <c r="O156" s="11"/>
      <c r="P156" s="2">
        <v>88.75</v>
      </c>
      <c r="Q156" s="2"/>
      <c r="R156" s="19">
        <f t="shared" si="20"/>
        <v>1.3508239674606769E-5</v>
      </c>
      <c r="S156" s="2"/>
      <c r="T156" s="2">
        <v>0</v>
      </c>
      <c r="U156" s="2"/>
      <c r="V156" s="19">
        <f t="shared" si="21"/>
        <v>0</v>
      </c>
      <c r="W156" s="2"/>
      <c r="X156" s="2">
        <f t="shared" si="22"/>
        <v>88.75</v>
      </c>
      <c r="Y156" s="2"/>
      <c r="Z156" s="19">
        <f t="shared" si="23"/>
        <v>0</v>
      </c>
    </row>
    <row r="157" spans="1:26" s="24" customFormat="1" hidden="1" outlineLevel="1" x14ac:dyDescent="0.25">
      <c r="A157" s="44"/>
      <c r="B157" s="11" t="str">
        <f>CONCATENATE("          ", "5092", " - ", "PURCHASES @ COST-GRAD MERCH")</f>
        <v xml:space="preserve">          5092 - PURCHASES @ COST-GRAD MERCH</v>
      </c>
      <c r="C157" s="11"/>
      <c r="D157" s="2">
        <v>628</v>
      </c>
      <c r="E157" s="2"/>
      <c r="F157" s="19">
        <f t="shared" si="16"/>
        <v>1.0280870938415474E-3</v>
      </c>
      <c r="G157" s="2"/>
      <c r="H157" s="2"/>
      <c r="I157" s="2"/>
      <c r="J157" s="19">
        <f t="shared" si="17"/>
        <v>0</v>
      </c>
      <c r="K157" s="2"/>
      <c r="L157" s="2">
        <f t="shared" si="18"/>
        <v>628</v>
      </c>
      <c r="M157" s="2"/>
      <c r="N157" s="19">
        <f t="shared" si="19"/>
        <v>0</v>
      </c>
      <c r="O157" s="11"/>
      <c r="P157" s="2">
        <v>1924.14</v>
      </c>
      <c r="Q157" s="2"/>
      <c r="R157" s="19">
        <f t="shared" si="20"/>
        <v>2.9286472436617321E-4</v>
      </c>
      <c r="S157" s="2"/>
      <c r="T157" s="2">
        <v>-2698.04</v>
      </c>
      <c r="U157" s="2"/>
      <c r="V157" s="19">
        <f t="shared" si="21"/>
        <v>-4.006471475161252E-4</v>
      </c>
      <c r="W157" s="2"/>
      <c r="X157" s="2">
        <f t="shared" si="22"/>
        <v>4622.18</v>
      </c>
      <c r="Y157" s="2"/>
      <c r="Z157" s="19">
        <f t="shared" si="23"/>
        <v>-1.7131621473365852</v>
      </c>
    </row>
    <row r="158" spans="1:26" s="24" customFormat="1" hidden="1" outlineLevel="1" x14ac:dyDescent="0.25">
      <c r="A158" s="44"/>
      <c r="B158" s="11" t="str">
        <f>CONCATENATE("          ", "5095", " - ", "PURCHASES @ COST-CUSTOMER SERV")</f>
        <v xml:space="preserve">          5095 - PURCHASES @ COST-CUSTOMER SERV</v>
      </c>
      <c r="C158" s="11"/>
      <c r="D158" s="2"/>
      <c r="E158" s="2"/>
      <c r="F158" s="19">
        <f t="shared" si="16"/>
        <v>0</v>
      </c>
      <c r="G158" s="2"/>
      <c r="H158" s="2"/>
      <c r="I158" s="2"/>
      <c r="J158" s="19">
        <f t="shared" si="17"/>
        <v>0</v>
      </c>
      <c r="K158" s="2"/>
      <c r="L158" s="2">
        <f t="shared" si="18"/>
        <v>0</v>
      </c>
      <c r="M158" s="2"/>
      <c r="N158" s="19">
        <f t="shared" si="19"/>
        <v>0</v>
      </c>
      <c r="O158" s="11"/>
      <c r="P158" s="2">
        <v>0</v>
      </c>
      <c r="Q158" s="2"/>
      <c r="R158" s="19">
        <f t="shared" si="20"/>
        <v>0</v>
      </c>
      <c r="S158" s="2"/>
      <c r="T158" s="2">
        <v>0</v>
      </c>
      <c r="U158" s="2"/>
      <c r="V158" s="19">
        <f t="shared" si="21"/>
        <v>0</v>
      </c>
      <c r="W158" s="2"/>
      <c r="X158" s="2">
        <f t="shared" si="22"/>
        <v>0</v>
      </c>
      <c r="Y158" s="2"/>
      <c r="Z158" s="19">
        <f t="shared" si="23"/>
        <v>0</v>
      </c>
    </row>
    <row r="159" spans="1:26" s="24" customFormat="1" hidden="1" outlineLevel="1" x14ac:dyDescent="0.25">
      <c r="A159" s="44"/>
      <c r="B159" s="11" t="str">
        <f>CONCATENATE("          ", "5200", " - ", "PURCHASES OFFSET")</f>
        <v xml:space="preserve">          5200 - PURCHASES OFFSET</v>
      </c>
      <c r="C159" s="11"/>
      <c r="D159" s="2">
        <v>27177</v>
      </c>
      <c r="E159" s="2"/>
      <c r="F159" s="19">
        <f t="shared" si="16"/>
        <v>4.4490960110400851E-2</v>
      </c>
      <c r="G159" s="2"/>
      <c r="H159" s="2">
        <v>-425259</v>
      </c>
      <c r="I159" s="2"/>
      <c r="J159" s="19">
        <f t="shared" si="17"/>
        <v>-0.7981656598730833</v>
      </c>
      <c r="K159" s="2"/>
      <c r="L159" s="2">
        <f t="shared" si="18"/>
        <v>452436</v>
      </c>
      <c r="M159" s="2"/>
      <c r="N159" s="19">
        <f t="shared" si="19"/>
        <v>-1.0639069367138614</v>
      </c>
      <c r="O159" s="11"/>
      <c r="P159" s="2">
        <v>-3845644</v>
      </c>
      <c r="Q159" s="2"/>
      <c r="R159" s="19">
        <f t="shared" si="20"/>
        <v>-0.58532823498832087</v>
      </c>
      <c r="S159" s="2"/>
      <c r="T159" s="2">
        <v>-3736964</v>
      </c>
      <c r="U159" s="2"/>
      <c r="V159" s="19">
        <f t="shared" si="21"/>
        <v>-0.55492282062921572</v>
      </c>
      <c r="W159" s="2"/>
      <c r="X159" s="2">
        <f t="shared" si="22"/>
        <v>-108680</v>
      </c>
      <c r="Y159" s="2"/>
      <c r="Z159" s="19">
        <f t="shared" si="23"/>
        <v>2.9082431620962898E-2</v>
      </c>
    </row>
    <row r="160" spans="1:26" s="24" customFormat="1" hidden="1" outlineLevel="1" x14ac:dyDescent="0.25">
      <c r="A160" s="44"/>
      <c r="B160" s="11" t="str">
        <f>CONCATENATE("          ", "5300", " - ", "COG$ OFFSET")</f>
        <v xml:space="preserve">          5300 - COG$ OFFSET</v>
      </c>
      <c r="C160" s="11"/>
      <c r="D160" s="2">
        <v>346925</v>
      </c>
      <c r="E160" s="2"/>
      <c r="F160" s="19">
        <f t="shared" si="16"/>
        <v>0.56794445068627208</v>
      </c>
      <c r="G160" s="2"/>
      <c r="H160" s="2">
        <v>308722</v>
      </c>
      <c r="I160" s="2"/>
      <c r="J160" s="19">
        <f t="shared" si="17"/>
        <v>0.57943817496475802</v>
      </c>
      <c r="K160" s="2"/>
      <c r="L160" s="2">
        <f t="shared" si="18"/>
        <v>38203</v>
      </c>
      <c r="M160" s="2"/>
      <c r="N160" s="19">
        <f t="shared" si="19"/>
        <v>0.12374563523169713</v>
      </c>
      <c r="O160" s="11"/>
      <c r="P160" s="2">
        <v>3679397</v>
      </c>
      <c r="Q160" s="2"/>
      <c r="R160" s="19">
        <f t="shared" si="20"/>
        <v>0.56002452432708871</v>
      </c>
      <c r="S160" s="2"/>
      <c r="T160" s="2">
        <v>3685299</v>
      </c>
      <c r="U160" s="2"/>
      <c r="V160" s="19">
        <f t="shared" si="21"/>
        <v>0.54725079394450371</v>
      </c>
      <c r="W160" s="2"/>
      <c r="X160" s="2">
        <f t="shared" si="22"/>
        <v>-5902</v>
      </c>
      <c r="Y160" s="2"/>
      <c r="Z160" s="19">
        <f t="shared" si="23"/>
        <v>-1.6014982773446605E-3</v>
      </c>
    </row>
    <row r="161" spans="1:26" s="24" customFormat="1" hidden="1" outlineLevel="1" x14ac:dyDescent="0.25">
      <c r="A161" s="44"/>
      <c r="B161" s="11" t="str">
        <f>CONCATENATE("          ", "5500", " - ", "FREIGHT-IN")</f>
        <v xml:space="preserve">          5500 - FREIGHT-IN</v>
      </c>
      <c r="C161" s="11"/>
      <c r="D161" s="2"/>
      <c r="E161" s="2"/>
      <c r="F161" s="19">
        <f t="shared" si="16"/>
        <v>0</v>
      </c>
      <c r="G161" s="2"/>
      <c r="H161" s="2">
        <v>14.08</v>
      </c>
      <c r="I161" s="2"/>
      <c r="J161" s="19">
        <f t="shared" si="17"/>
        <v>2.6426654088480228E-5</v>
      </c>
      <c r="K161" s="2"/>
      <c r="L161" s="2">
        <f t="shared" si="18"/>
        <v>-14.08</v>
      </c>
      <c r="M161" s="2"/>
      <c r="N161" s="19">
        <f t="shared" si="19"/>
        <v>-1</v>
      </c>
      <c r="O161" s="11"/>
      <c r="P161" s="2">
        <v>35.229999999999997</v>
      </c>
      <c r="Q161" s="2"/>
      <c r="R161" s="19">
        <f t="shared" si="20"/>
        <v>5.3622003801284104E-6</v>
      </c>
      <c r="S161" s="2"/>
      <c r="T161" s="2">
        <v>14.08</v>
      </c>
      <c r="U161" s="2"/>
      <c r="V161" s="19">
        <f t="shared" si="21"/>
        <v>2.090818459706692E-6</v>
      </c>
      <c r="W161" s="2"/>
      <c r="X161" s="2">
        <f t="shared" si="22"/>
        <v>21.15</v>
      </c>
      <c r="Y161" s="2"/>
      <c r="Z161" s="19">
        <f t="shared" si="23"/>
        <v>1.5021306818181817</v>
      </c>
    </row>
    <row r="162" spans="1:26" s="24" customFormat="1" hidden="1" outlineLevel="1" x14ac:dyDescent="0.25">
      <c r="A162" s="44"/>
      <c r="B162" s="11" t="str">
        <f>CONCATENATE("          ", "5501", " - ", "FREIGHT-IN-NEW TEXT")</f>
        <v xml:space="preserve">          5501 - FREIGHT-IN-NEW TEXT</v>
      </c>
      <c r="C162" s="11"/>
      <c r="D162" s="2">
        <v>490.07</v>
      </c>
      <c r="E162" s="2"/>
      <c r="F162" s="19">
        <f t="shared" si="16"/>
        <v>8.0228446190911968E-4</v>
      </c>
      <c r="G162" s="2"/>
      <c r="H162" s="2">
        <v>588.1</v>
      </c>
      <c r="I162" s="2"/>
      <c r="J162" s="19">
        <f t="shared" si="17"/>
        <v>1.1038008003860242E-3</v>
      </c>
      <c r="K162" s="2"/>
      <c r="L162" s="2">
        <f t="shared" si="18"/>
        <v>-98.03000000000003</v>
      </c>
      <c r="M162" s="2"/>
      <c r="N162" s="19">
        <f t="shared" si="19"/>
        <v>-0.16668933854786605</v>
      </c>
      <c r="O162" s="11"/>
      <c r="P162" s="2">
        <v>34507.550000000003</v>
      </c>
      <c r="Q162" s="2"/>
      <c r="R162" s="19">
        <f t="shared" si="20"/>
        <v>5.2522395040391755E-3</v>
      </c>
      <c r="S162" s="2"/>
      <c r="T162" s="2">
        <v>36798.959999999999</v>
      </c>
      <c r="U162" s="2"/>
      <c r="V162" s="19">
        <f t="shared" si="21"/>
        <v>5.4644847205971708E-3</v>
      </c>
      <c r="W162" s="2"/>
      <c r="X162" s="2">
        <f t="shared" si="22"/>
        <v>-2291.4099999999962</v>
      </c>
      <c r="Y162" s="2"/>
      <c r="Z162" s="19">
        <f t="shared" si="23"/>
        <v>-6.2268335844273756E-2</v>
      </c>
    </row>
    <row r="163" spans="1:26" s="24" customFormat="1" hidden="1" outlineLevel="1" x14ac:dyDescent="0.25">
      <c r="A163" s="44"/>
      <c r="B163" s="11" t="str">
        <f>CONCATENATE("          ", "5502", " - ", "FREIGHT-IN-USED TEXT")</f>
        <v xml:space="preserve">          5502 - FREIGHT-IN-USED TEXT</v>
      </c>
      <c r="C163" s="11"/>
      <c r="D163" s="2">
        <v>237.65</v>
      </c>
      <c r="E163" s="2"/>
      <c r="F163" s="19">
        <f t="shared" si="16"/>
        <v>3.8905238511376393E-4</v>
      </c>
      <c r="G163" s="2"/>
      <c r="H163" s="2">
        <v>18.5</v>
      </c>
      <c r="I163" s="2"/>
      <c r="J163" s="19">
        <f t="shared" si="17"/>
        <v>3.4722521352051432E-5</v>
      </c>
      <c r="K163" s="2"/>
      <c r="L163" s="2">
        <f t="shared" si="18"/>
        <v>219.15</v>
      </c>
      <c r="M163" s="2"/>
      <c r="N163" s="19">
        <f t="shared" si="19"/>
        <v>11.845945945945946</v>
      </c>
      <c r="O163" s="11"/>
      <c r="P163" s="2">
        <v>7090.12</v>
      </c>
      <c r="Q163" s="2"/>
      <c r="R163" s="19">
        <f t="shared" si="20"/>
        <v>1.0791553834560332E-3</v>
      </c>
      <c r="S163" s="2"/>
      <c r="T163" s="2">
        <v>7751.05</v>
      </c>
      <c r="U163" s="2"/>
      <c r="V163" s="19">
        <f t="shared" si="21"/>
        <v>1.1509970470248263E-3</v>
      </c>
      <c r="W163" s="2"/>
      <c r="X163" s="2">
        <f t="shared" si="22"/>
        <v>-660.93000000000029</v>
      </c>
      <c r="Y163" s="2"/>
      <c r="Z163" s="19">
        <f t="shared" si="23"/>
        <v>-8.5269737648447669E-2</v>
      </c>
    </row>
    <row r="164" spans="1:26" s="24" customFormat="1" hidden="1" outlineLevel="1" x14ac:dyDescent="0.25">
      <c r="A164" s="44"/>
      <c r="B164" s="11" t="str">
        <f>CONCATENATE("          ", "5504", " - ", "FREIGHT-IN-DIGITAL TEXT")</f>
        <v xml:space="preserve">          5504 - FREIGHT-IN-DIGITAL TEXT</v>
      </c>
      <c r="C164" s="11"/>
      <c r="D164" s="2">
        <v>5</v>
      </c>
      <c r="E164" s="2"/>
      <c r="F164" s="19">
        <f t="shared" si="16"/>
        <v>8.1854067981014914E-6</v>
      </c>
      <c r="G164" s="2"/>
      <c r="H164" s="2"/>
      <c r="I164" s="2"/>
      <c r="J164" s="19">
        <f t="shared" si="17"/>
        <v>0</v>
      </c>
      <c r="K164" s="2"/>
      <c r="L164" s="2">
        <f t="shared" si="18"/>
        <v>5</v>
      </c>
      <c r="M164" s="2"/>
      <c r="N164" s="19">
        <f t="shared" si="19"/>
        <v>0</v>
      </c>
      <c r="O164" s="11"/>
      <c r="P164" s="2">
        <v>105.97</v>
      </c>
      <c r="Q164" s="2"/>
      <c r="R164" s="19">
        <f t="shared" si="20"/>
        <v>1.6129218685274134E-5</v>
      </c>
      <c r="S164" s="2"/>
      <c r="T164" s="2">
        <v>166.22</v>
      </c>
      <c r="U164" s="2"/>
      <c r="V164" s="19">
        <f t="shared" si="21"/>
        <v>2.4682943492361243E-5</v>
      </c>
      <c r="W164" s="2"/>
      <c r="X164" s="2">
        <f t="shared" si="22"/>
        <v>-60.25</v>
      </c>
      <c r="Y164" s="2"/>
      <c r="Z164" s="19">
        <f t="shared" si="23"/>
        <v>-0.36247142341475153</v>
      </c>
    </row>
    <row r="165" spans="1:26" s="24" customFormat="1" hidden="1" outlineLevel="1" x14ac:dyDescent="0.25">
      <c r="A165" s="44"/>
      <c r="B165" s="11" t="str">
        <f>CONCATENATE("          ", "5513", " - ", "FREIGHT-IN-TRADE BOOKS")</f>
        <v xml:space="preserve">          5513 - FREIGHT-IN-TRADE BOOKS</v>
      </c>
      <c r="C165" s="11"/>
      <c r="D165" s="2">
        <v>12.33</v>
      </c>
      <c r="E165" s="2"/>
      <c r="F165" s="19">
        <f t="shared" si="16"/>
        <v>2.0185213164118278E-5</v>
      </c>
      <c r="G165" s="2"/>
      <c r="H165" s="2"/>
      <c r="I165" s="2"/>
      <c r="J165" s="19">
        <f t="shared" si="17"/>
        <v>0</v>
      </c>
      <c r="K165" s="2"/>
      <c r="L165" s="2">
        <f t="shared" si="18"/>
        <v>12.33</v>
      </c>
      <c r="M165" s="2"/>
      <c r="N165" s="19">
        <f t="shared" si="19"/>
        <v>0</v>
      </c>
      <c r="O165" s="11"/>
      <c r="P165" s="2">
        <v>12.33</v>
      </c>
      <c r="Q165" s="2"/>
      <c r="R165" s="19">
        <f t="shared" si="20"/>
        <v>1.8766940302862138E-6</v>
      </c>
      <c r="S165" s="2"/>
      <c r="T165" s="2">
        <v>12.22</v>
      </c>
      <c r="U165" s="2"/>
      <c r="V165" s="19">
        <f t="shared" si="21"/>
        <v>1.8146165893193023E-6</v>
      </c>
      <c r="W165" s="2"/>
      <c r="X165" s="2">
        <f t="shared" si="22"/>
        <v>0.10999999999999943</v>
      </c>
      <c r="Y165" s="2"/>
      <c r="Z165" s="19">
        <f t="shared" si="23"/>
        <v>9.0016366612110828E-3</v>
      </c>
    </row>
    <row r="166" spans="1:26" s="24" customFormat="1" hidden="1" outlineLevel="1" x14ac:dyDescent="0.25">
      <c r="A166" s="44"/>
      <c r="B166" s="11" t="str">
        <f>CONCATENATE("          ", "5518", " - ", "FREIGHT-IN-STUDY GUIDES")</f>
        <v xml:space="preserve">          5518 - FREIGHT-IN-STUDY GUIDES</v>
      </c>
      <c r="C166" s="11"/>
      <c r="D166" s="2">
        <v>12.26</v>
      </c>
      <c r="E166" s="2"/>
      <c r="F166" s="19">
        <f t="shared" si="16"/>
        <v>2.0070617468944857E-5</v>
      </c>
      <c r="G166" s="2"/>
      <c r="H166" s="2"/>
      <c r="I166" s="2"/>
      <c r="J166" s="19">
        <f t="shared" si="17"/>
        <v>0</v>
      </c>
      <c r="K166" s="2"/>
      <c r="L166" s="2">
        <f t="shared" si="18"/>
        <v>12.26</v>
      </c>
      <c r="M166" s="2"/>
      <c r="N166" s="19">
        <f t="shared" si="19"/>
        <v>0</v>
      </c>
      <c r="O166" s="11"/>
      <c r="P166" s="2">
        <v>12.26</v>
      </c>
      <c r="Q166" s="2"/>
      <c r="R166" s="19">
        <f t="shared" si="20"/>
        <v>1.8660396440639887E-6</v>
      </c>
      <c r="S166" s="2"/>
      <c r="T166" s="2"/>
      <c r="U166" s="2"/>
      <c r="V166" s="19">
        <f t="shared" si="21"/>
        <v>0</v>
      </c>
      <c r="W166" s="2"/>
      <c r="X166" s="2">
        <f t="shared" si="22"/>
        <v>12.26</v>
      </c>
      <c r="Y166" s="2"/>
      <c r="Z166" s="19">
        <f t="shared" si="23"/>
        <v>0</v>
      </c>
    </row>
    <row r="167" spans="1:26" s="24" customFormat="1" hidden="1" outlineLevel="1" x14ac:dyDescent="0.25">
      <c r="A167" s="44"/>
      <c r="B167" s="11" t="str">
        <f>CONCATENATE("          ", "5525", " - ", "FREIGHT-IN-TEST FORMS")</f>
        <v xml:space="preserve">          5525 - FREIGHT-IN-TEST FORMS</v>
      </c>
      <c r="C167" s="11"/>
      <c r="D167" s="2">
        <v>335.7</v>
      </c>
      <c r="E167" s="2"/>
      <c r="F167" s="19">
        <f t="shared" si="16"/>
        <v>5.4956821242453419E-4</v>
      </c>
      <c r="G167" s="2"/>
      <c r="H167" s="2"/>
      <c r="I167" s="2"/>
      <c r="J167" s="19">
        <f t="shared" si="17"/>
        <v>0</v>
      </c>
      <c r="K167" s="2"/>
      <c r="L167" s="2">
        <f t="shared" si="18"/>
        <v>335.7</v>
      </c>
      <c r="M167" s="2"/>
      <c r="N167" s="19">
        <f t="shared" si="19"/>
        <v>0</v>
      </c>
      <c r="O167" s="11"/>
      <c r="P167" s="2">
        <v>374.92</v>
      </c>
      <c r="Q167" s="2"/>
      <c r="R167" s="19">
        <f t="shared" si="20"/>
        <v>5.7064892606237413E-5</v>
      </c>
      <c r="S167" s="2"/>
      <c r="T167" s="2">
        <v>50.92</v>
      </c>
      <c r="U167" s="2"/>
      <c r="V167" s="19">
        <f t="shared" si="21"/>
        <v>7.5613974409278943E-6</v>
      </c>
      <c r="W167" s="2"/>
      <c r="X167" s="2">
        <f t="shared" si="22"/>
        <v>324</v>
      </c>
      <c r="Y167" s="2"/>
      <c r="Z167" s="19">
        <f t="shared" si="23"/>
        <v>6.3629222309505105</v>
      </c>
    </row>
    <row r="168" spans="1:26" s="24" customFormat="1" hidden="1" outlineLevel="1" x14ac:dyDescent="0.25">
      <c r="A168" s="44"/>
      <c r="B168" s="11" t="str">
        <f>CONCATENATE("          ", "5526", " - ", "FREIGHT-IN-WRITING INSTRUMENTS")</f>
        <v xml:space="preserve">          5526 - FREIGHT-IN-WRITING INSTRUMENTS</v>
      </c>
      <c r="C168" s="11"/>
      <c r="D168" s="2">
        <v>160.91999999999999</v>
      </c>
      <c r="E168" s="2"/>
      <c r="F168" s="19">
        <f t="shared" si="16"/>
        <v>2.6343913239009842E-4</v>
      </c>
      <c r="G168" s="2"/>
      <c r="H168" s="2">
        <v>33.840000000000003</v>
      </c>
      <c r="I168" s="2"/>
      <c r="J168" s="19">
        <f t="shared" si="17"/>
        <v>6.3514060678563277E-5</v>
      </c>
      <c r="K168" s="2"/>
      <c r="L168" s="2">
        <f t="shared" si="18"/>
        <v>127.07999999999998</v>
      </c>
      <c r="M168" s="2"/>
      <c r="N168" s="19">
        <f t="shared" si="19"/>
        <v>3.7553191489361692</v>
      </c>
      <c r="O168" s="11"/>
      <c r="P168" s="2">
        <v>217.49</v>
      </c>
      <c r="Q168" s="2"/>
      <c r="R168" s="19">
        <f t="shared" si="20"/>
        <v>3.3103177992453253E-5</v>
      </c>
      <c r="S168" s="2"/>
      <c r="T168" s="2">
        <v>100.32</v>
      </c>
      <c r="U168" s="2"/>
      <c r="V168" s="19">
        <f t="shared" si="21"/>
        <v>1.4897081525410178E-5</v>
      </c>
      <c r="W168" s="2"/>
      <c r="X168" s="2">
        <f t="shared" si="22"/>
        <v>117.17000000000002</v>
      </c>
      <c r="Y168" s="2"/>
      <c r="Z168" s="19">
        <f t="shared" si="23"/>
        <v>1.1679625199362045</v>
      </c>
    </row>
    <row r="169" spans="1:26" s="24" customFormat="1" hidden="1" outlineLevel="1" x14ac:dyDescent="0.25">
      <c r="A169" s="44"/>
      <c r="B169" s="11" t="str">
        <f>CONCATENATE("          ", "5527", " - ", "FREIGHT-IN-SCHOOL SUPPLIES")</f>
        <v xml:space="preserve">          5527 - FREIGHT-IN-SCHOOL SUPPLIES</v>
      </c>
      <c r="C169" s="11"/>
      <c r="D169" s="2">
        <v>134.09</v>
      </c>
      <c r="E169" s="2"/>
      <c r="F169" s="19">
        <f t="shared" si="16"/>
        <v>2.1951623951148582E-4</v>
      </c>
      <c r="G169" s="2"/>
      <c r="H169" s="2">
        <v>77.010000000000005</v>
      </c>
      <c r="I169" s="2"/>
      <c r="J169" s="19">
        <f t="shared" si="17"/>
        <v>1.4453953347683682E-4</v>
      </c>
      <c r="K169" s="2"/>
      <c r="L169" s="2">
        <f t="shared" si="18"/>
        <v>57.08</v>
      </c>
      <c r="M169" s="2"/>
      <c r="N169" s="19">
        <f t="shared" si="19"/>
        <v>0.74120244124139711</v>
      </c>
      <c r="O169" s="11"/>
      <c r="P169" s="2">
        <v>872.58</v>
      </c>
      <c r="Q169" s="2"/>
      <c r="R169" s="19">
        <f t="shared" si="20"/>
        <v>1.3281149042555917E-4</v>
      </c>
      <c r="S169" s="2"/>
      <c r="T169" s="2">
        <v>1009.71</v>
      </c>
      <c r="U169" s="2"/>
      <c r="V169" s="19">
        <f t="shared" si="21"/>
        <v>1.4993752180045766E-4</v>
      </c>
      <c r="W169" s="2"/>
      <c r="X169" s="2">
        <f t="shared" si="22"/>
        <v>-137.13</v>
      </c>
      <c r="Y169" s="2"/>
      <c r="Z169" s="19">
        <f t="shared" si="23"/>
        <v>-0.13581127254360162</v>
      </c>
    </row>
    <row r="170" spans="1:26" s="24" customFormat="1" hidden="1" outlineLevel="1" x14ac:dyDescent="0.25">
      <c r="A170" s="44"/>
      <c r="B170" s="11" t="str">
        <f>CONCATENATE("          ", "5528", " - ", "FREIGHT-IN-ART/TECH")</f>
        <v xml:space="preserve">          5528 - FREIGHT-IN-ART/TECH</v>
      </c>
      <c r="C170" s="11"/>
      <c r="D170" s="2">
        <v>105.06</v>
      </c>
      <c r="E170" s="2"/>
      <c r="F170" s="19">
        <f t="shared" si="16"/>
        <v>1.7199176764170855E-4</v>
      </c>
      <c r="G170" s="2"/>
      <c r="H170" s="2">
        <v>3400.7</v>
      </c>
      <c r="I170" s="2"/>
      <c r="J170" s="19">
        <f t="shared" si="17"/>
        <v>6.3827501817254762E-3</v>
      </c>
      <c r="K170" s="2"/>
      <c r="L170" s="2">
        <f t="shared" si="18"/>
        <v>-3295.64</v>
      </c>
      <c r="M170" s="2"/>
      <c r="N170" s="19">
        <f t="shared" si="19"/>
        <v>-0.96910636045520038</v>
      </c>
      <c r="O170" s="11"/>
      <c r="P170" s="2">
        <v>923.5</v>
      </c>
      <c r="Q170" s="2"/>
      <c r="R170" s="19">
        <f t="shared" si="20"/>
        <v>1.4056179537464059E-4</v>
      </c>
      <c r="S170" s="2"/>
      <c r="T170" s="2">
        <v>4504.6499999999996</v>
      </c>
      <c r="U170" s="2"/>
      <c r="V170" s="19">
        <f t="shared" si="21"/>
        <v>6.6892083625836284E-4</v>
      </c>
      <c r="W170" s="2"/>
      <c r="X170" s="2">
        <f t="shared" si="22"/>
        <v>-3581.1499999999996</v>
      </c>
      <c r="Y170" s="2"/>
      <c r="Z170" s="19">
        <f t="shared" si="23"/>
        <v>-0.79498962183521471</v>
      </c>
    </row>
    <row r="171" spans="1:26" s="24" customFormat="1" hidden="1" outlineLevel="1" x14ac:dyDescent="0.25">
      <c r="A171" s="44"/>
      <c r="B171" s="11" t="str">
        <f>CONCATENATE("          ", "5540", " - ", "FREIGHT-IN-LOGO CLOTHING")</f>
        <v xml:space="preserve">          5540 - FREIGHT-IN-LOGO CLOTHING</v>
      </c>
      <c r="C171" s="11"/>
      <c r="D171" s="2">
        <v>6133.89</v>
      </c>
      <c r="E171" s="2"/>
      <c r="F171" s="19">
        <f t="shared" si="16"/>
        <v>1.0041676980961353E-2</v>
      </c>
      <c r="G171" s="2"/>
      <c r="H171" s="2">
        <v>1855.88</v>
      </c>
      <c r="I171" s="2"/>
      <c r="J171" s="19">
        <f t="shared" si="17"/>
        <v>3.4832882663159578E-3</v>
      </c>
      <c r="K171" s="2"/>
      <c r="L171" s="2">
        <f t="shared" si="18"/>
        <v>4278.01</v>
      </c>
      <c r="M171" s="2"/>
      <c r="N171" s="19">
        <f t="shared" si="19"/>
        <v>2.305111321852706</v>
      </c>
      <c r="O171" s="11"/>
      <c r="P171" s="2">
        <v>20241.329999999998</v>
      </c>
      <c r="Q171" s="2"/>
      <c r="R171" s="19">
        <f t="shared" si="20"/>
        <v>3.0808421067358674E-3</v>
      </c>
      <c r="S171" s="2"/>
      <c r="T171" s="2">
        <v>12199.19</v>
      </c>
      <c r="U171" s="2"/>
      <c r="V171" s="19">
        <f t="shared" si="21"/>
        <v>1.8115263952748067E-3</v>
      </c>
      <c r="W171" s="2"/>
      <c r="X171" s="2">
        <f t="shared" si="22"/>
        <v>8042.1399999999976</v>
      </c>
      <c r="Y171" s="2"/>
      <c r="Z171" s="19">
        <f t="shared" si="23"/>
        <v>0.65923557219782603</v>
      </c>
    </row>
    <row r="172" spans="1:26" s="24" customFormat="1" hidden="1" outlineLevel="1" x14ac:dyDescent="0.25">
      <c r="A172" s="44"/>
      <c r="B172" s="11" t="str">
        <f>CONCATENATE("          ", "5541", " - ", "FREIGHT-IN-LOGO GIFTS")</f>
        <v xml:space="preserve">          5541 - FREIGHT-IN-LOGO GIFTS</v>
      </c>
      <c r="C172" s="11"/>
      <c r="D172" s="2">
        <v>1315.98</v>
      </c>
      <c r="E172" s="2"/>
      <c r="F172" s="19">
        <f t="shared" si="16"/>
        <v>2.1543663276331203E-3</v>
      </c>
      <c r="G172" s="2"/>
      <c r="H172" s="2">
        <v>843.44</v>
      </c>
      <c r="I172" s="2"/>
      <c r="J172" s="19">
        <f t="shared" si="17"/>
        <v>1.5830466707661764E-3</v>
      </c>
      <c r="K172" s="2"/>
      <c r="L172" s="2">
        <f t="shared" si="18"/>
        <v>472.53999999999996</v>
      </c>
      <c r="M172" s="2"/>
      <c r="N172" s="19">
        <f t="shared" si="19"/>
        <v>0.56025324860096737</v>
      </c>
      <c r="O172" s="11"/>
      <c r="P172" s="2">
        <v>2852.83</v>
      </c>
      <c r="Q172" s="2"/>
      <c r="R172" s="19">
        <f t="shared" si="20"/>
        <v>4.3421646637643299E-4</v>
      </c>
      <c r="S172" s="2"/>
      <c r="T172" s="2">
        <v>3968</v>
      </c>
      <c r="U172" s="2"/>
      <c r="V172" s="19">
        <f t="shared" si="21"/>
        <v>5.8923065682643129E-4</v>
      </c>
      <c r="W172" s="2"/>
      <c r="X172" s="2">
        <f t="shared" si="22"/>
        <v>-1115.17</v>
      </c>
      <c r="Y172" s="2"/>
      <c r="Z172" s="19">
        <f t="shared" si="23"/>
        <v>-0.28104082661290325</v>
      </c>
    </row>
    <row r="173" spans="1:26" s="24" customFormat="1" hidden="1" outlineLevel="1" x14ac:dyDescent="0.25">
      <c r="A173" s="44"/>
      <c r="B173" s="11" t="str">
        <f>CONCATENATE("          ", "5542", " - ", "FREIGHT-IN-EVERYDAY GIFTS")</f>
        <v xml:space="preserve">          5542 - FREIGHT-IN-EVERYDAY GIFTS</v>
      </c>
      <c r="C173" s="11"/>
      <c r="D173" s="2">
        <v>745.78</v>
      </c>
      <c r="E173" s="2"/>
      <c r="F173" s="19">
        <f t="shared" si="16"/>
        <v>1.2209025363776262E-3</v>
      </c>
      <c r="G173" s="2"/>
      <c r="H173" s="2">
        <v>336.12</v>
      </c>
      <c r="I173" s="2"/>
      <c r="J173" s="19">
        <f t="shared" si="17"/>
        <v>6.3086129064062314E-4</v>
      </c>
      <c r="K173" s="2"/>
      <c r="L173" s="2">
        <f t="shared" si="18"/>
        <v>409.65999999999997</v>
      </c>
      <c r="M173" s="2"/>
      <c r="N173" s="19">
        <f t="shared" si="19"/>
        <v>1.2187909080090442</v>
      </c>
      <c r="O173" s="11"/>
      <c r="P173" s="2">
        <v>1513.51</v>
      </c>
      <c r="Q173" s="2"/>
      <c r="R173" s="19">
        <f t="shared" si="20"/>
        <v>2.3036457273142638E-4</v>
      </c>
      <c r="S173" s="2"/>
      <c r="T173" s="2">
        <v>1129.44</v>
      </c>
      <c r="U173" s="2"/>
      <c r="V173" s="19">
        <f t="shared" si="21"/>
        <v>1.6771690348942658E-4</v>
      </c>
      <c r="W173" s="2"/>
      <c r="X173" s="2">
        <f t="shared" si="22"/>
        <v>384.06999999999994</v>
      </c>
      <c r="Y173" s="2"/>
      <c r="Z173" s="19">
        <f t="shared" si="23"/>
        <v>0.34005347782972084</v>
      </c>
    </row>
    <row r="174" spans="1:26" s="24" customFormat="1" hidden="1" outlineLevel="1" x14ac:dyDescent="0.25">
      <c r="A174" s="44"/>
      <c r="B174" s="11" t="str">
        <f>CONCATENATE("          ", "5543", " - ", "FREIGHT-IN-CARDS")</f>
        <v xml:space="preserve">          5543 - FREIGHT-IN-CARDS</v>
      </c>
      <c r="C174" s="11"/>
      <c r="D174" s="2">
        <v>39.01</v>
      </c>
      <c r="E174" s="2"/>
      <c r="F174" s="19">
        <f t="shared" si="16"/>
        <v>6.3862543838787839E-5</v>
      </c>
      <c r="G174" s="2"/>
      <c r="H174" s="2">
        <v>12.47</v>
      </c>
      <c r="I174" s="2"/>
      <c r="J174" s="19">
        <f t="shared" si="17"/>
        <v>2.3404856284328726E-5</v>
      </c>
      <c r="K174" s="2"/>
      <c r="L174" s="2">
        <f t="shared" si="18"/>
        <v>26.54</v>
      </c>
      <c r="M174" s="2"/>
      <c r="N174" s="19">
        <f t="shared" si="19"/>
        <v>2.1283079390537289</v>
      </c>
      <c r="O174" s="11"/>
      <c r="P174" s="2">
        <v>43.59</v>
      </c>
      <c r="Q174" s="2"/>
      <c r="R174" s="19">
        <f t="shared" si="20"/>
        <v>6.6346385060970044E-6</v>
      </c>
      <c r="S174" s="2"/>
      <c r="T174" s="2">
        <v>12.47</v>
      </c>
      <c r="U174" s="2"/>
      <c r="V174" s="19">
        <f t="shared" si="21"/>
        <v>1.8517404966294352E-6</v>
      </c>
      <c r="W174" s="2"/>
      <c r="X174" s="2">
        <f t="shared" si="22"/>
        <v>31.120000000000005</v>
      </c>
      <c r="Y174" s="2"/>
      <c r="Z174" s="19">
        <f t="shared" si="23"/>
        <v>2.4955894145950284</v>
      </c>
    </row>
    <row r="175" spans="1:26" s="24" customFormat="1" hidden="1" outlineLevel="1" x14ac:dyDescent="0.25">
      <c r="A175" s="44"/>
      <c r="B175" s="11" t="str">
        <f>CONCATENATE("          ", "5544", " - ", "FREIGHT-IN-ACCESSORIES")</f>
        <v xml:space="preserve">          5544 - FREIGHT-IN-ACCESSORIES</v>
      </c>
      <c r="C175" s="11"/>
      <c r="D175" s="2">
        <v>54.82</v>
      </c>
      <c r="E175" s="2"/>
      <c r="F175" s="19">
        <f t="shared" si="16"/>
        <v>8.974480013438476E-5</v>
      </c>
      <c r="G175" s="2"/>
      <c r="H175" s="2">
        <v>12.48</v>
      </c>
      <c r="I175" s="2"/>
      <c r="J175" s="19">
        <f t="shared" si="17"/>
        <v>2.3423625214789292E-5</v>
      </c>
      <c r="K175" s="2"/>
      <c r="L175" s="2">
        <f t="shared" si="18"/>
        <v>42.34</v>
      </c>
      <c r="M175" s="2"/>
      <c r="N175" s="19">
        <f t="shared" si="19"/>
        <v>3.3926282051282053</v>
      </c>
      <c r="O175" s="11"/>
      <c r="P175" s="2">
        <v>413.91</v>
      </c>
      <c r="Q175" s="2"/>
      <c r="R175" s="19">
        <f t="shared" si="20"/>
        <v>6.2999385732016774E-5</v>
      </c>
      <c r="S175" s="2"/>
      <c r="T175" s="2">
        <v>590.45000000000005</v>
      </c>
      <c r="U175" s="2"/>
      <c r="V175" s="19">
        <f t="shared" si="21"/>
        <v>8.7679244285072177E-5</v>
      </c>
      <c r="W175" s="2"/>
      <c r="X175" s="2">
        <f t="shared" si="22"/>
        <v>-176.54000000000002</v>
      </c>
      <c r="Y175" s="2"/>
      <c r="Z175" s="19">
        <f t="shared" si="23"/>
        <v>-0.29899229401304089</v>
      </c>
    </row>
    <row r="176" spans="1:26" s="24" customFormat="1" hidden="1" outlineLevel="1" x14ac:dyDescent="0.25">
      <c r="A176" s="44"/>
      <c r="B176" s="11" t="str">
        <f>CONCATENATE("          ", "5545", " - ", "FREIGHT-IN-SPECIAL ORDERS")</f>
        <v xml:space="preserve">          5545 - FREIGHT-IN-SPECIAL ORDERS</v>
      </c>
      <c r="C176" s="11"/>
      <c r="D176" s="2">
        <v>158.08000000000001</v>
      </c>
      <c r="E176" s="2"/>
      <c r="F176" s="19">
        <f t="shared" si="16"/>
        <v>2.5878982132877679E-4</v>
      </c>
      <c r="G176" s="2"/>
      <c r="H176" s="2">
        <v>46.54</v>
      </c>
      <c r="I176" s="2"/>
      <c r="J176" s="19">
        <f t="shared" si="17"/>
        <v>8.7350602363485069E-5</v>
      </c>
      <c r="K176" s="2"/>
      <c r="L176" s="2">
        <f t="shared" si="18"/>
        <v>111.54000000000002</v>
      </c>
      <c r="M176" s="2"/>
      <c r="N176" s="19">
        <f t="shared" si="19"/>
        <v>2.3966480446927378</v>
      </c>
      <c r="O176" s="11"/>
      <c r="P176" s="2">
        <v>505.06</v>
      </c>
      <c r="Q176" s="2"/>
      <c r="R176" s="19">
        <f t="shared" si="20"/>
        <v>7.6872918648528401E-5</v>
      </c>
      <c r="S176" s="2"/>
      <c r="T176" s="2">
        <v>1307.5999999999999</v>
      </c>
      <c r="U176" s="2"/>
      <c r="V176" s="19">
        <f t="shared" si="21"/>
        <v>1.9417288479491976E-4</v>
      </c>
      <c r="W176" s="2"/>
      <c r="X176" s="2">
        <f t="shared" si="22"/>
        <v>-802.54</v>
      </c>
      <c r="Y176" s="2"/>
      <c r="Z176" s="19">
        <f t="shared" si="23"/>
        <v>-0.61375038237993274</v>
      </c>
    </row>
    <row r="177" spans="1:26" s="24" customFormat="1" hidden="1" outlineLevel="1" x14ac:dyDescent="0.25">
      <c r="A177" s="44"/>
      <c r="B177" s="11" t="str">
        <f>CONCATENATE("          ", "5581", " - ", "FREIGHT-IN-ELECTRONICS")</f>
        <v xml:space="preserve">          5581 - FREIGHT-IN-ELECTRONICS</v>
      </c>
      <c r="C177" s="11"/>
      <c r="D177" s="2"/>
      <c r="E177" s="2"/>
      <c r="F177" s="19">
        <f t="shared" si="16"/>
        <v>0</v>
      </c>
      <c r="G177" s="2"/>
      <c r="H177" s="2"/>
      <c r="I177" s="2"/>
      <c r="J177" s="19">
        <f t="shared" si="17"/>
        <v>0</v>
      </c>
      <c r="K177" s="2"/>
      <c r="L177" s="2">
        <f t="shared" si="18"/>
        <v>0</v>
      </c>
      <c r="M177" s="2"/>
      <c r="N177" s="19">
        <f t="shared" si="19"/>
        <v>0</v>
      </c>
      <c r="O177" s="11"/>
      <c r="P177" s="2">
        <v>105.75</v>
      </c>
      <c r="Q177" s="2"/>
      <c r="R177" s="19">
        <f t="shared" si="20"/>
        <v>1.6095733471432856E-5</v>
      </c>
      <c r="S177" s="2"/>
      <c r="T177" s="2"/>
      <c r="U177" s="2"/>
      <c r="V177" s="19">
        <f t="shared" si="21"/>
        <v>0</v>
      </c>
      <c r="W177" s="2"/>
      <c r="X177" s="2">
        <f t="shared" si="22"/>
        <v>105.75</v>
      </c>
      <c r="Y177" s="2"/>
      <c r="Z177" s="19">
        <f t="shared" si="23"/>
        <v>0</v>
      </c>
    </row>
    <row r="178" spans="1:26" s="24" customFormat="1" hidden="1" outlineLevel="1" x14ac:dyDescent="0.25">
      <c r="A178" s="44"/>
      <c r="B178" s="11" t="str">
        <f>CONCATENATE("          ", "5582", " - ", "FREIGHT-IN-COMPUTER HARDWARE")</f>
        <v xml:space="preserve">          5582 - FREIGHT-IN-COMPUTER HARDWARE</v>
      </c>
      <c r="C178" s="11"/>
      <c r="D178" s="2"/>
      <c r="E178" s="2"/>
      <c r="F178" s="19">
        <f t="shared" si="16"/>
        <v>0</v>
      </c>
      <c r="G178" s="2"/>
      <c r="H178" s="2"/>
      <c r="I178" s="2"/>
      <c r="J178" s="19">
        <f t="shared" si="17"/>
        <v>0</v>
      </c>
      <c r="K178" s="2"/>
      <c r="L178" s="2">
        <f t="shared" si="18"/>
        <v>0</v>
      </c>
      <c r="M178" s="2"/>
      <c r="N178" s="19">
        <f t="shared" si="19"/>
        <v>0</v>
      </c>
      <c r="O178" s="11"/>
      <c r="P178" s="2">
        <v>4.84</v>
      </c>
      <c r="Q178" s="2"/>
      <c r="R178" s="19">
        <f t="shared" si="20"/>
        <v>7.3667470450813253E-7</v>
      </c>
      <c r="S178" s="2"/>
      <c r="T178" s="2"/>
      <c r="U178" s="2"/>
      <c r="V178" s="19">
        <f t="shared" si="21"/>
        <v>0</v>
      </c>
      <c r="W178" s="2"/>
      <c r="X178" s="2">
        <f t="shared" si="22"/>
        <v>4.84</v>
      </c>
      <c r="Y178" s="2"/>
      <c r="Z178" s="19">
        <f t="shared" si="23"/>
        <v>0</v>
      </c>
    </row>
    <row r="179" spans="1:26" s="24" customFormat="1" hidden="1" outlineLevel="1" x14ac:dyDescent="0.25">
      <c r="A179" s="44"/>
      <c r="B179" s="11" t="str">
        <f>CONCATENATE("          ", "5583", " - ", "FREIGHT-IN-COMPUTER EQUIPMENT")</f>
        <v xml:space="preserve">          5583 - FREIGHT-IN-COMPUTER EQUIPMENT</v>
      </c>
      <c r="C179" s="11"/>
      <c r="D179" s="2"/>
      <c r="E179" s="2"/>
      <c r="F179" s="19">
        <f t="shared" si="16"/>
        <v>0</v>
      </c>
      <c r="G179" s="2"/>
      <c r="H179" s="2"/>
      <c r="I179" s="2"/>
      <c r="J179" s="19">
        <f t="shared" si="17"/>
        <v>0</v>
      </c>
      <c r="K179" s="2"/>
      <c r="L179" s="2">
        <f t="shared" si="18"/>
        <v>0</v>
      </c>
      <c r="M179" s="2"/>
      <c r="N179" s="19">
        <f t="shared" si="19"/>
        <v>0</v>
      </c>
      <c r="O179" s="11"/>
      <c r="P179" s="2">
        <v>41</v>
      </c>
      <c r="Q179" s="2"/>
      <c r="R179" s="19">
        <f t="shared" si="20"/>
        <v>6.2404262158746762E-6</v>
      </c>
      <c r="S179" s="2"/>
      <c r="T179" s="2">
        <v>22.9</v>
      </c>
      <c r="U179" s="2"/>
      <c r="V179" s="19">
        <f t="shared" si="21"/>
        <v>3.4005499096081849E-6</v>
      </c>
      <c r="W179" s="2"/>
      <c r="X179" s="2">
        <f t="shared" si="22"/>
        <v>18.100000000000001</v>
      </c>
      <c r="Y179" s="2"/>
      <c r="Z179" s="19">
        <f t="shared" si="23"/>
        <v>0.79039301310043675</v>
      </c>
    </row>
    <row r="180" spans="1:26" s="24" customFormat="1" hidden="1" outlineLevel="1" x14ac:dyDescent="0.25">
      <c r="A180" s="44"/>
      <c r="B180" s="11" t="str">
        <f>CONCATENATE("          ", "5586", " - ", "FREIGHT-IN-COMPUTER SUPPLIES")</f>
        <v xml:space="preserve">          5586 - FREIGHT-IN-COMPUTER SUPPLIES</v>
      </c>
      <c r="C180" s="11"/>
      <c r="D180" s="2"/>
      <c r="E180" s="2"/>
      <c r="F180" s="19">
        <f t="shared" si="16"/>
        <v>0</v>
      </c>
      <c r="G180" s="2"/>
      <c r="H180" s="2">
        <v>14.05</v>
      </c>
      <c r="I180" s="2"/>
      <c r="J180" s="19">
        <f t="shared" si="17"/>
        <v>2.6370347297098523E-5</v>
      </c>
      <c r="K180" s="2"/>
      <c r="L180" s="2">
        <f t="shared" si="18"/>
        <v>-14.05</v>
      </c>
      <c r="M180" s="2"/>
      <c r="N180" s="19">
        <f t="shared" si="19"/>
        <v>-1</v>
      </c>
      <c r="O180" s="11"/>
      <c r="P180" s="2">
        <v>162.51</v>
      </c>
      <c r="Q180" s="2"/>
      <c r="R180" s="19">
        <f t="shared" si="20"/>
        <v>2.4734918642482773E-5</v>
      </c>
      <c r="S180" s="2"/>
      <c r="T180" s="2">
        <v>145.57</v>
      </c>
      <c r="U180" s="2"/>
      <c r="V180" s="19">
        <f t="shared" si="21"/>
        <v>2.1616508748544256E-5</v>
      </c>
      <c r="W180" s="2"/>
      <c r="X180" s="2">
        <f t="shared" si="22"/>
        <v>16.939999999999998</v>
      </c>
      <c r="Y180" s="2"/>
      <c r="Z180" s="19">
        <f t="shared" si="23"/>
        <v>0.11637013120835336</v>
      </c>
    </row>
    <row r="181" spans="1:26" s="24" customFormat="1" hidden="1" outlineLevel="1" x14ac:dyDescent="0.25">
      <c r="A181" s="44"/>
      <c r="B181" s="11" t="str">
        <f>CONCATENATE("          ", "5592", " - ", "FREIGHT-IN-GRAD MERCH")</f>
        <v xml:space="preserve">          5592 - FREIGHT-IN-GRAD MERCH</v>
      </c>
      <c r="C181" s="11"/>
      <c r="D181" s="2">
        <v>35</v>
      </c>
      <c r="E181" s="2"/>
      <c r="F181" s="19">
        <f t="shared" si="16"/>
        <v>5.7297847586710443E-5</v>
      </c>
      <c r="G181" s="2"/>
      <c r="H181" s="2"/>
      <c r="I181" s="2"/>
      <c r="J181" s="19">
        <f t="shared" si="17"/>
        <v>0</v>
      </c>
      <c r="K181" s="2"/>
      <c r="L181" s="2">
        <f t="shared" si="18"/>
        <v>35</v>
      </c>
      <c r="M181" s="2"/>
      <c r="N181" s="19">
        <f t="shared" si="19"/>
        <v>0</v>
      </c>
      <c r="O181" s="11"/>
      <c r="P181" s="2">
        <v>105.78</v>
      </c>
      <c r="Q181" s="2"/>
      <c r="R181" s="19">
        <f t="shared" si="20"/>
        <v>1.6100299636956667E-5</v>
      </c>
      <c r="S181" s="2"/>
      <c r="T181" s="2">
        <v>114.3</v>
      </c>
      <c r="U181" s="2"/>
      <c r="V181" s="19">
        <f t="shared" si="21"/>
        <v>1.6973050422192817E-5</v>
      </c>
      <c r="W181" s="2"/>
      <c r="X181" s="2">
        <f t="shared" si="22"/>
        <v>-8.519999999999996</v>
      </c>
      <c r="Y181" s="2"/>
      <c r="Z181" s="19">
        <f t="shared" si="23"/>
        <v>-7.4540682414698134E-2</v>
      </c>
    </row>
    <row r="182" spans="1:26" x14ac:dyDescent="0.25">
      <c r="A182" s="9"/>
      <c r="B182" s="10"/>
      <c r="C182" s="10"/>
      <c r="D182" s="3"/>
      <c r="E182" s="3"/>
      <c r="F182" s="8"/>
      <c r="G182" s="3"/>
      <c r="H182" s="3"/>
      <c r="I182" s="3"/>
      <c r="J182" s="8"/>
      <c r="K182" s="3"/>
      <c r="L182" s="3"/>
      <c r="M182" s="3"/>
      <c r="N182" s="8"/>
      <c r="O182" s="10"/>
      <c r="P182" s="3"/>
      <c r="Q182" s="3"/>
      <c r="R182" s="8"/>
      <c r="S182" s="3"/>
      <c r="T182" s="3"/>
      <c r="U182" s="3"/>
      <c r="V182" s="8"/>
      <c r="W182" s="3"/>
      <c r="X182" s="3"/>
      <c r="Y182" s="3"/>
      <c r="Z182" s="8"/>
    </row>
    <row r="183" spans="1:26" s="23" customFormat="1" x14ac:dyDescent="0.25">
      <c r="A183" s="10"/>
      <c r="B183" s="29" t="s">
        <v>6</v>
      </c>
      <c r="C183" s="29"/>
      <c r="D183" s="21">
        <f>D12-D124</f>
        <v>263352.4499999996</v>
      </c>
      <c r="E183" s="14"/>
      <c r="F183" s="20">
        <f>IF(D$12=0,0,D183/D$12)</f>
        <v>0.43112938690533603</v>
      </c>
      <c r="G183" s="14"/>
      <c r="H183" s="21">
        <f>H12-H124</f>
        <v>225830.22000000003</v>
      </c>
      <c r="I183" s="14"/>
      <c r="J183" s="20">
        <f>IF(H$12=0,0,H183/H$12)</f>
        <v>0.42385916950748509</v>
      </c>
      <c r="K183" s="15"/>
      <c r="L183" s="21">
        <f>+D183-H183</f>
        <v>37522.229999999574</v>
      </c>
      <c r="M183" s="15"/>
      <c r="N183" s="20">
        <f>IF(H183=0,0,L183/H183)</f>
        <v>0.16615238651407932</v>
      </c>
      <c r="O183" s="28"/>
      <c r="P183" s="21">
        <f>P12-P124</f>
        <v>2207299.0999999968</v>
      </c>
      <c r="Q183" s="14"/>
      <c r="R183" s="20">
        <f>IF(P$12=0,0,P183/P$12)</f>
        <v>0.33596310170528193</v>
      </c>
      <c r="S183" s="14"/>
      <c r="T183" s="21">
        <f>T12-T124</f>
        <v>2252979.4700000025</v>
      </c>
      <c r="U183" s="14"/>
      <c r="V183" s="20">
        <f>IF(T$12=0,0,T183/T$12)</f>
        <v>0.33455760406365087</v>
      </c>
      <c r="W183" s="15"/>
      <c r="X183" s="21">
        <f>+P183-T183</f>
        <v>-45680.3700000057</v>
      </c>
      <c r="Y183" s="15"/>
      <c r="Z183" s="20">
        <f>IF(T183=0,0,X183/T183)</f>
        <v>-2.0275537619526399E-2</v>
      </c>
    </row>
    <row r="184" spans="1:26" x14ac:dyDescent="0.25">
      <c r="A184" s="9"/>
      <c r="B184" s="10"/>
      <c r="C184" s="9"/>
      <c r="D184" s="1"/>
      <c r="E184" s="1"/>
      <c r="F184" s="5"/>
      <c r="G184" s="1"/>
      <c r="H184" s="1"/>
      <c r="I184" s="1"/>
      <c r="J184" s="5"/>
      <c r="K184" s="1"/>
      <c r="L184" s="1"/>
      <c r="M184" s="1"/>
      <c r="N184" s="5"/>
      <c r="O184" s="37"/>
      <c r="P184" s="1"/>
      <c r="Q184" s="1"/>
      <c r="R184" s="5"/>
      <c r="S184" s="1"/>
      <c r="T184" s="1"/>
      <c r="U184" s="1"/>
      <c r="V184" s="5"/>
      <c r="W184" s="1"/>
      <c r="X184" s="1"/>
      <c r="Y184" s="1"/>
      <c r="Z184" s="5"/>
    </row>
    <row r="185" spans="1:26" s="23" customFormat="1" x14ac:dyDescent="0.25">
      <c r="A185" s="10"/>
      <c r="B185" s="28" t="s">
        <v>9</v>
      </c>
      <c r="C185" s="10"/>
      <c r="D185" s="22">
        <f>SUM(OSRRefD22x_0)</f>
        <v>368386.76000000007</v>
      </c>
      <c r="E185" s="22"/>
      <c r="F185" s="33">
        <f t="shared" ref="F185:F195" si="24">IF(D$12=0,0,D185/D$12)</f>
        <v>0.60307909792691672</v>
      </c>
      <c r="G185" s="22"/>
      <c r="H185" s="22">
        <f>SUM(OSRRefH22x_0)</f>
        <v>383591.17000000004</v>
      </c>
      <c r="I185" s="22"/>
      <c r="J185" s="33">
        <f t="shared" ref="J185:J195" si="25">IF(H$12=0,0,H185/H$12)</f>
        <v>0.7199595995018051</v>
      </c>
      <c r="K185" s="4"/>
      <c r="L185" s="22">
        <f t="shared" ref="L185:L195" si="26">+D185-H185</f>
        <v>-15204.409999999974</v>
      </c>
      <c r="M185" s="4"/>
      <c r="N185" s="33">
        <f t="shared" ref="N185:N195" si="27">IF(H185=0,0,L185/H185)</f>
        <v>-3.963701771341601E-2</v>
      </c>
      <c r="O185" s="10"/>
      <c r="P185" s="22">
        <f>SUM(OSRRefP22x_0)</f>
        <v>2011129.3199999998</v>
      </c>
      <c r="Q185" s="22"/>
      <c r="R185" s="33">
        <f t="shared" ref="R185:R195" si="28">IF(P$12=0,0,P185/P$12)</f>
        <v>0.3061049788302978</v>
      </c>
      <c r="S185" s="22"/>
      <c r="T185" s="22">
        <f>SUM(OSRRefT22x_0)</f>
        <v>2136325.3700000006</v>
      </c>
      <c r="U185" s="22"/>
      <c r="V185" s="33">
        <f t="shared" ref="V185:V195" si="29">IF(T$12=0,0,T185/T$12)</f>
        <v>0.31723498008066264</v>
      </c>
      <c r="W185" s="4"/>
      <c r="X185" s="22">
        <f t="shared" ref="X185:X195" si="30">+P185-T185</f>
        <v>-125196.05000000075</v>
      </c>
      <c r="Y185" s="4"/>
      <c r="Z185" s="33">
        <f t="shared" ref="Z185:Z195" si="31">IF(T185=0,0,X185/T185)</f>
        <v>-5.8603456083096889E-2</v>
      </c>
    </row>
    <row r="186" spans="1:26" s="25" customFormat="1" outlineLevel="1" collapsed="1" x14ac:dyDescent="0.25">
      <c r="A186" s="27"/>
      <c r="B186" s="13" t="str">
        <f>CONCATENATE("     ","*Benefits                                         ")</f>
        <v xml:space="preserve">     *Benefits                                         </v>
      </c>
      <c r="C186" s="13"/>
      <c r="D186" s="1">
        <f>SUM(OSRRefD22_0x_0)</f>
        <v>45657.5</v>
      </c>
      <c r="E186" s="1"/>
      <c r="F186" s="5">
        <f t="shared" si="24"/>
        <v>7.4745042176863771E-2</v>
      </c>
      <c r="G186" s="1"/>
      <c r="H186" s="1">
        <f>SUM(OSRRefH22_0x_0)</f>
        <v>49233.4</v>
      </c>
      <c r="I186" s="1"/>
      <c r="J186" s="5">
        <f t="shared" si="25"/>
        <v>9.2405826093734544E-2</v>
      </c>
      <c r="K186" s="1"/>
      <c r="L186" s="1">
        <f t="shared" si="26"/>
        <v>-3575.9000000000015</v>
      </c>
      <c r="M186" s="1"/>
      <c r="N186" s="5">
        <f t="shared" si="27"/>
        <v>-7.2631587499543016E-2</v>
      </c>
      <c r="O186" s="13"/>
      <c r="P186" s="1">
        <f>SUM(OSRRefP22_0x_0)</f>
        <v>275359.24</v>
      </c>
      <c r="Q186" s="1"/>
      <c r="R186" s="5">
        <f t="shared" si="28"/>
        <v>4.1911195611690898E-2</v>
      </c>
      <c r="S186" s="1"/>
      <c r="T186" s="1">
        <f>SUM(OSRRefT22_0x_0)</f>
        <v>277261.44</v>
      </c>
      <c r="U186" s="1"/>
      <c r="V186" s="5">
        <f t="shared" si="29"/>
        <v>4.1172111996936038E-2</v>
      </c>
      <c r="W186" s="1"/>
      <c r="X186" s="1">
        <f t="shared" si="30"/>
        <v>-1902.2000000000116</v>
      </c>
      <c r="Y186" s="1"/>
      <c r="Z186" s="5">
        <f t="shared" si="31"/>
        <v>-6.860672728238054E-3</v>
      </c>
    </row>
    <row r="187" spans="1:26" s="24" customFormat="1" hidden="1" outlineLevel="2" x14ac:dyDescent="0.25">
      <c r="A187" s="26"/>
      <c r="B187" s="11" t="str">
        <f>CONCATENATE("          ", "6111", " - ", "F.I.C.A.")</f>
        <v xml:space="preserve">          6111 - F.I.C.A.</v>
      </c>
      <c r="C187" s="11"/>
      <c r="D187" s="6">
        <v>6680.76</v>
      </c>
      <c r="E187" s="2"/>
      <c r="F187" s="7">
        <f t="shared" si="24"/>
        <v>1.0936947664096905E-2</v>
      </c>
      <c r="G187" s="2"/>
      <c r="H187" s="6">
        <v>6523.86</v>
      </c>
      <c r="I187" s="2"/>
      <c r="J187" s="7">
        <f t="shared" si="25"/>
        <v>1.2244587467448338E-2</v>
      </c>
      <c r="K187" s="2"/>
      <c r="L187" s="6">
        <f t="shared" si="26"/>
        <v>156.90000000000055</v>
      </c>
      <c r="M187" s="2"/>
      <c r="N187" s="7">
        <f t="shared" si="27"/>
        <v>2.4050178881827713E-2</v>
      </c>
      <c r="O187" s="11"/>
      <c r="P187" s="6">
        <v>58016.67</v>
      </c>
      <c r="Q187" s="2"/>
      <c r="R187" s="7">
        <f t="shared" si="28"/>
        <v>8.8304572786768263E-3</v>
      </c>
      <c r="S187" s="2"/>
      <c r="T187" s="6">
        <v>57829.2</v>
      </c>
      <c r="U187" s="2"/>
      <c r="V187" s="7">
        <f t="shared" si="29"/>
        <v>8.5873834424765785E-3</v>
      </c>
      <c r="W187" s="2"/>
      <c r="X187" s="6">
        <f t="shared" si="30"/>
        <v>187.47000000000116</v>
      </c>
      <c r="Y187" s="2"/>
      <c r="Z187" s="7">
        <f t="shared" si="31"/>
        <v>3.2417878857048201E-3</v>
      </c>
    </row>
    <row r="188" spans="1:26" s="24" customFormat="1" hidden="1" outlineLevel="2" x14ac:dyDescent="0.25">
      <c r="A188" s="26"/>
      <c r="B188" s="11" t="str">
        <f>CONCATENATE("          ", "6112", " - ", "COMPENSATION INSURANCE")</f>
        <v xml:space="preserve">          6112 - COMPENSATION INSURANCE</v>
      </c>
      <c r="C188" s="11"/>
      <c r="D188" s="6">
        <v>2349.5300000000002</v>
      </c>
      <c r="E188" s="2"/>
      <c r="F188" s="7">
        <f t="shared" si="24"/>
        <v>3.84637176686868E-3</v>
      </c>
      <c r="G188" s="2"/>
      <c r="H188" s="6">
        <v>1436.53</v>
      </c>
      <c r="I188" s="2"/>
      <c r="J188" s="7">
        <f t="shared" si="25"/>
        <v>2.6962131674520243E-3</v>
      </c>
      <c r="K188" s="2"/>
      <c r="L188" s="6">
        <f t="shared" si="26"/>
        <v>913.00000000000023</v>
      </c>
      <c r="M188" s="2"/>
      <c r="N188" s="7">
        <f t="shared" si="27"/>
        <v>0.63555929914446629</v>
      </c>
      <c r="O188" s="11"/>
      <c r="P188" s="6">
        <v>11109.97</v>
      </c>
      <c r="Q188" s="2"/>
      <c r="R188" s="7">
        <f t="shared" si="28"/>
        <v>1.690998732819053E-3</v>
      </c>
      <c r="S188" s="2"/>
      <c r="T188" s="6">
        <v>9438.11</v>
      </c>
      <c r="U188" s="2"/>
      <c r="V188" s="7">
        <f t="shared" si="29"/>
        <v>1.4015180832913584E-3</v>
      </c>
      <c r="W188" s="2"/>
      <c r="X188" s="6">
        <f t="shared" si="30"/>
        <v>1671.8599999999988</v>
      </c>
      <c r="Y188" s="2"/>
      <c r="Z188" s="7">
        <f t="shared" si="31"/>
        <v>0.17713927894461906</v>
      </c>
    </row>
    <row r="189" spans="1:26" s="24" customFormat="1" hidden="1" outlineLevel="2" x14ac:dyDescent="0.25">
      <c r="A189" s="26"/>
      <c r="B189" s="11" t="str">
        <f>CONCATENATE("          ", "6113", " - ", "GROUP INSURANCE")</f>
        <v xml:space="preserve">          6113 - GROUP INSURANCE</v>
      </c>
      <c r="C189" s="11"/>
      <c r="D189" s="6">
        <v>19970.38</v>
      </c>
      <c r="E189" s="2"/>
      <c r="F189" s="7">
        <f t="shared" si="24"/>
        <v>3.2693136842534019E-2</v>
      </c>
      <c r="G189" s="2"/>
      <c r="H189" s="6">
        <v>23736.76</v>
      </c>
      <c r="I189" s="2"/>
      <c r="J189" s="7">
        <f t="shared" si="25"/>
        <v>4.4551359779920023E-2</v>
      </c>
      <c r="K189" s="2"/>
      <c r="L189" s="6">
        <f t="shared" si="26"/>
        <v>-3766.3799999999974</v>
      </c>
      <c r="M189" s="2"/>
      <c r="N189" s="7">
        <f t="shared" si="27"/>
        <v>-0.15867287700596028</v>
      </c>
      <c r="O189" s="11"/>
      <c r="P189" s="6">
        <v>99399.5</v>
      </c>
      <c r="Q189" s="2"/>
      <c r="R189" s="7">
        <f t="shared" si="28"/>
        <v>1.5129152332800851E-2</v>
      </c>
      <c r="S189" s="2"/>
      <c r="T189" s="6">
        <v>96964.98</v>
      </c>
      <c r="U189" s="2"/>
      <c r="V189" s="7">
        <f t="shared" si="29"/>
        <v>1.4398875719395609E-2</v>
      </c>
      <c r="W189" s="2"/>
      <c r="X189" s="6">
        <f t="shared" si="30"/>
        <v>2434.5200000000041</v>
      </c>
      <c r="Y189" s="2"/>
      <c r="Z189" s="7">
        <f t="shared" si="31"/>
        <v>2.5107208808788535E-2</v>
      </c>
    </row>
    <row r="190" spans="1:26" s="24" customFormat="1" hidden="1" outlineLevel="2" x14ac:dyDescent="0.25">
      <c r="A190" s="26"/>
      <c r="B190" s="11" t="str">
        <f>CONCATENATE("          ", "6114", " - ", "STATE UNEMPLOYMENT INSURANCE")</f>
        <v xml:space="preserve">          6114 - STATE UNEMPLOYMENT INSURANCE</v>
      </c>
      <c r="C190" s="11"/>
      <c r="D190" s="6">
        <v>421.21</v>
      </c>
      <c r="E190" s="2"/>
      <c r="F190" s="7">
        <f t="shared" si="24"/>
        <v>6.8955503948566583E-4</v>
      </c>
      <c r="G190" s="2"/>
      <c r="H190" s="6">
        <v>392.13</v>
      </c>
      <c r="I190" s="2"/>
      <c r="J190" s="7">
        <f t="shared" si="25"/>
        <v>7.3598607015026645E-4</v>
      </c>
      <c r="K190" s="2"/>
      <c r="L190" s="6">
        <f t="shared" si="26"/>
        <v>29.079999999999984</v>
      </c>
      <c r="M190" s="2"/>
      <c r="N190" s="7">
        <f t="shared" si="27"/>
        <v>7.4159079896972901E-2</v>
      </c>
      <c r="O190" s="11"/>
      <c r="P190" s="6">
        <v>2523.85</v>
      </c>
      <c r="Q190" s="2"/>
      <c r="R190" s="7">
        <f t="shared" si="28"/>
        <v>3.8414389524232443E-4</v>
      </c>
      <c r="S190" s="2"/>
      <c r="T190" s="6">
        <v>2626.03</v>
      </c>
      <c r="U190" s="2"/>
      <c r="V190" s="7">
        <f t="shared" si="29"/>
        <v>3.8995397725451452E-4</v>
      </c>
      <c r="W190" s="2"/>
      <c r="X190" s="6">
        <f t="shared" si="30"/>
        <v>-102.18000000000029</v>
      </c>
      <c r="Y190" s="2"/>
      <c r="Z190" s="7">
        <f t="shared" si="31"/>
        <v>-3.8910446567632616E-2</v>
      </c>
    </row>
    <row r="191" spans="1:26" s="24" customFormat="1" hidden="1" outlineLevel="2" x14ac:dyDescent="0.25">
      <c r="A191" s="26"/>
      <c r="B191" s="11" t="str">
        <f>CONCATENATE("          ", "6115", " - ", "P.E.R.S.")</f>
        <v xml:space="preserve">          6115 - P.E.R.S.</v>
      </c>
      <c r="C191" s="11"/>
      <c r="D191" s="6">
        <v>6444.74</v>
      </c>
      <c r="E191" s="2"/>
      <c r="F191" s="7">
        <f t="shared" si="24"/>
        <v>1.0550563721599323E-2</v>
      </c>
      <c r="G191" s="2"/>
      <c r="H191" s="6">
        <v>5786.26</v>
      </c>
      <c r="I191" s="2"/>
      <c r="J191" s="7">
        <f t="shared" si="25"/>
        <v>1.0860191156676819E-2</v>
      </c>
      <c r="K191" s="2"/>
      <c r="L191" s="6">
        <f t="shared" si="26"/>
        <v>658.47999999999956</v>
      </c>
      <c r="M191" s="2"/>
      <c r="N191" s="7">
        <f t="shared" si="27"/>
        <v>0.11380062423741753</v>
      </c>
      <c r="O191" s="11"/>
      <c r="P191" s="6">
        <v>36845.07</v>
      </c>
      <c r="Q191" s="2"/>
      <c r="R191" s="7">
        <f t="shared" si="28"/>
        <v>5.6080229452131116E-3</v>
      </c>
      <c r="S191" s="2"/>
      <c r="T191" s="6">
        <v>36193.129999999997</v>
      </c>
      <c r="U191" s="2"/>
      <c r="V191" s="7">
        <f t="shared" si="29"/>
        <v>5.3745216135343788E-3</v>
      </c>
      <c r="W191" s="2"/>
      <c r="X191" s="6">
        <f t="shared" si="30"/>
        <v>651.94000000000233</v>
      </c>
      <c r="Y191" s="2"/>
      <c r="Z191" s="7">
        <f t="shared" si="31"/>
        <v>1.80128107184983E-2</v>
      </c>
    </row>
    <row r="192" spans="1:26" s="24" customFormat="1" hidden="1" outlineLevel="2" x14ac:dyDescent="0.25">
      <c r="A192" s="26"/>
      <c r="B192" s="11" t="str">
        <f>CONCATENATE("          ", "6117", " - ", "RETIREMENT STAFF HOURLY")</f>
        <v xml:space="preserve">          6117 - RETIREMENT STAFF HOURLY</v>
      </c>
      <c r="C192" s="11"/>
      <c r="D192" s="6">
        <v>267.5</v>
      </c>
      <c r="E192" s="2"/>
      <c r="F192" s="7">
        <f t="shared" si="24"/>
        <v>4.3791926369842984E-4</v>
      </c>
      <c r="G192" s="2"/>
      <c r="H192" s="6">
        <v>324.63</v>
      </c>
      <c r="I192" s="2"/>
      <c r="J192" s="7">
        <f t="shared" si="25"/>
        <v>6.0929578954143011E-4</v>
      </c>
      <c r="K192" s="2"/>
      <c r="L192" s="6">
        <f t="shared" si="26"/>
        <v>-57.129999999999995</v>
      </c>
      <c r="M192" s="2"/>
      <c r="N192" s="7">
        <f t="shared" si="27"/>
        <v>-0.1759849675014632</v>
      </c>
      <c r="O192" s="11"/>
      <c r="P192" s="6">
        <v>1518.88</v>
      </c>
      <c r="Q192" s="2"/>
      <c r="R192" s="7">
        <f t="shared" si="28"/>
        <v>2.3118191636018853E-4</v>
      </c>
      <c r="S192" s="2"/>
      <c r="T192" s="6">
        <v>2435.58</v>
      </c>
      <c r="U192" s="2"/>
      <c r="V192" s="7">
        <f t="shared" si="29"/>
        <v>3.6167298466565517E-4</v>
      </c>
      <c r="W192" s="2"/>
      <c r="X192" s="6">
        <f t="shared" si="30"/>
        <v>-916.69999999999982</v>
      </c>
      <c r="Y192" s="2"/>
      <c r="Z192" s="7">
        <f t="shared" si="31"/>
        <v>-0.37637852174841302</v>
      </c>
    </row>
    <row r="193" spans="1:26" s="24" customFormat="1" hidden="1" outlineLevel="2" x14ac:dyDescent="0.25">
      <c r="A193" s="26"/>
      <c r="B193" s="11" t="str">
        <f>CONCATENATE("          ", "6118", " - ", "VACATION")</f>
        <v xml:space="preserve">          6118 - VACATION</v>
      </c>
      <c r="C193" s="11"/>
      <c r="D193" s="6">
        <v>4925.95</v>
      </c>
      <c r="E193" s="2"/>
      <c r="F193" s="7">
        <f t="shared" si="24"/>
        <v>8.0641809234216089E-3</v>
      </c>
      <c r="G193" s="2"/>
      <c r="H193" s="6">
        <v>5463.22</v>
      </c>
      <c r="I193" s="2"/>
      <c r="J193" s="7">
        <f t="shared" si="25"/>
        <v>1.0253879627078619E-2</v>
      </c>
      <c r="K193" s="2"/>
      <c r="L193" s="6">
        <f t="shared" si="26"/>
        <v>-537.27000000000044</v>
      </c>
      <c r="M193" s="2"/>
      <c r="N193" s="7">
        <f t="shared" si="27"/>
        <v>-9.8343101687283399E-2</v>
      </c>
      <c r="O193" s="11"/>
      <c r="P193" s="6">
        <v>30914.940000000002</v>
      </c>
      <c r="Q193" s="2"/>
      <c r="R193" s="7">
        <f t="shared" si="28"/>
        <v>4.7054244399559195E-3</v>
      </c>
      <c r="S193" s="2"/>
      <c r="T193" s="6">
        <v>33832.28</v>
      </c>
      <c r="U193" s="2"/>
      <c r="V193" s="7">
        <f t="shared" si="29"/>
        <v>5.0239457072418685E-3</v>
      </c>
      <c r="W193" s="2"/>
      <c r="X193" s="6">
        <f t="shared" si="30"/>
        <v>-2917.3399999999965</v>
      </c>
      <c r="Y193" s="2"/>
      <c r="Z193" s="7">
        <f t="shared" si="31"/>
        <v>-8.6229482612463493E-2</v>
      </c>
    </row>
    <row r="194" spans="1:26" s="24" customFormat="1" hidden="1" outlineLevel="2" x14ac:dyDescent="0.25">
      <c r="A194" s="26"/>
      <c r="B194" s="11" t="str">
        <f>CONCATENATE("          ", "6119", " - ", "SICK LEAVE")</f>
        <v xml:space="preserve">          6119 - SICK LEAVE</v>
      </c>
      <c r="C194" s="11"/>
      <c r="D194" s="6">
        <v>2657.01</v>
      </c>
      <c r="E194" s="2"/>
      <c r="F194" s="7">
        <f t="shared" si="24"/>
        <v>4.3497415433247297E-3</v>
      </c>
      <c r="G194" s="2"/>
      <c r="H194" s="6">
        <v>3394.8</v>
      </c>
      <c r="I194" s="2"/>
      <c r="J194" s="7">
        <f t="shared" si="25"/>
        <v>6.371676512753742E-3</v>
      </c>
      <c r="K194" s="2"/>
      <c r="L194" s="6">
        <f t="shared" si="26"/>
        <v>-737.79</v>
      </c>
      <c r="M194" s="2"/>
      <c r="N194" s="7">
        <f t="shared" si="27"/>
        <v>-0.21732944503358076</v>
      </c>
      <c r="O194" s="11"/>
      <c r="P194" s="6">
        <v>24508.76</v>
      </c>
      <c r="Q194" s="2"/>
      <c r="R194" s="7">
        <f t="shared" si="28"/>
        <v>3.7303684981117228E-3</v>
      </c>
      <c r="S194" s="2"/>
      <c r="T194" s="6">
        <v>26795.48</v>
      </c>
      <c r="U194" s="2"/>
      <c r="V194" s="7">
        <f t="shared" si="29"/>
        <v>3.979011663402093E-3</v>
      </c>
      <c r="W194" s="2"/>
      <c r="X194" s="6">
        <f t="shared" si="30"/>
        <v>-2286.7200000000012</v>
      </c>
      <c r="Y194" s="2"/>
      <c r="Z194" s="7">
        <f t="shared" si="31"/>
        <v>-8.5339766259085528E-2</v>
      </c>
    </row>
    <row r="195" spans="1:26" s="24" customFormat="1" hidden="1" outlineLevel="2" x14ac:dyDescent="0.25">
      <c r="A195" s="26"/>
      <c r="B195" s="11" t="str">
        <f>CONCATENATE("          ", "6156", " - ", "EMPLOYEE MEALS")</f>
        <v xml:space="preserve">          6156 - EMPLOYEE MEALS</v>
      </c>
      <c r="C195" s="11"/>
      <c r="D195" s="6">
        <v>1940.42</v>
      </c>
      <c r="E195" s="2"/>
      <c r="F195" s="7">
        <f t="shared" si="24"/>
        <v>3.1766254118344196E-3</v>
      </c>
      <c r="G195" s="2"/>
      <c r="H195" s="6">
        <v>2175.21</v>
      </c>
      <c r="I195" s="2"/>
      <c r="J195" s="7">
        <f t="shared" si="25"/>
        <v>4.0826365227132864E-3</v>
      </c>
      <c r="K195" s="2"/>
      <c r="L195" s="6">
        <f t="shared" si="26"/>
        <v>-234.78999999999996</v>
      </c>
      <c r="M195" s="2"/>
      <c r="N195" s="7">
        <f t="shared" si="27"/>
        <v>-0.10793900359045791</v>
      </c>
      <c r="O195" s="11"/>
      <c r="P195" s="6">
        <v>10521.6</v>
      </c>
      <c r="Q195" s="2"/>
      <c r="R195" s="7">
        <f t="shared" si="28"/>
        <v>1.6014455725109024E-3</v>
      </c>
      <c r="S195" s="2"/>
      <c r="T195" s="6">
        <v>11146.65</v>
      </c>
      <c r="U195" s="2"/>
      <c r="V195" s="7">
        <f t="shared" si="29"/>
        <v>1.6552288056739771E-3</v>
      </c>
      <c r="W195" s="2"/>
      <c r="X195" s="6">
        <f t="shared" si="30"/>
        <v>-625.04999999999927</v>
      </c>
      <c r="Y195" s="2"/>
      <c r="Z195" s="7">
        <f t="shared" si="31"/>
        <v>-5.6075143653025732E-2</v>
      </c>
    </row>
    <row r="196" spans="1:26" s="25" customFormat="1" outlineLevel="1" collapsed="1" x14ac:dyDescent="0.25">
      <c r="A196" s="27"/>
      <c r="B196" s="13" t="str">
        <f>CONCATENATE("     ","*Payroll                                          ")</f>
        <v xml:space="preserve">     *Payroll                                          </v>
      </c>
      <c r="C196" s="13"/>
      <c r="D196" s="1">
        <f>SUM(OSRRefD22_1x_0)</f>
        <v>149164.20000000001</v>
      </c>
      <c r="E196" s="1"/>
      <c r="F196" s="5">
        <f t="shared" ref="F196:F203" si="32">IF(D$12=0,0,D196/D$12)</f>
        <v>0.24419393134267414</v>
      </c>
      <c r="G196" s="1"/>
      <c r="H196" s="1">
        <f>SUM(OSRRefH22_1x_0)</f>
        <v>135656.93</v>
      </c>
      <c r="I196" s="1"/>
      <c r="J196" s="5">
        <f t="shared" ref="J196:J203" si="33">IF(H$12=0,0,H196/H$12)</f>
        <v>0.25461354856641871</v>
      </c>
      <c r="K196" s="1"/>
      <c r="L196" s="1">
        <f t="shared" ref="L196:L203" si="34">+D196-H196</f>
        <v>13507.270000000019</v>
      </c>
      <c r="M196" s="1"/>
      <c r="N196" s="5">
        <f t="shared" ref="N196:N203" si="35">IF(H196=0,0,L196/H196)</f>
        <v>9.9569332727786328E-2</v>
      </c>
      <c r="O196" s="13"/>
      <c r="P196" s="1">
        <f>SUM(OSRRefP22_1x_0)</f>
        <v>939657</v>
      </c>
      <c r="Q196" s="1"/>
      <c r="R196" s="5">
        <f t="shared" ref="R196:R203" si="36">IF(P$12=0,0,P196/P$12)</f>
        <v>0.14302097992024759</v>
      </c>
      <c r="S196" s="1"/>
      <c r="T196" s="1">
        <f>SUM(OSRRefT22_1x_0)</f>
        <v>895845.54</v>
      </c>
      <c r="U196" s="1"/>
      <c r="V196" s="5">
        <f t="shared" ref="V196:V203" si="37">IF(T$12=0,0,T196/T$12)</f>
        <v>0.13302914716462427</v>
      </c>
      <c r="W196" s="1"/>
      <c r="X196" s="1">
        <f t="shared" ref="X196:X203" si="38">+P196-T196</f>
        <v>43811.459999999963</v>
      </c>
      <c r="Y196" s="1"/>
      <c r="Z196" s="5">
        <f t="shared" ref="Z196:Z203" si="39">IF(T196=0,0,X196/T196)</f>
        <v>4.8905149430112649E-2</v>
      </c>
    </row>
    <row r="197" spans="1:26" s="24" customFormat="1" hidden="1" outlineLevel="2" x14ac:dyDescent="0.25">
      <c r="A197" s="26"/>
      <c r="B197" s="11" t="str">
        <f>CONCATENATE("          ", "6001", " - ", "ADMINISTRATIVE SALARIES")</f>
        <v xml:space="preserve">          6001 - ADMINISTRATIVE SALARIES</v>
      </c>
      <c r="C197" s="11"/>
      <c r="D197" s="6">
        <v>10717.14</v>
      </c>
      <c r="E197" s="2"/>
      <c r="F197" s="7">
        <f t="shared" si="32"/>
        <v>1.7544830122441086E-2</v>
      </c>
      <c r="G197" s="2"/>
      <c r="H197" s="6">
        <v>10405</v>
      </c>
      <c r="I197" s="2"/>
      <c r="J197" s="7">
        <f t="shared" si="33"/>
        <v>1.9529072144221362E-2</v>
      </c>
      <c r="K197" s="2"/>
      <c r="L197" s="6">
        <f t="shared" si="34"/>
        <v>312.13999999999942</v>
      </c>
      <c r="M197" s="2"/>
      <c r="N197" s="7">
        <f t="shared" si="35"/>
        <v>2.999903892359437E-2</v>
      </c>
      <c r="O197" s="11"/>
      <c r="P197" s="6">
        <v>56800.83</v>
      </c>
      <c r="Q197" s="2"/>
      <c r="R197" s="7">
        <f t="shared" si="36"/>
        <v>8.6453997223278241E-3</v>
      </c>
      <c r="S197" s="2"/>
      <c r="T197" s="6">
        <v>56707.25</v>
      </c>
      <c r="U197" s="2"/>
      <c r="V197" s="7">
        <f t="shared" si="37"/>
        <v>8.420778771250163E-3</v>
      </c>
      <c r="W197" s="2"/>
      <c r="X197" s="6">
        <f t="shared" si="38"/>
        <v>93.580000000001746</v>
      </c>
      <c r="Y197" s="2"/>
      <c r="Z197" s="7">
        <f t="shared" si="39"/>
        <v>1.6502299088741166E-3</v>
      </c>
    </row>
    <row r="198" spans="1:26" s="24" customFormat="1" hidden="1" outlineLevel="2" x14ac:dyDescent="0.25">
      <c r="A198" s="26"/>
      <c r="B198" s="11" t="str">
        <f>CONCATENATE("          ", "6002", " - ", "STAFF SALARIES")</f>
        <v xml:space="preserve">          6002 - STAFF SALARIES</v>
      </c>
      <c r="C198" s="11"/>
      <c r="D198" s="6">
        <v>55763.68</v>
      </c>
      <c r="E198" s="2"/>
      <c r="F198" s="7">
        <f t="shared" si="32"/>
        <v>9.1289681071831247E-2</v>
      </c>
      <c r="G198" s="2"/>
      <c r="H198" s="6">
        <v>50629.08</v>
      </c>
      <c r="I198" s="2"/>
      <c r="J198" s="7">
        <f t="shared" si="33"/>
        <v>9.5025368180255157E-2</v>
      </c>
      <c r="K198" s="2"/>
      <c r="L198" s="6">
        <f t="shared" si="34"/>
        <v>5134.5999999999985</v>
      </c>
      <c r="M198" s="2"/>
      <c r="N198" s="7">
        <f t="shared" si="35"/>
        <v>0.10141602415054744</v>
      </c>
      <c r="O198" s="11"/>
      <c r="P198" s="6">
        <v>312670.96000000002</v>
      </c>
      <c r="Q198" s="2"/>
      <c r="R198" s="7">
        <f t="shared" si="36"/>
        <v>4.759024526162689E-2</v>
      </c>
      <c r="S198" s="2"/>
      <c r="T198" s="6">
        <v>287313.82999999996</v>
      </c>
      <c r="U198" s="2"/>
      <c r="V198" s="7">
        <f t="shared" si="37"/>
        <v>4.2664847975357259E-2</v>
      </c>
      <c r="W198" s="2"/>
      <c r="X198" s="6">
        <f t="shared" si="38"/>
        <v>25357.130000000063</v>
      </c>
      <c r="Y198" s="2"/>
      <c r="Z198" s="7">
        <f t="shared" si="39"/>
        <v>8.8255862935661913E-2</v>
      </c>
    </row>
    <row r="199" spans="1:26" s="24" customFormat="1" hidden="1" outlineLevel="2" x14ac:dyDescent="0.25">
      <c r="A199" s="26"/>
      <c r="B199" s="11" t="str">
        <f>CONCATENATE("          ", "6004", " - ", "STAFF HOURLY")</f>
        <v xml:space="preserve">          6004 - STAFF HOURLY</v>
      </c>
      <c r="C199" s="11"/>
      <c r="D199" s="6">
        <v>2163.25</v>
      </c>
      <c r="E199" s="2"/>
      <c r="F199" s="7">
        <f t="shared" si="32"/>
        <v>3.5414162511986104E-3</v>
      </c>
      <c r="G199" s="2"/>
      <c r="H199" s="6">
        <v>6226.82</v>
      </c>
      <c r="I199" s="2"/>
      <c r="J199" s="7">
        <f t="shared" si="33"/>
        <v>1.1687075157047616E-2</v>
      </c>
      <c r="K199" s="2"/>
      <c r="L199" s="6">
        <f t="shared" si="34"/>
        <v>-4063.5699999999997</v>
      </c>
      <c r="M199" s="2"/>
      <c r="N199" s="7">
        <f t="shared" si="35"/>
        <v>-0.65259153147192306</v>
      </c>
      <c r="O199" s="11"/>
      <c r="P199" s="6">
        <v>12705.41</v>
      </c>
      <c r="Q199" s="2"/>
      <c r="R199" s="7">
        <f t="shared" si="36"/>
        <v>1.9338335035960067E-3</v>
      </c>
      <c r="S199" s="2"/>
      <c r="T199" s="6">
        <v>31097.32</v>
      </c>
      <c r="U199" s="2"/>
      <c r="V199" s="7">
        <f t="shared" si="37"/>
        <v>4.6178161010941837E-3</v>
      </c>
      <c r="W199" s="2"/>
      <c r="X199" s="6">
        <f t="shared" si="38"/>
        <v>-18391.91</v>
      </c>
      <c r="Y199" s="2"/>
      <c r="Z199" s="7">
        <f t="shared" si="39"/>
        <v>-0.59143070849835289</v>
      </c>
    </row>
    <row r="200" spans="1:26" s="24" customFormat="1" hidden="1" outlineLevel="2" x14ac:dyDescent="0.25">
      <c r="A200" s="26"/>
      <c r="B200" s="11" t="str">
        <f>CONCATENATE("          ", "6005", " - ", "TEMPORARY WAGES-HOURLY")</f>
        <v xml:space="preserve">          6005 - TEMPORARY WAGES-HOURLY</v>
      </c>
      <c r="C200" s="11"/>
      <c r="D200" s="6">
        <v>19292.84</v>
      </c>
      <c r="E200" s="2"/>
      <c r="F200" s="7">
        <f t="shared" si="32"/>
        <v>3.1583948738136879E-2</v>
      </c>
      <c r="G200" s="2"/>
      <c r="H200" s="6">
        <v>17199.02</v>
      </c>
      <c r="I200" s="2"/>
      <c r="J200" s="7">
        <f t="shared" si="33"/>
        <v>3.2280721036992414E-2</v>
      </c>
      <c r="K200" s="2"/>
      <c r="L200" s="6">
        <f t="shared" si="34"/>
        <v>2093.8199999999997</v>
      </c>
      <c r="M200" s="2"/>
      <c r="N200" s="7">
        <f t="shared" si="35"/>
        <v>0.12174065731652151</v>
      </c>
      <c r="O200" s="11"/>
      <c r="P200" s="6">
        <v>108199.62999999999</v>
      </c>
      <c r="Q200" s="2"/>
      <c r="R200" s="7">
        <f t="shared" si="36"/>
        <v>1.646858067316927E-2</v>
      </c>
      <c r="S200" s="2"/>
      <c r="T200" s="6">
        <v>108900</v>
      </c>
      <c r="U200" s="2"/>
      <c r="V200" s="7">
        <f t="shared" si="37"/>
        <v>1.6171174024293945E-2</v>
      </c>
      <c r="W200" s="2"/>
      <c r="X200" s="6">
        <f t="shared" si="38"/>
        <v>-700.3700000000099</v>
      </c>
      <c r="Y200" s="2"/>
      <c r="Z200" s="7">
        <f t="shared" si="39"/>
        <v>-6.4313131313132226E-3</v>
      </c>
    </row>
    <row r="201" spans="1:26" s="24" customFormat="1" hidden="1" outlineLevel="2" x14ac:dyDescent="0.25">
      <c r="A201" s="26"/>
      <c r="B201" s="11" t="str">
        <f>CONCATENATE("          ", "6006", " - ", "TEMPORARY PART TIME")</f>
        <v xml:space="preserve">          6006 - TEMPORARY PART TIME</v>
      </c>
      <c r="C201" s="11"/>
      <c r="D201" s="6">
        <v>2350.75</v>
      </c>
      <c r="E201" s="2"/>
      <c r="F201" s="7">
        <f t="shared" si="32"/>
        <v>3.8483690061274166E-3</v>
      </c>
      <c r="G201" s="2"/>
      <c r="H201" s="6">
        <v>2394.4699999999998</v>
      </c>
      <c r="I201" s="2"/>
      <c r="J201" s="7">
        <f t="shared" si="33"/>
        <v>4.4941640919917078E-3</v>
      </c>
      <c r="K201" s="2"/>
      <c r="L201" s="6">
        <f t="shared" si="34"/>
        <v>-43.7199999999998</v>
      </c>
      <c r="M201" s="2"/>
      <c r="N201" s="7">
        <f t="shared" si="35"/>
        <v>-1.8258737841777013E-2</v>
      </c>
      <c r="O201" s="11"/>
      <c r="P201" s="6">
        <v>27436.91</v>
      </c>
      <c r="Q201" s="2"/>
      <c r="R201" s="7">
        <f t="shared" si="36"/>
        <v>4.1760490840632696E-3</v>
      </c>
      <c r="S201" s="2"/>
      <c r="T201" s="6">
        <v>39848.259999999995</v>
      </c>
      <c r="U201" s="2"/>
      <c r="V201" s="7">
        <f t="shared" si="37"/>
        <v>5.9172924428403245E-3</v>
      </c>
      <c r="W201" s="2"/>
      <c r="X201" s="6">
        <f t="shared" si="38"/>
        <v>-12411.349999999995</v>
      </c>
      <c r="Y201" s="2"/>
      <c r="Z201" s="7">
        <f t="shared" si="39"/>
        <v>-0.31146529359123826</v>
      </c>
    </row>
    <row r="202" spans="1:26" s="24" customFormat="1" hidden="1" outlineLevel="2" x14ac:dyDescent="0.25">
      <c r="A202" s="26"/>
      <c r="B202" s="11" t="str">
        <f>CONCATENATE("          ", "6007", " - ", "STUDENT HOURLY")</f>
        <v xml:space="preserve">          6007 - STUDENT HOURLY</v>
      </c>
      <c r="C202" s="11"/>
      <c r="D202" s="6">
        <v>58324.54</v>
      </c>
      <c r="E202" s="2"/>
      <c r="F202" s="7">
        <f t="shared" si="32"/>
        <v>9.5482017242428482E-2</v>
      </c>
      <c r="G202" s="2"/>
      <c r="H202" s="6">
        <v>47545.79</v>
      </c>
      <c r="I202" s="2"/>
      <c r="J202" s="7">
        <f t="shared" si="33"/>
        <v>8.923836262027858E-2</v>
      </c>
      <c r="K202" s="2"/>
      <c r="L202" s="6">
        <f t="shared" si="34"/>
        <v>10778.75</v>
      </c>
      <c r="M202" s="2"/>
      <c r="N202" s="7">
        <f t="shared" si="35"/>
        <v>0.22670251141057915</v>
      </c>
      <c r="O202" s="11"/>
      <c r="P202" s="6">
        <v>416560.26</v>
      </c>
      <c r="Q202" s="2"/>
      <c r="R202" s="7">
        <f t="shared" si="36"/>
        <v>6.3402769926721253E-2</v>
      </c>
      <c r="S202" s="2"/>
      <c r="T202" s="6">
        <v>360874.38</v>
      </c>
      <c r="U202" s="2"/>
      <c r="V202" s="7">
        <f t="shared" si="37"/>
        <v>5.3588268134886888E-2</v>
      </c>
      <c r="W202" s="2"/>
      <c r="X202" s="6">
        <f t="shared" si="38"/>
        <v>55685.880000000005</v>
      </c>
      <c r="Y202" s="2"/>
      <c r="Z202" s="7">
        <f t="shared" si="39"/>
        <v>0.15430821107333806</v>
      </c>
    </row>
    <row r="203" spans="1:26" s="24" customFormat="1" hidden="1" outlineLevel="2" x14ac:dyDescent="0.25">
      <c r="A203" s="26"/>
      <c r="B203" s="11" t="str">
        <f>CONCATENATE("          ", "6008", " - ", "STUDENT HOURLY-FICA EXEMPT")</f>
        <v xml:space="preserve">          6008 - STUDENT HOURLY-FICA EXEMPT</v>
      </c>
      <c r="C203" s="11"/>
      <c r="D203" s="6">
        <v>552</v>
      </c>
      <c r="E203" s="2"/>
      <c r="F203" s="7">
        <f t="shared" si="32"/>
        <v>9.0366891051040475E-4</v>
      </c>
      <c r="G203" s="2"/>
      <c r="H203" s="6">
        <v>1256.75</v>
      </c>
      <c r="I203" s="2"/>
      <c r="J203" s="7">
        <f t="shared" si="33"/>
        <v>2.3587853356319267E-3</v>
      </c>
      <c r="K203" s="2"/>
      <c r="L203" s="6">
        <f t="shared" si="34"/>
        <v>-704.75</v>
      </c>
      <c r="M203" s="2"/>
      <c r="N203" s="7">
        <f t="shared" si="35"/>
        <v>-0.56077183210662418</v>
      </c>
      <c r="O203" s="11"/>
      <c r="P203" s="6">
        <v>5283</v>
      </c>
      <c r="Q203" s="2"/>
      <c r="R203" s="7">
        <f t="shared" si="36"/>
        <v>8.0410174874307112E-4</v>
      </c>
      <c r="S203" s="2"/>
      <c r="T203" s="6">
        <v>11104.5</v>
      </c>
      <c r="U203" s="2"/>
      <c r="V203" s="7">
        <f t="shared" si="37"/>
        <v>1.6489697149014886E-3</v>
      </c>
      <c r="W203" s="2"/>
      <c r="X203" s="6">
        <f t="shared" si="38"/>
        <v>-5821.5</v>
      </c>
      <c r="Y203" s="2"/>
      <c r="Z203" s="7">
        <f t="shared" si="39"/>
        <v>-0.52424692692151831</v>
      </c>
    </row>
    <row r="204" spans="1:26" s="25" customFormat="1" outlineLevel="1" collapsed="1" x14ac:dyDescent="0.25">
      <c r="A204" s="27"/>
      <c r="B204" s="13" t="str">
        <f>CONCATENATE("     ","Advertising/Promo                                 ")</f>
        <v xml:space="preserve">     Advertising/Promo                                 </v>
      </c>
      <c r="C204" s="13"/>
      <c r="D204" s="1">
        <f>SUM(OSRRefD22_2x_0)</f>
        <v>15063.470000000001</v>
      </c>
      <c r="E204" s="1"/>
      <c r="F204" s="5">
        <f t="shared" ref="F204:F208" si="40">IF(D$12=0,0,D204/D$12)</f>
        <v>2.4660125948199579E-2</v>
      </c>
      <c r="G204" s="1"/>
      <c r="H204" s="1">
        <f>SUM(OSRRefH22_2x_0)</f>
        <v>21824.48</v>
      </c>
      <c r="I204" s="1"/>
      <c r="J204" s="5">
        <f t="shared" ref="J204:J208" si="41">IF(H$12=0,0,H204/H$12)</f>
        <v>4.0962214745806462E-2</v>
      </c>
      <c r="K204" s="1"/>
      <c r="L204" s="1">
        <f t="shared" ref="L204:L208" si="42">+D204-H204</f>
        <v>-6761.0099999999984</v>
      </c>
      <c r="M204" s="1"/>
      <c r="N204" s="5">
        <f t="shared" ref="N204:N208" si="43">IF(H204=0,0,L204/H204)</f>
        <v>-0.30979019889591863</v>
      </c>
      <c r="O204" s="13"/>
      <c r="P204" s="1">
        <f>SUM(OSRRefP22_2x_0)</f>
        <v>34050.060000000005</v>
      </c>
      <c r="Q204" s="1"/>
      <c r="R204" s="5">
        <f t="shared" ref="R204:R208" si="44">IF(P$12=0,0,P204/P$12)</f>
        <v>5.1826070018562371E-3</v>
      </c>
      <c r="S204" s="1"/>
      <c r="T204" s="1">
        <f>SUM(OSRRefT22_2x_0)</f>
        <v>40216.03</v>
      </c>
      <c r="U204" s="1"/>
      <c r="V204" s="5">
        <f t="shared" ref="V204:V208" si="45">IF(T$12=0,0,T204/T$12)</f>
        <v>5.9719046804061152E-3</v>
      </c>
      <c r="W204" s="1"/>
      <c r="X204" s="1">
        <f t="shared" ref="X204:X208" si="46">+P204-T204</f>
        <v>-6165.9699999999939</v>
      </c>
      <c r="Y204" s="1"/>
      <c r="Z204" s="5">
        <f t="shared" ref="Z204:Z208" si="47">IF(T204=0,0,X204/T204)</f>
        <v>-0.15332120052625767</v>
      </c>
    </row>
    <row r="205" spans="1:26" s="24" customFormat="1" hidden="1" outlineLevel="2" x14ac:dyDescent="0.25">
      <c r="A205" s="26"/>
      <c r="B205" s="11" t="str">
        <f>CONCATENATE("          ", "6362", " - ", "ADVERTISING EXPENSE")</f>
        <v xml:space="preserve">          6362 - ADVERTISING EXPENSE</v>
      </c>
      <c r="C205" s="11"/>
      <c r="D205" s="6">
        <v>15063.470000000001</v>
      </c>
      <c r="E205" s="2"/>
      <c r="F205" s="7">
        <f t="shared" si="40"/>
        <v>2.4660125948199579E-2</v>
      </c>
      <c r="G205" s="2"/>
      <c r="H205" s="6">
        <v>21824.48</v>
      </c>
      <c r="I205" s="2"/>
      <c r="J205" s="7">
        <f t="shared" si="41"/>
        <v>4.0962214745806462E-2</v>
      </c>
      <c r="K205" s="2"/>
      <c r="L205" s="6">
        <f t="shared" si="42"/>
        <v>-6761.0099999999984</v>
      </c>
      <c r="M205" s="2"/>
      <c r="N205" s="7">
        <f t="shared" si="43"/>
        <v>-0.30979019889591863</v>
      </c>
      <c r="O205" s="11"/>
      <c r="P205" s="6">
        <v>34050.060000000005</v>
      </c>
      <c r="Q205" s="2"/>
      <c r="R205" s="7">
        <f t="shared" si="44"/>
        <v>5.1826070018562371E-3</v>
      </c>
      <c r="S205" s="2"/>
      <c r="T205" s="6">
        <v>40216.03</v>
      </c>
      <c r="U205" s="2"/>
      <c r="V205" s="7">
        <f t="shared" si="45"/>
        <v>5.9719046804061152E-3</v>
      </c>
      <c r="W205" s="2"/>
      <c r="X205" s="6">
        <f t="shared" si="46"/>
        <v>-6165.9699999999939</v>
      </c>
      <c r="Y205" s="2"/>
      <c r="Z205" s="7">
        <f t="shared" si="47"/>
        <v>-0.15332120052625767</v>
      </c>
    </row>
    <row r="206" spans="1:26" s="25" customFormat="1" outlineLevel="1" collapsed="1" x14ac:dyDescent="0.25">
      <c r="A206" s="27"/>
      <c r="B206" s="13" t="str">
        <f>CONCATENATE("     ","Bad Debts/Over/Short                              ")</f>
        <v xml:space="preserve">     Bad Debts/Over/Short                              </v>
      </c>
      <c r="C206" s="13"/>
      <c r="D206" s="1">
        <f>SUM(OSRRefD22_3x_0)</f>
        <v>150.11000000000001</v>
      </c>
      <c r="E206" s="1"/>
      <c r="F206" s="5">
        <f t="shared" si="40"/>
        <v>2.4574228289260303E-4</v>
      </c>
      <c r="G206" s="1"/>
      <c r="H206" s="1">
        <f>SUM(OSRRefH22_3x_0)</f>
        <v>55.58</v>
      </c>
      <c r="I206" s="1"/>
      <c r="J206" s="5">
        <f t="shared" si="41"/>
        <v>1.0431771549983884E-4</v>
      </c>
      <c r="K206" s="1"/>
      <c r="L206" s="1">
        <f t="shared" si="42"/>
        <v>94.530000000000015</v>
      </c>
      <c r="M206" s="1"/>
      <c r="N206" s="5">
        <f t="shared" si="43"/>
        <v>1.7007916516732642</v>
      </c>
      <c r="O206" s="13"/>
      <c r="P206" s="1">
        <f>SUM(OSRRefP22_3x_0)</f>
        <v>72.459999999999994</v>
      </c>
      <c r="Q206" s="1"/>
      <c r="R206" s="5">
        <f t="shared" si="44"/>
        <v>1.1028811795177538E-5</v>
      </c>
      <c r="S206" s="1"/>
      <c r="T206" s="1">
        <f>SUM(OSRRefT22_3x_0)</f>
        <v>1117.98</v>
      </c>
      <c r="U206" s="1"/>
      <c r="V206" s="5">
        <f t="shared" si="45"/>
        <v>1.6601514357833007E-4</v>
      </c>
      <c r="W206" s="1"/>
      <c r="X206" s="1">
        <f t="shared" si="46"/>
        <v>-1045.52</v>
      </c>
      <c r="Y206" s="1"/>
      <c r="Z206" s="5">
        <f t="shared" si="47"/>
        <v>-0.93518667596915861</v>
      </c>
    </row>
    <row r="207" spans="1:26" s="24" customFormat="1" hidden="1" outlineLevel="2" x14ac:dyDescent="0.25">
      <c r="A207" s="26"/>
      <c r="B207" s="11" t="str">
        <f>CONCATENATE("          ", "6272", " - ", "CASH (OVER/SHORT)")</f>
        <v xml:space="preserve">          6272 - CASH (OVER/SHORT)</v>
      </c>
      <c r="C207" s="11"/>
      <c r="D207" s="6">
        <v>150.11000000000001</v>
      </c>
      <c r="E207" s="2"/>
      <c r="F207" s="7">
        <f t="shared" si="40"/>
        <v>2.4574228289260303E-4</v>
      </c>
      <c r="G207" s="2"/>
      <c r="H207" s="6">
        <v>55.58</v>
      </c>
      <c r="I207" s="2"/>
      <c r="J207" s="7">
        <f t="shared" si="41"/>
        <v>1.0431771549983884E-4</v>
      </c>
      <c r="K207" s="2"/>
      <c r="L207" s="6">
        <f t="shared" si="42"/>
        <v>94.530000000000015</v>
      </c>
      <c r="M207" s="2"/>
      <c r="N207" s="7">
        <f t="shared" si="43"/>
        <v>1.7007916516732642</v>
      </c>
      <c r="O207" s="11"/>
      <c r="P207" s="6">
        <v>27.66</v>
      </c>
      <c r="Q207" s="2"/>
      <c r="R207" s="7">
        <f t="shared" si="44"/>
        <v>4.2100046129535013E-6</v>
      </c>
      <c r="S207" s="2"/>
      <c r="T207" s="6">
        <v>1117.98</v>
      </c>
      <c r="U207" s="2"/>
      <c r="V207" s="7">
        <f t="shared" si="45"/>
        <v>1.6601514357833007E-4</v>
      </c>
      <c r="W207" s="2"/>
      <c r="X207" s="6">
        <f t="shared" si="46"/>
        <v>-1090.32</v>
      </c>
      <c r="Y207" s="2"/>
      <c r="Z207" s="7">
        <f t="shared" si="47"/>
        <v>-0.97525894917619271</v>
      </c>
    </row>
    <row r="208" spans="1:26" s="24" customFormat="1" hidden="1" outlineLevel="2" x14ac:dyDescent="0.25">
      <c r="A208" s="26"/>
      <c r="B208" s="11" t="str">
        <f>CONCATENATE("          ", "6342", " - ", "BAD DEBT")</f>
        <v xml:space="preserve">          6342 - BAD DEBT</v>
      </c>
      <c r="C208" s="11"/>
      <c r="D208" s="6"/>
      <c r="E208" s="2"/>
      <c r="F208" s="7">
        <f t="shared" si="40"/>
        <v>0</v>
      </c>
      <c r="G208" s="2"/>
      <c r="H208" s="6"/>
      <c r="I208" s="2"/>
      <c r="J208" s="7">
        <f t="shared" si="41"/>
        <v>0</v>
      </c>
      <c r="K208" s="2"/>
      <c r="L208" s="6">
        <f t="shared" si="42"/>
        <v>0</v>
      </c>
      <c r="M208" s="2"/>
      <c r="N208" s="7">
        <f t="shared" si="43"/>
        <v>0</v>
      </c>
      <c r="O208" s="11"/>
      <c r="P208" s="6">
        <v>44.8</v>
      </c>
      <c r="Q208" s="2"/>
      <c r="R208" s="7">
        <f t="shared" si="44"/>
        <v>6.8188071822240367E-6</v>
      </c>
      <c r="S208" s="2"/>
      <c r="T208" s="6"/>
      <c r="U208" s="2"/>
      <c r="V208" s="7">
        <f t="shared" si="45"/>
        <v>0</v>
      </c>
      <c r="W208" s="2"/>
      <c r="X208" s="6">
        <f t="shared" si="46"/>
        <v>44.8</v>
      </c>
      <c r="Y208" s="2"/>
      <c r="Z208" s="7">
        <f t="shared" si="47"/>
        <v>0</v>
      </c>
    </row>
    <row r="209" spans="1:26" s="25" customFormat="1" outlineLevel="1" collapsed="1" x14ac:dyDescent="0.25">
      <c r="A209" s="27"/>
      <c r="B209" s="13" t="str">
        <f>CONCATENATE("     ","Bank/card Fees                                    ")</f>
        <v xml:space="preserve">     Bank/card Fees                                    </v>
      </c>
      <c r="C209" s="13"/>
      <c r="D209" s="1">
        <f>SUM(OSRRefD22_4x_0)</f>
        <v>10714.71</v>
      </c>
      <c r="E209" s="1"/>
      <c r="F209" s="5">
        <f t="shared" ref="F209:F213" si="48">IF(D$12=0,0,D209/D$12)</f>
        <v>1.7540852014737207E-2</v>
      </c>
      <c r="G209" s="1"/>
      <c r="H209" s="1">
        <f>SUM(OSRRefH22_4x_0)</f>
        <v>9526.41</v>
      </c>
      <c r="I209" s="1"/>
      <c r="J209" s="5">
        <f t="shared" ref="J209:J213" si="49">IF(H$12=0,0,H209/H$12)</f>
        <v>1.7880052682886286E-2</v>
      </c>
      <c r="K209" s="1"/>
      <c r="L209" s="1">
        <f t="shared" ref="L209:L213" si="50">+D209-H209</f>
        <v>1188.2999999999993</v>
      </c>
      <c r="M209" s="1"/>
      <c r="N209" s="5">
        <f t="shared" ref="N209:N213" si="51">IF(H209=0,0,L209/H209)</f>
        <v>0.12473744044188727</v>
      </c>
      <c r="O209" s="13"/>
      <c r="P209" s="1">
        <f>SUM(OSRRefP22_4x_0)</f>
        <v>82063.73000000001</v>
      </c>
      <c r="Q209" s="1"/>
      <c r="R209" s="5">
        <f t="shared" ref="R209:R213" si="52">IF(P$12=0,0,P209/P$12)</f>
        <v>1.2490552489377103E-2</v>
      </c>
      <c r="S209" s="1"/>
      <c r="T209" s="1">
        <f>SUM(OSRRefT22_4x_0)</f>
        <v>80529.05</v>
      </c>
      <c r="U209" s="1"/>
      <c r="V209" s="5">
        <f t="shared" ref="V209:V213" si="53">IF(T$12=0,0,T209/T$12)</f>
        <v>1.1958211951892271E-2</v>
      </c>
      <c r="W209" s="1"/>
      <c r="X209" s="1">
        <f t="shared" ref="X209:X213" si="54">+P209-T209</f>
        <v>1534.6800000000076</v>
      </c>
      <c r="Y209" s="1"/>
      <c r="Z209" s="5">
        <f t="shared" ref="Z209:Z213" si="55">IF(T209=0,0,X209/T209)</f>
        <v>1.9057470564970126E-2</v>
      </c>
    </row>
    <row r="210" spans="1:26" s="24" customFormat="1" hidden="1" outlineLevel="2" x14ac:dyDescent="0.25">
      <c r="A210" s="26"/>
      <c r="B210" s="11" t="str">
        <f>CONCATENATE("          ", "6381", " - ", "BANK/CREDIT CARD FEES")</f>
        <v xml:space="preserve">          6381 - BANK/CREDIT CARD FEES</v>
      </c>
      <c r="C210" s="11"/>
      <c r="D210" s="6">
        <v>10714.71</v>
      </c>
      <c r="E210" s="2"/>
      <c r="F210" s="7">
        <f t="shared" si="48"/>
        <v>1.7540852014737207E-2</v>
      </c>
      <c r="G210" s="2"/>
      <c r="H210" s="6">
        <v>9526.41</v>
      </c>
      <c r="I210" s="2"/>
      <c r="J210" s="7">
        <f t="shared" si="49"/>
        <v>1.7880052682886286E-2</v>
      </c>
      <c r="K210" s="2"/>
      <c r="L210" s="6">
        <f t="shared" si="50"/>
        <v>1188.2999999999993</v>
      </c>
      <c r="M210" s="2"/>
      <c r="N210" s="7">
        <f t="shared" si="51"/>
        <v>0.12473744044188727</v>
      </c>
      <c r="O210" s="11"/>
      <c r="P210" s="6">
        <v>82063.73000000001</v>
      </c>
      <c r="Q210" s="2"/>
      <c r="R210" s="7">
        <f t="shared" si="52"/>
        <v>1.2490552489377103E-2</v>
      </c>
      <c r="S210" s="2"/>
      <c r="T210" s="6">
        <v>80529.05</v>
      </c>
      <c r="U210" s="2"/>
      <c r="V210" s="7">
        <f t="shared" si="53"/>
        <v>1.1958211951892271E-2</v>
      </c>
      <c r="W210" s="2"/>
      <c r="X210" s="6">
        <f t="shared" si="54"/>
        <v>1534.6800000000076</v>
      </c>
      <c r="Y210" s="2"/>
      <c r="Z210" s="7">
        <f t="shared" si="55"/>
        <v>1.9057470564970126E-2</v>
      </c>
    </row>
    <row r="211" spans="1:26" s="25" customFormat="1" outlineLevel="1" collapsed="1" x14ac:dyDescent="0.25">
      <c r="A211" s="27"/>
      <c r="B211" s="13" t="str">
        <f>CONCATENATE("     ","Depreciation                                      ")</f>
        <v xml:space="preserve">     Depreciation                                      </v>
      </c>
      <c r="C211" s="13"/>
      <c r="D211" s="1">
        <f>SUM(OSRRefD22_5x_0)</f>
        <v>29887.870000000003</v>
      </c>
      <c r="E211" s="1"/>
      <c r="F211" s="5">
        <f t="shared" si="48"/>
        <v>4.8928874855754735E-2</v>
      </c>
      <c r="G211" s="1"/>
      <c r="H211" s="1">
        <f>SUM(OSRRefH22_5x_0)</f>
        <v>29610.510000000002</v>
      </c>
      <c r="I211" s="1"/>
      <c r="J211" s="5">
        <f t="shared" si="49"/>
        <v>5.5575760309196358E-2</v>
      </c>
      <c r="K211" s="1"/>
      <c r="L211" s="1">
        <f t="shared" si="50"/>
        <v>277.36000000000058</v>
      </c>
      <c r="M211" s="1"/>
      <c r="N211" s="5">
        <f t="shared" si="51"/>
        <v>9.366944372116541E-3</v>
      </c>
      <c r="O211" s="13"/>
      <c r="P211" s="1">
        <f>SUM(OSRRefP22_5x_0)</f>
        <v>149439.34999999998</v>
      </c>
      <c r="Q211" s="1"/>
      <c r="R211" s="5">
        <f t="shared" si="52"/>
        <v>2.2745493595689541E-2</v>
      </c>
      <c r="S211" s="1"/>
      <c r="T211" s="1">
        <f>SUM(OSRRefT22_5x_0)</f>
        <v>148052.54999999999</v>
      </c>
      <c r="U211" s="1"/>
      <c r="V211" s="5">
        <f t="shared" si="53"/>
        <v>2.1985156572915339E-2</v>
      </c>
      <c r="W211" s="1"/>
      <c r="X211" s="1">
        <f t="shared" si="54"/>
        <v>1386.7999999999884</v>
      </c>
      <c r="Y211" s="1"/>
      <c r="Z211" s="5">
        <f t="shared" si="55"/>
        <v>9.3669443721164439E-3</v>
      </c>
    </row>
    <row r="212" spans="1:26" s="24" customFormat="1" hidden="1" outlineLevel="2" x14ac:dyDescent="0.25">
      <c r="A212" s="26"/>
      <c r="B212" s="11" t="str">
        <f>CONCATENATE("          ", "6321", " - ", "BUILDING DEPRECIATION")</f>
        <v xml:space="preserve">          6321 - BUILDING DEPRECIATION</v>
      </c>
      <c r="C212" s="11"/>
      <c r="D212" s="6">
        <v>16396.52</v>
      </c>
      <c r="E212" s="2"/>
      <c r="F212" s="7">
        <f t="shared" si="48"/>
        <v>2.6842437254641416E-2</v>
      </c>
      <c r="G212" s="2"/>
      <c r="H212" s="6">
        <v>16453.38</v>
      </c>
      <c r="I212" s="2"/>
      <c r="J212" s="7">
        <f t="shared" si="49"/>
        <v>3.08812345061306E-2</v>
      </c>
      <c r="K212" s="2"/>
      <c r="L212" s="6">
        <f t="shared" si="50"/>
        <v>-56.860000000000582</v>
      </c>
      <c r="M212" s="2"/>
      <c r="N212" s="7">
        <f t="shared" si="51"/>
        <v>-3.4558248821822978E-3</v>
      </c>
      <c r="O212" s="11"/>
      <c r="P212" s="6">
        <v>81982.599999999991</v>
      </c>
      <c r="Q212" s="2"/>
      <c r="R212" s="7">
        <f t="shared" si="52"/>
        <v>1.2478204055745542E-2</v>
      </c>
      <c r="S212" s="2"/>
      <c r="T212" s="6">
        <v>82266.899999999994</v>
      </c>
      <c r="U212" s="2"/>
      <c r="V212" s="7">
        <f t="shared" si="53"/>
        <v>1.2216275081167929E-2</v>
      </c>
      <c r="W212" s="2"/>
      <c r="X212" s="6">
        <f t="shared" si="54"/>
        <v>-284.30000000000291</v>
      </c>
      <c r="Y212" s="2"/>
      <c r="Z212" s="7">
        <f t="shared" si="55"/>
        <v>-3.4558248821822983E-3</v>
      </c>
    </row>
    <row r="213" spans="1:26" s="24" customFormat="1" hidden="1" outlineLevel="2" x14ac:dyDescent="0.25">
      <c r="A213" s="26"/>
      <c r="B213" s="11" t="str">
        <f>CONCATENATE("          ", "6322", " - ", "EQUIPMENT DEPRECIATION EXPENSE")</f>
        <v xml:space="preserve">          6322 - EQUIPMENT DEPRECIATION EXPENSE</v>
      </c>
      <c r="C213" s="11"/>
      <c r="D213" s="6">
        <v>13491.35</v>
      </c>
      <c r="E213" s="2"/>
      <c r="F213" s="7">
        <f t="shared" si="48"/>
        <v>2.2086437601113312E-2</v>
      </c>
      <c r="G213" s="2"/>
      <c r="H213" s="6">
        <v>13157.13</v>
      </c>
      <c r="I213" s="2"/>
      <c r="J213" s="7">
        <f t="shared" si="49"/>
        <v>2.4694525803065755E-2</v>
      </c>
      <c r="K213" s="2"/>
      <c r="L213" s="6">
        <f t="shared" si="50"/>
        <v>334.22000000000116</v>
      </c>
      <c r="M213" s="2"/>
      <c r="N213" s="7">
        <f t="shared" si="51"/>
        <v>2.5402196375653444E-2</v>
      </c>
      <c r="O213" s="11"/>
      <c r="P213" s="6">
        <v>67456.75</v>
      </c>
      <c r="Q213" s="2"/>
      <c r="R213" s="7">
        <f t="shared" si="52"/>
        <v>1.0267289539944002E-2</v>
      </c>
      <c r="S213" s="2"/>
      <c r="T213" s="6">
        <v>65785.650000000009</v>
      </c>
      <c r="U213" s="2"/>
      <c r="V213" s="7">
        <f t="shared" si="53"/>
        <v>9.768881491747412E-3</v>
      </c>
      <c r="W213" s="2"/>
      <c r="X213" s="6">
        <f t="shared" si="54"/>
        <v>1671.0999999999913</v>
      </c>
      <c r="Y213" s="2"/>
      <c r="Z213" s="7">
        <f t="shared" si="55"/>
        <v>2.5402196375653215E-2</v>
      </c>
    </row>
    <row r="214" spans="1:26" s="25" customFormat="1" outlineLevel="1" collapsed="1" x14ac:dyDescent="0.25">
      <c r="A214" s="27"/>
      <c r="B214" s="13" t="str">
        <f>CONCATENATE("     ","Discounts and Markdowns                           ")</f>
        <v xml:space="preserve">     Discounts and Markdowns                           </v>
      </c>
      <c r="C214" s="13"/>
      <c r="D214" s="1">
        <f>SUM(OSRRefD22_6x_0)</f>
        <v>29043.18</v>
      </c>
      <c r="E214" s="1"/>
      <c r="F214" s="5">
        <f t="shared" ref="F214:F216" si="56">IF(D$12=0,0,D214/D$12)</f>
        <v>4.754604860209706E-2</v>
      </c>
      <c r="G214" s="1"/>
      <c r="H214" s="1">
        <f>SUM(OSRRefH22_6x_0)</f>
        <v>36806.479999999996</v>
      </c>
      <c r="I214" s="1"/>
      <c r="J214" s="5">
        <f t="shared" ref="J214:J216" si="57">IF(H$12=0,0,H214/H$12)</f>
        <v>6.908182636182994E-2</v>
      </c>
      <c r="K214" s="1"/>
      <c r="L214" s="1">
        <f t="shared" ref="L214:L216" si="58">+D214-H214</f>
        <v>-7763.2999999999956</v>
      </c>
      <c r="M214" s="1"/>
      <c r="N214" s="5">
        <f t="shared" ref="N214:N216" si="59">IF(H214=0,0,L214/H214)</f>
        <v>-0.21092209850004665</v>
      </c>
      <c r="O214" s="13"/>
      <c r="P214" s="1">
        <f>SUM(OSRRefP22_6x_0)</f>
        <v>195222.09999999998</v>
      </c>
      <c r="Q214" s="1"/>
      <c r="R214" s="5">
        <f t="shared" ref="R214:R216" si="60">IF(P$12=0,0,P214/P$12)</f>
        <v>2.9713880750197746E-2</v>
      </c>
      <c r="S214" s="1"/>
      <c r="T214" s="1">
        <f>SUM(OSRRefT22_6x_0)</f>
        <v>201269.99000000002</v>
      </c>
      <c r="U214" s="1"/>
      <c r="V214" s="5">
        <f t="shared" ref="V214:V216" si="61">IF(T$12=0,0,T214/T$12)</f>
        <v>2.9887713812285603E-2</v>
      </c>
      <c r="W214" s="1"/>
      <c r="X214" s="1">
        <f t="shared" ref="X214:X216" si="62">+P214-T214</f>
        <v>-6047.8900000000431</v>
      </c>
      <c r="Y214" s="1"/>
      <c r="Z214" s="5">
        <f t="shared" ref="Z214:Z216" si="63">IF(T214=0,0,X214/T214)</f>
        <v>-3.0048642621784014E-2</v>
      </c>
    </row>
    <row r="215" spans="1:26" s="24" customFormat="1" hidden="1" outlineLevel="2" x14ac:dyDescent="0.25">
      <c r="A215" s="26"/>
      <c r="B215" s="11" t="str">
        <f>CONCATENATE("          ", "6382", " - ", "DISCOUNTS/MARK DOWNS")</f>
        <v xml:space="preserve">          6382 - DISCOUNTS/MARK DOWNS</v>
      </c>
      <c r="C215" s="11"/>
      <c r="D215" s="6">
        <v>29290.68</v>
      </c>
      <c r="E215" s="2"/>
      <c r="F215" s="7">
        <f t="shared" si="56"/>
        <v>4.7951226238603081E-2</v>
      </c>
      <c r="G215" s="2"/>
      <c r="H215" s="6">
        <v>36958.449999999997</v>
      </c>
      <c r="I215" s="2"/>
      <c r="J215" s="7">
        <f t="shared" si="57"/>
        <v>6.93670577980392E-2</v>
      </c>
      <c r="K215" s="2"/>
      <c r="L215" s="6">
        <f t="shared" si="58"/>
        <v>-7667.7699999999968</v>
      </c>
      <c r="M215" s="2"/>
      <c r="N215" s="7">
        <f t="shared" si="59"/>
        <v>-0.2074700102412303</v>
      </c>
      <c r="O215" s="11"/>
      <c r="P215" s="6">
        <v>197587.34999999998</v>
      </c>
      <c r="Q215" s="2"/>
      <c r="R215" s="7">
        <f t="shared" si="60"/>
        <v>3.0073884850370856E-2</v>
      </c>
      <c r="S215" s="2"/>
      <c r="T215" s="6">
        <v>203948.98</v>
      </c>
      <c r="U215" s="2"/>
      <c r="V215" s="7">
        <f t="shared" si="61"/>
        <v>3.0285532118064697E-2</v>
      </c>
      <c r="W215" s="2"/>
      <c r="X215" s="6">
        <f t="shared" si="62"/>
        <v>-6361.6300000000338</v>
      </c>
      <c r="Y215" s="2"/>
      <c r="Z215" s="7">
        <f t="shared" si="63"/>
        <v>-3.1192261907855748E-2</v>
      </c>
    </row>
    <row r="216" spans="1:26" s="24" customFormat="1" hidden="1" outlineLevel="2" x14ac:dyDescent="0.25">
      <c r="A216" s="26"/>
      <c r="B216" s="11" t="str">
        <f>CONCATENATE("          ", "9175", " - ", "EARNED DISCOUNTS")</f>
        <v xml:space="preserve">          9175 - EARNED DISCOUNTS</v>
      </c>
      <c r="C216" s="11"/>
      <c r="D216" s="6">
        <v>-247.5</v>
      </c>
      <c r="E216" s="2"/>
      <c r="F216" s="7">
        <f t="shared" si="56"/>
        <v>-4.0517763650602389E-4</v>
      </c>
      <c r="G216" s="2"/>
      <c r="H216" s="6">
        <v>-151.97</v>
      </c>
      <c r="I216" s="2"/>
      <c r="J216" s="7">
        <f t="shared" si="57"/>
        <v>-2.8523143620925713E-4</v>
      </c>
      <c r="K216" s="2"/>
      <c r="L216" s="6">
        <f t="shared" si="58"/>
        <v>-95.53</v>
      </c>
      <c r="M216" s="2"/>
      <c r="N216" s="7">
        <f t="shared" si="59"/>
        <v>0.62861091004803582</v>
      </c>
      <c r="O216" s="11"/>
      <c r="P216" s="6">
        <v>-2365.25</v>
      </c>
      <c r="Q216" s="2"/>
      <c r="R216" s="7">
        <f t="shared" si="60"/>
        <v>-3.600041001731117E-4</v>
      </c>
      <c r="S216" s="2"/>
      <c r="T216" s="6">
        <v>-2678.99</v>
      </c>
      <c r="U216" s="2"/>
      <c r="V216" s="7">
        <f t="shared" si="61"/>
        <v>-3.9781830577909305E-4</v>
      </c>
      <c r="W216" s="2"/>
      <c r="X216" s="6">
        <f t="shared" si="62"/>
        <v>313.73999999999978</v>
      </c>
      <c r="Y216" s="2"/>
      <c r="Z216" s="7">
        <f t="shared" si="63"/>
        <v>-0.1171112994076125</v>
      </c>
    </row>
    <row r="217" spans="1:26" s="25" customFormat="1" outlineLevel="1" collapsed="1" x14ac:dyDescent="0.25">
      <c r="A217" s="27"/>
      <c r="B217" s="13" t="str">
        <f>CONCATENATE("     ","Donations                                         ")</f>
        <v xml:space="preserve">     Donations                                         </v>
      </c>
      <c r="C217" s="13"/>
      <c r="D217" s="1">
        <f>SUM(OSRRefD22_7x_0)</f>
        <v>3415.9</v>
      </c>
      <c r="E217" s="1"/>
      <c r="F217" s="5">
        <f t="shared" ref="F217:F225" si="64">IF(D$12=0,0,D217/D$12)</f>
        <v>5.5921062163269775E-3</v>
      </c>
      <c r="G217" s="1"/>
      <c r="H217" s="1">
        <f>SUM(OSRRefH22_7x_0)</f>
        <v>320.8</v>
      </c>
      <c r="I217" s="1"/>
      <c r="J217" s="5">
        <f t="shared" ref="J217:J225" si="65">IF(H$12=0,0,H217/H$12)</f>
        <v>6.021072891750325E-4</v>
      </c>
      <c r="K217" s="1"/>
      <c r="L217" s="1">
        <f t="shared" ref="L217:L225" si="66">+D217-H217</f>
        <v>3095.1</v>
      </c>
      <c r="M217" s="1"/>
      <c r="N217" s="5">
        <f t="shared" ref="N217:N225" si="67">IF(H217=0,0,L217/H217)</f>
        <v>9.6480673316708216</v>
      </c>
      <c r="O217" s="13"/>
      <c r="P217" s="1">
        <f>SUM(OSRRefP22_7x_0)</f>
        <v>9647.3799999999992</v>
      </c>
      <c r="Q217" s="1"/>
      <c r="R217" s="5">
        <f t="shared" ref="R217:R225" si="68">IF(P$12=0,0,P217/P$12)</f>
        <v>1.468384465036708E-3</v>
      </c>
      <c r="S217" s="1"/>
      <c r="T217" s="1">
        <f>SUM(OSRRefT22_7x_0)</f>
        <v>4987.4799999999996</v>
      </c>
      <c r="U217" s="1"/>
      <c r="V217" s="5">
        <f t="shared" ref="V217:V225" si="69">IF(T$12=0,0,T217/T$12)</f>
        <v>7.4061898092456896E-4</v>
      </c>
      <c r="W217" s="1"/>
      <c r="X217" s="1">
        <f t="shared" ref="X217:X225" si="70">+P217-T217</f>
        <v>4659.8999999999996</v>
      </c>
      <c r="Y217" s="1"/>
      <c r="Z217" s="5">
        <f t="shared" ref="Z217:Z225" si="71">IF(T217=0,0,X217/T217)</f>
        <v>0.93431953611844054</v>
      </c>
    </row>
    <row r="218" spans="1:26" s="24" customFormat="1" hidden="1" outlineLevel="2" x14ac:dyDescent="0.25">
      <c r="A218" s="26"/>
      <c r="B218" s="11" t="str">
        <f>CONCATENATE("          ", "6399", " - ", "DONATION-ON CAMPUS")</f>
        <v xml:space="preserve">          6399 - DONATION-ON CAMPUS</v>
      </c>
      <c r="C218" s="11"/>
      <c r="D218" s="6">
        <v>3415.9</v>
      </c>
      <c r="E218" s="2"/>
      <c r="F218" s="7">
        <f t="shared" si="64"/>
        <v>5.5921062163269775E-3</v>
      </c>
      <c r="G218" s="2"/>
      <c r="H218" s="6">
        <v>320.8</v>
      </c>
      <c r="I218" s="2"/>
      <c r="J218" s="7">
        <f t="shared" si="65"/>
        <v>6.021072891750325E-4</v>
      </c>
      <c r="K218" s="2"/>
      <c r="L218" s="6">
        <f t="shared" si="66"/>
        <v>3095.1</v>
      </c>
      <c r="M218" s="2"/>
      <c r="N218" s="7">
        <f t="shared" si="67"/>
        <v>9.6480673316708216</v>
      </c>
      <c r="O218" s="11"/>
      <c r="P218" s="6">
        <v>9647.3799999999992</v>
      </c>
      <c r="Q218" s="2"/>
      <c r="R218" s="7">
        <f t="shared" si="68"/>
        <v>1.468384465036708E-3</v>
      </c>
      <c r="S218" s="2"/>
      <c r="T218" s="6">
        <v>4987.4799999999996</v>
      </c>
      <c r="U218" s="2"/>
      <c r="V218" s="7">
        <f t="shared" si="69"/>
        <v>7.4061898092456896E-4</v>
      </c>
      <c r="W218" s="2"/>
      <c r="X218" s="6">
        <f t="shared" si="70"/>
        <v>4659.8999999999996</v>
      </c>
      <c r="Y218" s="2"/>
      <c r="Z218" s="7">
        <f t="shared" si="71"/>
        <v>0.93431953611844054</v>
      </c>
    </row>
    <row r="219" spans="1:26" s="25" customFormat="1" outlineLevel="1" collapsed="1" x14ac:dyDescent="0.25">
      <c r="A219" s="27"/>
      <c r="B219" s="13" t="str">
        <f>CONCATENATE("     ","Employees' Appreciation                           ")</f>
        <v xml:space="preserve">     Employees' Appreciation                           </v>
      </c>
      <c r="C219" s="13"/>
      <c r="D219" s="1">
        <f>SUM(OSRRefD22_8x_0)</f>
        <v>396.51</v>
      </c>
      <c r="E219" s="1"/>
      <c r="F219" s="5">
        <f t="shared" si="64"/>
        <v>6.4911912990304457E-4</v>
      </c>
      <c r="G219" s="1"/>
      <c r="H219" s="1">
        <f>SUM(OSRRefH22_8x_0)</f>
        <v>343.57</v>
      </c>
      <c r="I219" s="1"/>
      <c r="J219" s="5">
        <f t="shared" si="65"/>
        <v>6.4484414383374656E-4</v>
      </c>
      <c r="K219" s="1"/>
      <c r="L219" s="1">
        <f t="shared" si="66"/>
        <v>52.94</v>
      </c>
      <c r="M219" s="1"/>
      <c r="N219" s="5">
        <f t="shared" si="67"/>
        <v>0.15408795878569143</v>
      </c>
      <c r="O219" s="13"/>
      <c r="P219" s="1">
        <f>SUM(OSRRefP22_8x_0)</f>
        <v>1041.6400000000001</v>
      </c>
      <c r="Q219" s="1"/>
      <c r="R219" s="5">
        <f t="shared" si="68"/>
        <v>1.5854335520740727E-4</v>
      </c>
      <c r="S219" s="1"/>
      <c r="T219" s="1">
        <f>SUM(OSRRefT22_8x_0)</f>
        <v>2820.36</v>
      </c>
      <c r="U219" s="1"/>
      <c r="V219" s="5">
        <f t="shared" si="69"/>
        <v>4.1881113288482711E-4</v>
      </c>
      <c r="W219" s="1"/>
      <c r="X219" s="1">
        <f t="shared" si="70"/>
        <v>-1778.72</v>
      </c>
      <c r="Y219" s="1"/>
      <c r="Z219" s="5">
        <f t="shared" si="71"/>
        <v>-0.63067126182473154</v>
      </c>
    </row>
    <row r="220" spans="1:26" s="24" customFormat="1" hidden="1" outlineLevel="2" x14ac:dyDescent="0.25">
      <c r="A220" s="26"/>
      <c r="B220" s="11" t="str">
        <f>CONCATENATE("          ", "6277", " - ", "EMPLOYEE APPRECIATION")</f>
        <v xml:space="preserve">          6277 - EMPLOYEE APPRECIATION</v>
      </c>
      <c r="C220" s="11"/>
      <c r="D220" s="6">
        <v>396.51</v>
      </c>
      <c r="E220" s="2"/>
      <c r="F220" s="7">
        <f t="shared" si="64"/>
        <v>6.4911912990304457E-4</v>
      </c>
      <c r="G220" s="2"/>
      <c r="H220" s="6">
        <v>343.57</v>
      </c>
      <c r="I220" s="2"/>
      <c r="J220" s="7">
        <f t="shared" si="65"/>
        <v>6.4484414383374656E-4</v>
      </c>
      <c r="K220" s="2"/>
      <c r="L220" s="6">
        <f t="shared" si="66"/>
        <v>52.94</v>
      </c>
      <c r="M220" s="2"/>
      <c r="N220" s="7">
        <f t="shared" si="67"/>
        <v>0.15408795878569143</v>
      </c>
      <c r="O220" s="11"/>
      <c r="P220" s="6">
        <v>1041.6400000000001</v>
      </c>
      <c r="Q220" s="2"/>
      <c r="R220" s="7">
        <f t="shared" si="68"/>
        <v>1.5854335520740727E-4</v>
      </c>
      <c r="S220" s="2"/>
      <c r="T220" s="6">
        <v>2820.36</v>
      </c>
      <c r="U220" s="2"/>
      <c r="V220" s="7">
        <f t="shared" si="69"/>
        <v>4.1881113288482711E-4</v>
      </c>
      <c r="W220" s="2"/>
      <c r="X220" s="6">
        <f t="shared" si="70"/>
        <v>-1778.72</v>
      </c>
      <c r="Y220" s="2"/>
      <c r="Z220" s="7">
        <f t="shared" si="71"/>
        <v>-0.63067126182473154</v>
      </c>
    </row>
    <row r="221" spans="1:26" s="25" customFormat="1" outlineLevel="1" collapsed="1" x14ac:dyDescent="0.25">
      <c r="A221" s="27"/>
      <c r="B221" s="13" t="str">
        <f>CONCATENATE("     ","Equipment Rental                                  ")</f>
        <v xml:space="preserve">     Equipment Rental                                  </v>
      </c>
      <c r="C221" s="13"/>
      <c r="D221" s="1">
        <f>SUM(OSRRefD22_9x_0)</f>
        <v>4423.12</v>
      </c>
      <c r="E221" s="1"/>
      <c r="F221" s="5">
        <f t="shared" si="64"/>
        <v>7.2410073033637341E-3</v>
      </c>
      <c r="G221" s="1"/>
      <c r="H221" s="1">
        <f>SUM(OSRRefH22_9x_0)</f>
        <v>3400.41</v>
      </c>
      <c r="I221" s="1"/>
      <c r="J221" s="5">
        <f t="shared" si="65"/>
        <v>6.38220588274212E-3</v>
      </c>
      <c r="K221" s="1"/>
      <c r="L221" s="1">
        <f t="shared" si="66"/>
        <v>1022.71</v>
      </c>
      <c r="M221" s="1"/>
      <c r="N221" s="5">
        <f t="shared" si="67"/>
        <v>0.30076079061054406</v>
      </c>
      <c r="O221" s="13"/>
      <c r="P221" s="1">
        <f>SUM(OSRRefP22_9x_0)</f>
        <v>11090.14</v>
      </c>
      <c r="Q221" s="1"/>
      <c r="R221" s="5">
        <f t="shared" si="68"/>
        <v>1.6879804974078141E-3</v>
      </c>
      <c r="S221" s="1"/>
      <c r="T221" s="1">
        <f>SUM(OSRRefT22_9x_0)</f>
        <v>17003.329999999998</v>
      </c>
      <c r="U221" s="1"/>
      <c r="V221" s="5">
        <f t="shared" si="69"/>
        <v>2.5249201875344163E-3</v>
      </c>
      <c r="W221" s="1"/>
      <c r="X221" s="1">
        <f t="shared" si="70"/>
        <v>-5913.1899999999987</v>
      </c>
      <c r="Y221" s="1"/>
      <c r="Z221" s="5">
        <f t="shared" si="71"/>
        <v>-0.3477665845454978</v>
      </c>
    </row>
    <row r="222" spans="1:26" s="24" customFormat="1" hidden="1" outlineLevel="2" x14ac:dyDescent="0.25">
      <c r="A222" s="26"/>
      <c r="B222" s="11" t="str">
        <f>CONCATENATE("          ", "6351", " - ", "EQUIPMENT RENTAL")</f>
        <v xml:space="preserve">          6351 - EQUIPMENT RENTAL</v>
      </c>
      <c r="C222" s="11"/>
      <c r="D222" s="6">
        <v>4423.12</v>
      </c>
      <c r="E222" s="2"/>
      <c r="F222" s="7">
        <f t="shared" si="64"/>
        <v>7.2410073033637341E-3</v>
      </c>
      <c r="G222" s="2"/>
      <c r="H222" s="6">
        <v>3400.41</v>
      </c>
      <c r="I222" s="2"/>
      <c r="J222" s="7">
        <f t="shared" si="65"/>
        <v>6.38220588274212E-3</v>
      </c>
      <c r="K222" s="2"/>
      <c r="L222" s="6">
        <f t="shared" si="66"/>
        <v>1022.71</v>
      </c>
      <c r="M222" s="2"/>
      <c r="N222" s="7">
        <f t="shared" si="67"/>
        <v>0.30076079061054406</v>
      </c>
      <c r="O222" s="11"/>
      <c r="P222" s="6">
        <v>11090.14</v>
      </c>
      <c r="Q222" s="2"/>
      <c r="R222" s="7">
        <f t="shared" si="68"/>
        <v>1.6879804974078141E-3</v>
      </c>
      <c r="S222" s="2"/>
      <c r="T222" s="6">
        <v>17003.329999999998</v>
      </c>
      <c r="U222" s="2"/>
      <c r="V222" s="7">
        <f t="shared" si="69"/>
        <v>2.5249201875344163E-3</v>
      </c>
      <c r="W222" s="2"/>
      <c r="X222" s="6">
        <f t="shared" si="70"/>
        <v>-5913.1899999999987</v>
      </c>
      <c r="Y222" s="2"/>
      <c r="Z222" s="7">
        <f t="shared" si="71"/>
        <v>-0.3477665845454978</v>
      </c>
    </row>
    <row r="223" spans="1:26" s="25" customFormat="1" outlineLevel="1" collapsed="1" x14ac:dyDescent="0.25">
      <c r="A223" s="27"/>
      <c r="B223" s="13" t="str">
        <f>CONCATENATE("     ","Freight out/Postage                               ")</f>
        <v xml:space="preserve">     Freight out/Postage                               </v>
      </c>
      <c r="C223" s="13"/>
      <c r="D223" s="1">
        <f>SUM(OSRRefD22_10x_0)</f>
        <v>8783.58</v>
      </c>
      <c r="E223" s="1"/>
      <c r="F223" s="5">
        <f t="shared" si="64"/>
        <v>1.437943508873366E-2</v>
      </c>
      <c r="G223" s="1"/>
      <c r="H223" s="1">
        <f>SUM(OSRRefH22_10x_0)</f>
        <v>2343.7899999999995</v>
      </c>
      <c r="I223" s="1"/>
      <c r="J223" s="5">
        <f t="shared" si="65"/>
        <v>4.3990431524175465E-3</v>
      </c>
      <c r="K223" s="1"/>
      <c r="L223" s="1">
        <f t="shared" si="66"/>
        <v>6439.7900000000009</v>
      </c>
      <c r="M223" s="1"/>
      <c r="N223" s="5">
        <f t="shared" si="67"/>
        <v>2.7475968410139142</v>
      </c>
      <c r="O223" s="13"/>
      <c r="P223" s="1">
        <f>SUM(OSRRefP22_10x_0)</f>
        <v>4715.93</v>
      </c>
      <c r="Q223" s="1"/>
      <c r="R223" s="5">
        <f t="shared" si="68"/>
        <v>7.1779056595682594E-4</v>
      </c>
      <c r="S223" s="1"/>
      <c r="T223" s="1">
        <f>SUM(OSRRefT22_10x_0)</f>
        <v>10005.700000000001</v>
      </c>
      <c r="U223" s="1"/>
      <c r="V223" s="5">
        <f t="shared" si="69"/>
        <v>1.4858027174919921E-3</v>
      </c>
      <c r="W223" s="1"/>
      <c r="X223" s="1">
        <f t="shared" si="70"/>
        <v>-5289.77</v>
      </c>
      <c r="Y223" s="1"/>
      <c r="Z223" s="5">
        <f t="shared" si="71"/>
        <v>-0.5286756548767203</v>
      </c>
    </row>
    <row r="224" spans="1:26" s="24" customFormat="1" hidden="1" outlineLevel="2" x14ac:dyDescent="0.25">
      <c r="A224" s="26"/>
      <c r="B224" s="11" t="str">
        <f>CONCATENATE("          ", "6305", " - ", "FREIGHT OUT")</f>
        <v xml:space="preserve">          6305 - FREIGHT OUT</v>
      </c>
      <c r="C224" s="11"/>
      <c r="D224" s="6">
        <v>9242.9500000000007</v>
      </c>
      <c r="E224" s="2"/>
      <c r="F224" s="7">
        <f t="shared" si="64"/>
        <v>1.5131461152902438E-2</v>
      </c>
      <c r="G224" s="2"/>
      <c r="H224" s="6">
        <v>5368.44</v>
      </c>
      <c r="I224" s="2"/>
      <c r="J224" s="7">
        <f t="shared" si="65"/>
        <v>1.0075987704173351E-2</v>
      </c>
      <c r="K224" s="2"/>
      <c r="L224" s="6">
        <f t="shared" si="66"/>
        <v>3874.5100000000011</v>
      </c>
      <c r="M224" s="2"/>
      <c r="N224" s="7">
        <f t="shared" si="67"/>
        <v>0.72171990373367334</v>
      </c>
      <c r="O224" s="11"/>
      <c r="P224" s="6">
        <v>28763.53</v>
      </c>
      <c r="Q224" s="2"/>
      <c r="R224" s="7">
        <f t="shared" si="68"/>
        <v>4.3779679676365299E-3</v>
      </c>
      <c r="S224" s="2"/>
      <c r="T224" s="6">
        <v>33165.760000000002</v>
      </c>
      <c r="U224" s="2"/>
      <c r="V224" s="7">
        <f t="shared" si="69"/>
        <v>4.9249704004404697E-3</v>
      </c>
      <c r="W224" s="2"/>
      <c r="X224" s="6">
        <f t="shared" si="70"/>
        <v>-4402.2300000000032</v>
      </c>
      <c r="Y224" s="2"/>
      <c r="Z224" s="7">
        <f t="shared" si="71"/>
        <v>-0.13273418127611136</v>
      </c>
    </row>
    <row r="225" spans="1:26" s="24" customFormat="1" hidden="1" outlineLevel="2" x14ac:dyDescent="0.25">
      <c r="A225" s="26"/>
      <c r="B225" s="11" t="str">
        <f>CONCATENATE("          ", "6307", " - ", "POSTAGE")</f>
        <v xml:space="preserve">          6307 - POSTAGE</v>
      </c>
      <c r="C225" s="11"/>
      <c r="D225" s="6">
        <v>-459.37</v>
      </c>
      <c r="E225" s="2"/>
      <c r="F225" s="7">
        <f t="shared" si="64"/>
        <v>-7.5202606416877645E-4</v>
      </c>
      <c r="G225" s="2"/>
      <c r="H225" s="6">
        <v>-3024.65</v>
      </c>
      <c r="I225" s="2"/>
      <c r="J225" s="7">
        <f t="shared" si="65"/>
        <v>-5.676944551755804E-3</v>
      </c>
      <c r="K225" s="2"/>
      <c r="L225" s="6">
        <f t="shared" si="66"/>
        <v>2565.2800000000002</v>
      </c>
      <c r="M225" s="2"/>
      <c r="N225" s="7">
        <f t="shared" si="67"/>
        <v>-0.84812457639726913</v>
      </c>
      <c r="O225" s="11"/>
      <c r="P225" s="6">
        <v>-24047.599999999999</v>
      </c>
      <c r="Q225" s="2"/>
      <c r="R225" s="7">
        <f t="shared" si="68"/>
        <v>-3.660177401679704E-3</v>
      </c>
      <c r="S225" s="2"/>
      <c r="T225" s="6">
        <v>-23160.06</v>
      </c>
      <c r="U225" s="2"/>
      <c r="V225" s="7">
        <f t="shared" si="69"/>
        <v>-3.4391676829484781E-3</v>
      </c>
      <c r="W225" s="2"/>
      <c r="X225" s="6">
        <f t="shared" si="70"/>
        <v>-887.53999999999724</v>
      </c>
      <c r="Y225" s="2"/>
      <c r="Z225" s="7">
        <f t="shared" si="71"/>
        <v>3.8322007801361357E-2</v>
      </c>
    </row>
    <row r="226" spans="1:26" s="25" customFormat="1" outlineLevel="1" collapsed="1" x14ac:dyDescent="0.25">
      <c r="A226" s="27"/>
      <c r="B226" s="13" t="str">
        <f>CONCATENATE("     ","General                                           ")</f>
        <v xml:space="preserve">     General                                           </v>
      </c>
      <c r="C226" s="13"/>
      <c r="D226" s="1">
        <f>SUM(OSRRefD22_11x_0)</f>
        <v>12059.82</v>
      </c>
      <c r="E226" s="1"/>
      <c r="F226" s="5">
        <f t="shared" ref="F226:F239" si="72">IF(D$12=0,0,D226/D$12)</f>
        <v>1.9742906522376067E-2</v>
      </c>
      <c r="G226" s="1"/>
      <c r="H226" s="1">
        <f>SUM(OSRRefH22_11x_0)</f>
        <v>14262.75</v>
      </c>
      <c r="I226" s="1"/>
      <c r="J226" s="5">
        <f t="shared" ref="J226:J239" si="73">IF(H$12=0,0,H226/H$12)</f>
        <v>2.6769656292647114E-2</v>
      </c>
      <c r="K226" s="1"/>
      <c r="L226" s="1">
        <f t="shared" ref="L226:L239" si="74">+D226-H226</f>
        <v>-2202.9300000000003</v>
      </c>
      <c r="M226" s="1"/>
      <c r="N226" s="5">
        <f t="shared" ref="N226:N239" si="75">IF(H226=0,0,L226/H226)</f>
        <v>-0.15445338381448179</v>
      </c>
      <c r="O226" s="13"/>
      <c r="P226" s="1">
        <f>SUM(OSRRefP22_11x_0)</f>
        <v>-3452.97</v>
      </c>
      <c r="Q226" s="1"/>
      <c r="R226" s="5">
        <f t="shared" ref="R226:R239" si="76">IF(P$12=0,0,P226/P$12)</f>
        <v>-5.2556108562509221E-4</v>
      </c>
      <c r="S226" s="1"/>
      <c r="T226" s="1">
        <f>SUM(OSRRefT22_11x_0)</f>
        <v>14229.75</v>
      </c>
      <c r="U226" s="1"/>
      <c r="V226" s="5">
        <f t="shared" ref="V226:V239" si="77">IF(T$12=0,0,T226/T$12)</f>
        <v>2.1130556801854617E-3</v>
      </c>
      <c r="W226" s="1"/>
      <c r="X226" s="1">
        <f t="shared" ref="X226:X239" si="78">+P226-T226</f>
        <v>-17682.72</v>
      </c>
      <c r="Y226" s="1"/>
      <c r="Z226" s="5">
        <f t="shared" ref="Z226:Z239" si="79">IF(T226=0,0,X226/T226)</f>
        <v>-1.2426585147314606</v>
      </c>
    </row>
    <row r="227" spans="1:26" s="24" customFormat="1" hidden="1" outlineLevel="2" x14ac:dyDescent="0.25">
      <c r="A227" s="26"/>
      <c r="B227" s="11" t="str">
        <f>CONCATENATE("          ", "6279", " - ", "GENERAL EXPENSE")</f>
        <v xml:space="preserve">          6279 - GENERAL EXPENSE</v>
      </c>
      <c r="C227" s="11"/>
      <c r="D227" s="6">
        <v>12059.82</v>
      </c>
      <c r="E227" s="2"/>
      <c r="F227" s="7">
        <f t="shared" si="72"/>
        <v>1.9742906522376067E-2</v>
      </c>
      <c r="G227" s="2"/>
      <c r="H227" s="6">
        <v>14262.75</v>
      </c>
      <c r="I227" s="2"/>
      <c r="J227" s="7">
        <f t="shared" si="73"/>
        <v>2.6769656292647114E-2</v>
      </c>
      <c r="K227" s="2"/>
      <c r="L227" s="6">
        <f t="shared" si="74"/>
        <v>-2202.9300000000003</v>
      </c>
      <c r="M227" s="2"/>
      <c r="N227" s="7">
        <f t="shared" si="75"/>
        <v>-0.15445338381448179</v>
      </c>
      <c r="O227" s="11"/>
      <c r="P227" s="6">
        <v>-3452.97</v>
      </c>
      <c r="Q227" s="2"/>
      <c r="R227" s="7">
        <f t="shared" si="76"/>
        <v>-5.2556108562509221E-4</v>
      </c>
      <c r="S227" s="2"/>
      <c r="T227" s="6">
        <v>14229.75</v>
      </c>
      <c r="U227" s="2"/>
      <c r="V227" s="7">
        <f t="shared" si="77"/>
        <v>2.1130556801854617E-3</v>
      </c>
      <c r="W227" s="2"/>
      <c r="X227" s="6">
        <f t="shared" si="78"/>
        <v>-17682.72</v>
      </c>
      <c r="Y227" s="2"/>
      <c r="Z227" s="7">
        <f t="shared" si="79"/>
        <v>-1.2426585147314606</v>
      </c>
    </row>
    <row r="228" spans="1:26" s="25" customFormat="1" outlineLevel="1" collapsed="1" x14ac:dyDescent="0.25">
      <c r="A228" s="27"/>
      <c r="B228" s="13" t="str">
        <f>CONCATENATE("     ","Insurance                                         ")</f>
        <v xml:space="preserve">     Insurance                                         </v>
      </c>
      <c r="C228" s="13"/>
      <c r="D228" s="1">
        <f>SUM(OSRRefD22_12x_0)</f>
        <v>4044.74</v>
      </c>
      <c r="E228" s="1"/>
      <c r="F228" s="5">
        <f t="shared" si="72"/>
        <v>6.6215684585106058E-3</v>
      </c>
      <c r="G228" s="1"/>
      <c r="H228" s="1">
        <f>SUM(OSRRefH22_12x_0)</f>
        <v>3809.97</v>
      </c>
      <c r="I228" s="1"/>
      <c r="J228" s="5">
        <f t="shared" si="73"/>
        <v>7.1509061986851571E-3</v>
      </c>
      <c r="K228" s="1"/>
      <c r="L228" s="1">
        <f t="shared" si="74"/>
        <v>234.76999999999998</v>
      </c>
      <c r="M228" s="1"/>
      <c r="N228" s="5">
        <f t="shared" si="75"/>
        <v>6.1619907768302638E-2</v>
      </c>
      <c r="O228" s="13"/>
      <c r="P228" s="1">
        <f>SUM(OSRRefP22_12x_0)</f>
        <v>20223.7</v>
      </c>
      <c r="Q228" s="1"/>
      <c r="R228" s="5">
        <f t="shared" si="76"/>
        <v>3.0781587234630413E-3</v>
      </c>
      <c r="S228" s="1"/>
      <c r="T228" s="1">
        <f>SUM(OSRRefT22_12x_0)</f>
        <v>19049.849999999999</v>
      </c>
      <c r="U228" s="1"/>
      <c r="V228" s="5">
        <f t="shared" si="77"/>
        <v>2.8288194626877499E-3</v>
      </c>
      <c r="W228" s="1"/>
      <c r="X228" s="1">
        <f t="shared" si="78"/>
        <v>1173.8500000000022</v>
      </c>
      <c r="Y228" s="1"/>
      <c r="Z228" s="5">
        <f t="shared" si="79"/>
        <v>6.1619907768302756E-2</v>
      </c>
    </row>
    <row r="229" spans="1:26" s="24" customFormat="1" hidden="1" outlineLevel="2" x14ac:dyDescent="0.25">
      <c r="A229" s="26"/>
      <c r="B229" s="11" t="str">
        <f>CONCATENATE("          ", "6314", " - ", "LIABILITY INSURANCE")</f>
        <v xml:space="preserve">          6314 - LIABILITY INSURANCE</v>
      </c>
      <c r="C229" s="11"/>
      <c r="D229" s="6">
        <v>4044.74</v>
      </c>
      <c r="E229" s="2"/>
      <c r="F229" s="7">
        <f t="shared" si="72"/>
        <v>6.6215684585106058E-3</v>
      </c>
      <c r="G229" s="2"/>
      <c r="H229" s="6">
        <v>3809.97</v>
      </c>
      <c r="I229" s="2"/>
      <c r="J229" s="7">
        <f t="shared" si="73"/>
        <v>7.1509061986851571E-3</v>
      </c>
      <c r="K229" s="2"/>
      <c r="L229" s="6">
        <f t="shared" si="74"/>
        <v>234.76999999999998</v>
      </c>
      <c r="M229" s="2"/>
      <c r="N229" s="7">
        <f t="shared" si="75"/>
        <v>6.1619907768302638E-2</v>
      </c>
      <c r="O229" s="11"/>
      <c r="P229" s="6">
        <v>20223.7</v>
      </c>
      <c r="Q229" s="2"/>
      <c r="R229" s="7">
        <f t="shared" si="76"/>
        <v>3.0781587234630413E-3</v>
      </c>
      <c r="S229" s="2"/>
      <c r="T229" s="6">
        <v>19049.849999999999</v>
      </c>
      <c r="U229" s="2"/>
      <c r="V229" s="7">
        <f t="shared" si="77"/>
        <v>2.8288194626877499E-3</v>
      </c>
      <c r="W229" s="2"/>
      <c r="X229" s="6">
        <f t="shared" si="78"/>
        <v>1173.8500000000022</v>
      </c>
      <c r="Y229" s="2"/>
      <c r="Z229" s="7">
        <f t="shared" si="79"/>
        <v>6.1619907768302756E-2</v>
      </c>
    </row>
    <row r="230" spans="1:26" s="25" customFormat="1" outlineLevel="1" collapsed="1" x14ac:dyDescent="0.25">
      <c r="A230" s="27"/>
      <c r="B230" s="13" t="str">
        <f>CONCATENATE("     ","Inventory Adjustment                              ")</f>
        <v xml:space="preserve">     Inventory Adjustment                              </v>
      </c>
      <c r="C230" s="13"/>
      <c r="D230" s="1">
        <f>SUM(OSRRefD22_13x_0)</f>
        <v>4250</v>
      </c>
      <c r="E230" s="1"/>
      <c r="F230" s="5">
        <f t="shared" si="72"/>
        <v>6.9575957783862682E-3</v>
      </c>
      <c r="G230" s="1"/>
      <c r="H230" s="1">
        <f>SUM(OSRRefH22_13x_0)</f>
        <v>10000</v>
      </c>
      <c r="I230" s="1"/>
      <c r="J230" s="5">
        <f t="shared" si="73"/>
        <v>1.8768930460568344E-2</v>
      </c>
      <c r="K230" s="1"/>
      <c r="L230" s="1">
        <f t="shared" si="74"/>
        <v>-5750</v>
      </c>
      <c r="M230" s="1"/>
      <c r="N230" s="5">
        <f t="shared" si="75"/>
        <v>-0.57499999999999996</v>
      </c>
      <c r="O230" s="13"/>
      <c r="P230" s="1">
        <f>SUM(OSRRefP22_13x_0)</f>
        <v>21150</v>
      </c>
      <c r="Q230" s="1"/>
      <c r="R230" s="5">
        <f t="shared" si="76"/>
        <v>3.2191466942865709E-3</v>
      </c>
      <c r="S230" s="1"/>
      <c r="T230" s="1">
        <f>SUM(OSRRefT22_13x_0)</f>
        <v>50000</v>
      </c>
      <c r="U230" s="1"/>
      <c r="V230" s="5">
        <f t="shared" si="77"/>
        <v>7.4247814620266046E-3</v>
      </c>
      <c r="W230" s="1"/>
      <c r="X230" s="1">
        <f t="shared" si="78"/>
        <v>-28850</v>
      </c>
      <c r="Y230" s="1"/>
      <c r="Z230" s="5">
        <f t="shared" si="79"/>
        <v>-0.57699999999999996</v>
      </c>
    </row>
    <row r="231" spans="1:26" s="24" customFormat="1" hidden="1" outlineLevel="2" x14ac:dyDescent="0.25">
      <c r="A231" s="26"/>
      <c r="B231" s="11" t="str">
        <f>CONCATENATE("          ", "6408", " - ", "INVENTORY ADJUSTMENT")</f>
        <v xml:space="preserve">          6408 - INVENTORY ADJUSTMENT</v>
      </c>
      <c r="C231" s="11"/>
      <c r="D231" s="6">
        <v>4250</v>
      </c>
      <c r="E231" s="2"/>
      <c r="F231" s="7">
        <f t="shared" si="72"/>
        <v>6.9575957783862682E-3</v>
      </c>
      <c r="G231" s="2"/>
      <c r="H231" s="6">
        <v>10000</v>
      </c>
      <c r="I231" s="2"/>
      <c r="J231" s="7">
        <f t="shared" si="73"/>
        <v>1.8768930460568344E-2</v>
      </c>
      <c r="K231" s="2"/>
      <c r="L231" s="6">
        <f t="shared" si="74"/>
        <v>-5750</v>
      </c>
      <c r="M231" s="2"/>
      <c r="N231" s="7">
        <f t="shared" si="75"/>
        <v>-0.57499999999999996</v>
      </c>
      <c r="O231" s="11"/>
      <c r="P231" s="6">
        <v>21150</v>
      </c>
      <c r="Q231" s="2"/>
      <c r="R231" s="7">
        <f t="shared" si="76"/>
        <v>3.2191466942865709E-3</v>
      </c>
      <c r="S231" s="2"/>
      <c r="T231" s="6">
        <v>50000</v>
      </c>
      <c r="U231" s="2"/>
      <c r="V231" s="7">
        <f t="shared" si="77"/>
        <v>7.4247814620266046E-3</v>
      </c>
      <c r="W231" s="2"/>
      <c r="X231" s="6">
        <f t="shared" si="78"/>
        <v>-28850</v>
      </c>
      <c r="Y231" s="2"/>
      <c r="Z231" s="7">
        <f t="shared" si="79"/>
        <v>-0.57699999999999996</v>
      </c>
    </row>
    <row r="232" spans="1:26" s="25" customFormat="1" outlineLevel="1" collapsed="1" x14ac:dyDescent="0.25">
      <c r="A232" s="27"/>
      <c r="B232" s="13" t="str">
        <f>CONCATENATE("     ","Professional Services                             ")</f>
        <v xml:space="preserve">     Professional Services                             </v>
      </c>
      <c r="C232" s="13"/>
      <c r="D232" s="1">
        <f>SUM(OSRRefD22_14x_0)</f>
        <v>0</v>
      </c>
      <c r="E232" s="1"/>
      <c r="F232" s="5">
        <f t="shared" si="72"/>
        <v>0</v>
      </c>
      <c r="G232" s="1"/>
      <c r="H232" s="1">
        <f>SUM(OSRRefH22_14x_0)</f>
        <v>0</v>
      </c>
      <c r="I232" s="1"/>
      <c r="J232" s="5">
        <f t="shared" si="73"/>
        <v>0</v>
      </c>
      <c r="K232" s="1"/>
      <c r="L232" s="1">
        <f t="shared" si="74"/>
        <v>0</v>
      </c>
      <c r="M232" s="1"/>
      <c r="N232" s="5">
        <f t="shared" si="75"/>
        <v>0</v>
      </c>
      <c r="O232" s="13"/>
      <c r="P232" s="1">
        <f>SUM(OSRRefP22_14x_0)</f>
        <v>6158.41</v>
      </c>
      <c r="Q232" s="1"/>
      <c r="R232" s="5">
        <f t="shared" si="76"/>
        <v>9.3734398078304309E-4</v>
      </c>
      <c r="S232" s="1"/>
      <c r="T232" s="1">
        <f>SUM(OSRRefT22_14x_0)</f>
        <v>8276.43</v>
      </c>
      <c r="U232" s="1"/>
      <c r="V232" s="5">
        <f t="shared" si="77"/>
        <v>1.229013680715217E-3</v>
      </c>
      <c r="W232" s="1"/>
      <c r="X232" s="1">
        <f t="shared" si="78"/>
        <v>-2118.0200000000004</v>
      </c>
      <c r="Y232" s="1"/>
      <c r="Z232" s="5">
        <f t="shared" si="79"/>
        <v>-0.25590985485287743</v>
      </c>
    </row>
    <row r="233" spans="1:26" s="24" customFormat="1" hidden="1" outlineLevel="2" x14ac:dyDescent="0.25">
      <c r="A233" s="26"/>
      <c r="B233" s="11" t="str">
        <f>CONCATENATE("          ", "6336", " - ", "PROFESSIONAL SERVICES")</f>
        <v xml:space="preserve">          6336 - PROFESSIONAL SERVICES</v>
      </c>
      <c r="C233" s="11"/>
      <c r="D233" s="6"/>
      <c r="E233" s="2"/>
      <c r="F233" s="7">
        <f t="shared" si="72"/>
        <v>0</v>
      </c>
      <c r="G233" s="2"/>
      <c r="H233" s="6"/>
      <c r="I233" s="2"/>
      <c r="J233" s="7">
        <f t="shared" si="73"/>
        <v>0</v>
      </c>
      <c r="K233" s="2"/>
      <c r="L233" s="6">
        <f t="shared" si="74"/>
        <v>0</v>
      </c>
      <c r="M233" s="2"/>
      <c r="N233" s="7">
        <f t="shared" si="75"/>
        <v>0</v>
      </c>
      <c r="O233" s="11"/>
      <c r="P233" s="6">
        <v>6158.41</v>
      </c>
      <c r="Q233" s="2"/>
      <c r="R233" s="7">
        <f t="shared" si="76"/>
        <v>9.3734398078304309E-4</v>
      </c>
      <c r="S233" s="2"/>
      <c r="T233" s="6">
        <v>8276.43</v>
      </c>
      <c r="U233" s="2"/>
      <c r="V233" s="7">
        <f t="shared" si="77"/>
        <v>1.229013680715217E-3</v>
      </c>
      <c r="W233" s="2"/>
      <c r="X233" s="6">
        <f t="shared" si="78"/>
        <v>-2118.0200000000004</v>
      </c>
      <c r="Y233" s="2"/>
      <c r="Z233" s="7">
        <f t="shared" si="79"/>
        <v>-0.25590985485287743</v>
      </c>
    </row>
    <row r="234" spans="1:26" s="25" customFormat="1" outlineLevel="1" collapsed="1" x14ac:dyDescent="0.25">
      <c r="A234" s="27"/>
      <c r="B234" s="13" t="str">
        <f>CONCATENATE("     ","Rent                                              ")</f>
        <v xml:space="preserve">     Rent                                              </v>
      </c>
      <c r="C234" s="13"/>
      <c r="D234" s="1">
        <f>SUM(OSRRefD22_15x_0)</f>
        <v>6100</v>
      </c>
      <c r="E234" s="1"/>
      <c r="F234" s="5">
        <f t="shared" si="72"/>
        <v>9.9861962936838196E-3</v>
      </c>
      <c r="G234" s="1"/>
      <c r="H234" s="1">
        <f>SUM(OSRRefH22_15x_0)</f>
        <v>6099.77</v>
      </c>
      <c r="I234" s="1"/>
      <c r="J234" s="5">
        <f t="shared" si="73"/>
        <v>1.1448615895546098E-2</v>
      </c>
      <c r="K234" s="1"/>
      <c r="L234" s="1">
        <f t="shared" si="74"/>
        <v>0.22999999999956344</v>
      </c>
      <c r="M234" s="1"/>
      <c r="N234" s="5">
        <f t="shared" si="75"/>
        <v>3.7706339747164797E-5</v>
      </c>
      <c r="O234" s="13"/>
      <c r="P234" s="1">
        <f>SUM(OSRRefP22_15x_0)</f>
        <v>30500</v>
      </c>
      <c r="Q234" s="1"/>
      <c r="R234" s="5">
        <f t="shared" si="76"/>
        <v>4.6422682825409184E-3</v>
      </c>
      <c r="S234" s="1"/>
      <c r="T234" s="1">
        <f>SUM(OSRRefT22_15x_0)</f>
        <v>31400.85</v>
      </c>
      <c r="U234" s="1"/>
      <c r="V234" s="5">
        <f t="shared" si="77"/>
        <v>4.6628889794375619E-3</v>
      </c>
      <c r="W234" s="1"/>
      <c r="X234" s="1">
        <f t="shared" si="78"/>
        <v>-900.84999999999854</v>
      </c>
      <c r="Y234" s="1"/>
      <c r="Z234" s="5">
        <f t="shared" si="79"/>
        <v>-2.8688713840548857E-2</v>
      </c>
    </row>
    <row r="235" spans="1:26" s="24" customFormat="1" hidden="1" outlineLevel="2" x14ac:dyDescent="0.25">
      <c r="A235" s="26"/>
      <c r="B235" s="11" t="str">
        <f>CONCATENATE("          ", "6273", " - ", "RENT")</f>
        <v xml:space="preserve">          6273 - RENT</v>
      </c>
      <c r="C235" s="11"/>
      <c r="D235" s="6">
        <v>6100</v>
      </c>
      <c r="E235" s="2"/>
      <c r="F235" s="7">
        <f t="shared" si="72"/>
        <v>9.9861962936838196E-3</v>
      </c>
      <c r="G235" s="2"/>
      <c r="H235" s="6">
        <v>6099.77</v>
      </c>
      <c r="I235" s="2"/>
      <c r="J235" s="7">
        <f t="shared" si="73"/>
        <v>1.1448615895546098E-2</v>
      </c>
      <c r="K235" s="2"/>
      <c r="L235" s="6">
        <f t="shared" si="74"/>
        <v>0.22999999999956344</v>
      </c>
      <c r="M235" s="2"/>
      <c r="N235" s="7">
        <f t="shared" si="75"/>
        <v>3.7706339747164797E-5</v>
      </c>
      <c r="O235" s="11"/>
      <c r="P235" s="6">
        <v>30500</v>
      </c>
      <c r="Q235" s="2"/>
      <c r="R235" s="7">
        <f t="shared" si="76"/>
        <v>4.6422682825409184E-3</v>
      </c>
      <c r="S235" s="2"/>
      <c r="T235" s="6">
        <v>31400.85</v>
      </c>
      <c r="U235" s="2"/>
      <c r="V235" s="7">
        <f t="shared" si="77"/>
        <v>4.6628889794375619E-3</v>
      </c>
      <c r="W235" s="2"/>
      <c r="X235" s="6">
        <f t="shared" si="78"/>
        <v>-900.84999999999854</v>
      </c>
      <c r="Y235" s="2"/>
      <c r="Z235" s="7">
        <f t="shared" si="79"/>
        <v>-2.8688713840548857E-2</v>
      </c>
    </row>
    <row r="236" spans="1:26" s="25" customFormat="1" outlineLevel="1" collapsed="1" x14ac:dyDescent="0.25">
      <c r="A236" s="27"/>
      <c r="B236" s="13" t="str">
        <f>CONCATENATE("     ","Repair and Maintenance                            ")</f>
        <v xml:space="preserve">     Repair and Maintenance                            </v>
      </c>
      <c r="C236" s="13"/>
      <c r="D236" s="1">
        <f>SUM(OSRRefD22_16x_0)</f>
        <v>5260.4400000000005</v>
      </c>
      <c r="E236" s="1"/>
      <c r="F236" s="5">
        <f t="shared" si="72"/>
        <v>8.6117682674010029E-3</v>
      </c>
      <c r="G236" s="1"/>
      <c r="H236" s="1">
        <f>SUM(OSRRefH22_16x_0)</f>
        <v>19676.760000000002</v>
      </c>
      <c r="I236" s="1"/>
      <c r="J236" s="5">
        <f t="shared" si="73"/>
        <v>3.693117401292928E-2</v>
      </c>
      <c r="K236" s="1"/>
      <c r="L236" s="1">
        <f t="shared" si="74"/>
        <v>-14416.320000000002</v>
      </c>
      <c r="M236" s="1"/>
      <c r="N236" s="5">
        <f t="shared" si="75"/>
        <v>-0.73265720575948479</v>
      </c>
      <c r="O236" s="13"/>
      <c r="P236" s="1">
        <f>SUM(OSRRefP22_16x_0)</f>
        <v>70201.75</v>
      </c>
      <c r="Q236" s="1"/>
      <c r="R236" s="5">
        <f t="shared" si="76"/>
        <v>1.0685093685372685E-2</v>
      </c>
      <c r="S236" s="1"/>
      <c r="T236" s="1">
        <f>SUM(OSRRefT22_16x_0)</f>
        <v>114911.23999999999</v>
      </c>
      <c r="U236" s="1"/>
      <c r="V236" s="5">
        <f t="shared" si="77"/>
        <v>1.70638168906098E-2</v>
      </c>
      <c r="W236" s="1"/>
      <c r="X236" s="1">
        <f t="shared" si="78"/>
        <v>-44709.489999999991</v>
      </c>
      <c r="Y236" s="1"/>
      <c r="Z236" s="5">
        <f t="shared" si="79"/>
        <v>-0.3890784748297903</v>
      </c>
    </row>
    <row r="237" spans="1:26" s="24" customFormat="1" hidden="1" outlineLevel="2" x14ac:dyDescent="0.25">
      <c r="A237" s="26"/>
      <c r="B237" s="11" t="str">
        <f>CONCATENATE("          ", "6371", " - ", "COMPUTER SOFTWARE MAINTENANCE")</f>
        <v xml:space="preserve">          6371 - COMPUTER SOFTWARE MAINTENANCE</v>
      </c>
      <c r="C237" s="11"/>
      <c r="D237" s="6">
        <v>601</v>
      </c>
      <c r="E237" s="2"/>
      <c r="F237" s="7">
        <f t="shared" si="72"/>
        <v>9.8388589713179929E-4</v>
      </c>
      <c r="G237" s="2"/>
      <c r="H237" s="6">
        <v>601</v>
      </c>
      <c r="I237" s="2"/>
      <c r="J237" s="7">
        <f t="shared" si="73"/>
        <v>1.1280127206801575E-3</v>
      </c>
      <c r="K237" s="2"/>
      <c r="L237" s="6">
        <f t="shared" si="74"/>
        <v>0</v>
      </c>
      <c r="M237" s="2"/>
      <c r="N237" s="7">
        <f t="shared" si="75"/>
        <v>0</v>
      </c>
      <c r="O237" s="11"/>
      <c r="P237" s="6">
        <v>13352.4</v>
      </c>
      <c r="Q237" s="2"/>
      <c r="R237" s="7">
        <f t="shared" si="76"/>
        <v>2.0323089513376836E-3</v>
      </c>
      <c r="S237" s="2"/>
      <c r="T237" s="6">
        <v>49436.83</v>
      </c>
      <c r="U237" s="2"/>
      <c r="V237" s="7">
        <f t="shared" si="77"/>
        <v>7.3411531785072147E-3</v>
      </c>
      <c r="W237" s="2"/>
      <c r="X237" s="6">
        <f t="shared" si="78"/>
        <v>-36084.43</v>
      </c>
      <c r="Y237" s="2"/>
      <c r="Z237" s="7">
        <f t="shared" si="79"/>
        <v>-0.72990986679364356</v>
      </c>
    </row>
    <row r="238" spans="1:26" s="24" customFormat="1" hidden="1" outlineLevel="2" x14ac:dyDescent="0.25">
      <c r="A238" s="26"/>
      <c r="B238" s="11" t="str">
        <f>CONCATENATE("          ", "6373", " - ", "MAINTENANCE CONTRACTS")</f>
        <v xml:space="preserve">          6373 - MAINTENANCE CONTRACTS</v>
      </c>
      <c r="C238" s="11"/>
      <c r="D238" s="6">
        <v>1461.73</v>
      </c>
      <c r="E238" s="2"/>
      <c r="F238" s="7">
        <f t="shared" si="72"/>
        <v>2.392970935797779E-3</v>
      </c>
      <c r="G238" s="2"/>
      <c r="H238" s="6">
        <v>16039.7</v>
      </c>
      <c r="I238" s="2"/>
      <c r="J238" s="7">
        <f t="shared" si="73"/>
        <v>3.0104801390837807E-2</v>
      </c>
      <c r="K238" s="2"/>
      <c r="L238" s="6">
        <f t="shared" si="74"/>
        <v>-14577.970000000001</v>
      </c>
      <c r="M238" s="2"/>
      <c r="N238" s="7">
        <f t="shared" si="75"/>
        <v>-0.90886799628421977</v>
      </c>
      <c r="O238" s="11"/>
      <c r="P238" s="6">
        <v>31837.919999999998</v>
      </c>
      <c r="Q238" s="2"/>
      <c r="R238" s="7">
        <f t="shared" si="76"/>
        <v>4.8459070884614795E-3</v>
      </c>
      <c r="S238" s="2"/>
      <c r="T238" s="6">
        <v>48911.85</v>
      </c>
      <c r="U238" s="2"/>
      <c r="V238" s="7">
        <f t="shared" si="77"/>
        <v>7.2631959430685192E-3</v>
      </c>
      <c r="W238" s="2"/>
      <c r="X238" s="6">
        <f t="shared" si="78"/>
        <v>-17073.93</v>
      </c>
      <c r="Y238" s="2"/>
      <c r="Z238" s="7">
        <f t="shared" si="79"/>
        <v>-0.34907553077628428</v>
      </c>
    </row>
    <row r="239" spans="1:26" s="24" customFormat="1" hidden="1" outlineLevel="2" x14ac:dyDescent="0.25">
      <c r="A239" s="26"/>
      <c r="B239" s="11" t="str">
        <f>CONCATENATE("          ", "6375", " - ", "OUTSIDE REPAIRS &amp; MAINTENANCE")</f>
        <v xml:space="preserve">          6375 - OUTSIDE REPAIRS &amp; MAINTENANCE</v>
      </c>
      <c r="C239" s="11"/>
      <c r="D239" s="6">
        <v>3197.71</v>
      </c>
      <c r="E239" s="2"/>
      <c r="F239" s="7">
        <f t="shared" si="72"/>
        <v>5.2349114344714242E-3</v>
      </c>
      <c r="G239" s="2"/>
      <c r="H239" s="6">
        <v>3036.06</v>
      </c>
      <c r="I239" s="2"/>
      <c r="J239" s="7">
        <f t="shared" si="73"/>
        <v>5.698359901411312E-3</v>
      </c>
      <c r="K239" s="2"/>
      <c r="L239" s="6">
        <f t="shared" si="74"/>
        <v>161.65000000000009</v>
      </c>
      <c r="M239" s="2"/>
      <c r="N239" s="7">
        <f t="shared" si="75"/>
        <v>5.3243348286924529E-2</v>
      </c>
      <c r="O239" s="11"/>
      <c r="P239" s="6">
        <v>25011.43</v>
      </c>
      <c r="Q239" s="2"/>
      <c r="R239" s="7">
        <f t="shared" si="76"/>
        <v>3.806877645573521E-3</v>
      </c>
      <c r="S239" s="2"/>
      <c r="T239" s="6">
        <v>16562.560000000001</v>
      </c>
      <c r="U239" s="2"/>
      <c r="V239" s="7">
        <f t="shared" si="77"/>
        <v>2.4594677690340672E-3</v>
      </c>
      <c r="W239" s="2"/>
      <c r="X239" s="6">
        <f t="shared" si="78"/>
        <v>8448.869999999999</v>
      </c>
      <c r="Y239" s="2"/>
      <c r="Z239" s="7">
        <f t="shared" si="79"/>
        <v>0.51011860485335592</v>
      </c>
    </row>
    <row r="240" spans="1:26" s="25" customFormat="1" outlineLevel="1" collapsed="1" x14ac:dyDescent="0.25">
      <c r="A240" s="27"/>
      <c r="B240" s="13" t="str">
        <f>CONCATENATE("     ","Royalty &amp; Commissions                             ")</f>
        <v xml:space="preserve">     Royalty &amp; Commissions                             </v>
      </c>
      <c r="C240" s="13"/>
      <c r="D240" s="1">
        <f>SUM(OSRRefD22_17x_0)</f>
        <v>18456.649999999998</v>
      </c>
      <c r="E240" s="1"/>
      <c r="F240" s="5">
        <f t="shared" ref="F240:F243" si="80">IF(D$12=0,0,D240/D$12)</f>
        <v>3.0215037676035977E-2</v>
      </c>
      <c r="G240" s="1"/>
      <c r="H240" s="1">
        <f>SUM(OSRRefH22_17x_0)</f>
        <v>21168.14</v>
      </c>
      <c r="I240" s="1"/>
      <c r="J240" s="5">
        <f t="shared" ref="J240:J243" si="81">IF(H$12=0,0,H240/H$12)</f>
        <v>3.9730334763957514E-2</v>
      </c>
      <c r="K240" s="1"/>
      <c r="L240" s="1">
        <f t="shared" ref="L240:L243" si="82">+D240-H240</f>
        <v>-2711.4900000000016</v>
      </c>
      <c r="M240" s="1"/>
      <c r="N240" s="5">
        <f t="shared" ref="N240:N243" si="83">IF(H240=0,0,L240/H240)</f>
        <v>-0.1280929736859262</v>
      </c>
      <c r="O240" s="13"/>
      <c r="P240" s="1">
        <f>SUM(OSRRefP22_17x_0)</f>
        <v>50535.75</v>
      </c>
      <c r="Q240" s="1"/>
      <c r="R240" s="5">
        <f t="shared" ref="R240:R243" si="84">IF(P$12=0,0,P240/P$12)</f>
        <v>7.6918199789972851E-3</v>
      </c>
      <c r="S240" s="1"/>
      <c r="T240" s="1">
        <f>SUM(OSRRefT22_17x_0)</f>
        <v>71673.91</v>
      </c>
      <c r="U240" s="1"/>
      <c r="V240" s="5">
        <f t="shared" ref="V240:V243" si="85">IF(T$12=0,0,T240/T$12)</f>
        <v>1.0643262365579265E-2</v>
      </c>
      <c r="W240" s="1"/>
      <c r="X240" s="1">
        <f t="shared" ref="X240:X243" si="86">+P240-T240</f>
        <v>-21138.160000000003</v>
      </c>
      <c r="Y240" s="1"/>
      <c r="Z240" s="5">
        <f t="shared" ref="Z240:Z243" si="87">IF(T240=0,0,X240/T240)</f>
        <v>-0.29492126214406333</v>
      </c>
    </row>
    <row r="241" spans="1:26" s="24" customFormat="1" hidden="1" outlineLevel="2" x14ac:dyDescent="0.25">
      <c r="A241" s="26"/>
      <c r="B241" s="11" t="str">
        <f>CONCATENATE("          ", "6253", " - ", "ROYALTY DUE ATHLETICS-LRG")</f>
        <v xml:space="preserve">          6253 - ROYALTY DUE ATHLETICS-LRG</v>
      </c>
      <c r="C241" s="11"/>
      <c r="D241" s="6"/>
      <c r="E241" s="2"/>
      <c r="F241" s="7">
        <f t="shared" si="80"/>
        <v>0</v>
      </c>
      <c r="G241" s="2"/>
      <c r="H241" s="6"/>
      <c r="I241" s="2"/>
      <c r="J241" s="7">
        <f t="shared" si="81"/>
        <v>0</v>
      </c>
      <c r="K241" s="2"/>
      <c r="L241" s="6">
        <f t="shared" si="82"/>
        <v>0</v>
      </c>
      <c r="M241" s="2"/>
      <c r="N241" s="7">
        <f t="shared" si="83"/>
        <v>0</v>
      </c>
      <c r="O241" s="11"/>
      <c r="P241" s="6">
        <v>4366.95</v>
      </c>
      <c r="Q241" s="2"/>
      <c r="R241" s="7">
        <f t="shared" si="84"/>
        <v>6.6467388447351023E-4</v>
      </c>
      <c r="S241" s="2"/>
      <c r="T241" s="6">
        <v>22994.42</v>
      </c>
      <c r="U241" s="2"/>
      <c r="V241" s="7">
        <f t="shared" si="85"/>
        <v>3.4145708669210757E-3</v>
      </c>
      <c r="W241" s="2"/>
      <c r="X241" s="6">
        <f t="shared" si="86"/>
        <v>-18627.469999999998</v>
      </c>
      <c r="Y241" s="2"/>
      <c r="Z241" s="7">
        <f t="shared" si="87"/>
        <v>-0.81008653403738817</v>
      </c>
    </row>
    <row r="242" spans="1:26" s="24" customFormat="1" hidden="1" outlineLevel="2" x14ac:dyDescent="0.25">
      <c r="A242" s="26"/>
      <c r="B242" s="11" t="str">
        <f>CONCATENATE("          ", "6254", " - ", "ROYALTY &amp; COMMISSIONS")</f>
        <v xml:space="preserve">          6254 - ROYALTY &amp; COMMISSIONS</v>
      </c>
      <c r="C242" s="11"/>
      <c r="D242" s="6">
        <v>803.23</v>
      </c>
      <c r="E242" s="2"/>
      <c r="F242" s="7">
        <f t="shared" si="80"/>
        <v>1.3149528604878124E-3</v>
      </c>
      <c r="G242" s="2"/>
      <c r="H242" s="6">
        <v>1589.82</v>
      </c>
      <c r="I242" s="2"/>
      <c r="J242" s="7">
        <f t="shared" si="81"/>
        <v>2.9839221024820762E-3</v>
      </c>
      <c r="K242" s="2"/>
      <c r="L242" s="6">
        <f t="shared" si="82"/>
        <v>-786.58999999999992</v>
      </c>
      <c r="M242" s="2"/>
      <c r="N242" s="7">
        <f t="shared" si="83"/>
        <v>-0.49476670314878413</v>
      </c>
      <c r="O242" s="11"/>
      <c r="P242" s="6">
        <v>2301.12</v>
      </c>
      <c r="Q242" s="2"/>
      <c r="R242" s="7">
        <f t="shared" si="84"/>
        <v>3.5024316033837889E-4</v>
      </c>
      <c r="S242" s="2"/>
      <c r="T242" s="6">
        <v>2738.79</v>
      </c>
      <c r="U242" s="2"/>
      <c r="V242" s="7">
        <f t="shared" si="85"/>
        <v>4.066983444076769E-4</v>
      </c>
      <c r="W242" s="2"/>
      <c r="X242" s="6">
        <f t="shared" si="86"/>
        <v>-437.67000000000007</v>
      </c>
      <c r="Y242" s="2"/>
      <c r="Z242" s="7">
        <f t="shared" si="87"/>
        <v>-0.15980414708685226</v>
      </c>
    </row>
    <row r="243" spans="1:26" s="24" customFormat="1" hidden="1" outlineLevel="2" x14ac:dyDescent="0.25">
      <c r="A243" s="26"/>
      <c r="B243" s="11" t="str">
        <f>CONCATENATE("          ", "6259", " - ", "ROYALTY &amp; COMMISSIONS")</f>
        <v xml:space="preserve">          6259 - ROYALTY &amp; COMMISSIONS</v>
      </c>
      <c r="C243" s="11"/>
      <c r="D243" s="6">
        <v>17653.419999999998</v>
      </c>
      <c r="E243" s="2"/>
      <c r="F243" s="7">
        <f t="shared" si="80"/>
        <v>2.8900084815548167E-2</v>
      </c>
      <c r="G243" s="2"/>
      <c r="H243" s="6">
        <v>19578.32</v>
      </c>
      <c r="I243" s="2"/>
      <c r="J243" s="7">
        <f t="shared" si="81"/>
        <v>3.6746412661475443E-2</v>
      </c>
      <c r="K243" s="2"/>
      <c r="L243" s="6">
        <f t="shared" si="82"/>
        <v>-1924.9000000000015</v>
      </c>
      <c r="M243" s="2"/>
      <c r="N243" s="7">
        <f t="shared" si="83"/>
        <v>-9.8317935348896199E-2</v>
      </c>
      <c r="O243" s="11"/>
      <c r="P243" s="6">
        <v>43867.68</v>
      </c>
      <c r="Q243" s="2"/>
      <c r="R243" s="7">
        <f t="shared" si="84"/>
        <v>6.6769029341853959E-3</v>
      </c>
      <c r="S243" s="2"/>
      <c r="T243" s="6">
        <v>45940.700000000004</v>
      </c>
      <c r="U243" s="2"/>
      <c r="V243" s="7">
        <f t="shared" si="85"/>
        <v>6.8219931542505136E-3</v>
      </c>
      <c r="W243" s="2"/>
      <c r="X243" s="6">
        <f t="shared" si="86"/>
        <v>-2073.0200000000041</v>
      </c>
      <c r="Y243" s="2"/>
      <c r="Z243" s="7">
        <f t="shared" si="87"/>
        <v>-4.5123822667046953E-2</v>
      </c>
    </row>
    <row r="244" spans="1:26" s="25" customFormat="1" outlineLevel="1" collapsed="1" x14ac:dyDescent="0.25">
      <c r="A244" s="27"/>
      <c r="B244" s="13" t="str">
        <f>CONCATENATE("     ","Services                                          ")</f>
        <v xml:space="preserve">     Services                                          </v>
      </c>
      <c r="C244" s="13"/>
      <c r="D244" s="1">
        <f>SUM(OSRRefD22_18x_0)</f>
        <v>4391.5599999999995</v>
      </c>
      <c r="E244" s="1"/>
      <c r="F244" s="5">
        <f t="shared" ref="F244:F248" si="88">IF(D$12=0,0,D244/D$12)</f>
        <v>7.189341015654117E-3</v>
      </c>
      <c r="G244" s="1"/>
      <c r="H244" s="1">
        <f>SUM(OSRRefH22_18x_0)</f>
        <v>624.89</v>
      </c>
      <c r="I244" s="1"/>
      <c r="J244" s="5">
        <f t="shared" ref="J244:J248" si="89">IF(H$12=0,0,H244/H$12)</f>
        <v>1.1728516955504553E-3</v>
      </c>
      <c r="K244" s="1"/>
      <c r="L244" s="1">
        <f t="shared" ref="L244:L248" si="90">+D244-H244</f>
        <v>3766.6699999999996</v>
      </c>
      <c r="M244" s="1"/>
      <c r="N244" s="5">
        <f t="shared" ref="N244:N248" si="91">IF(H244=0,0,L244/H244)</f>
        <v>6.0277328809870534</v>
      </c>
      <c r="O244" s="13"/>
      <c r="P244" s="1">
        <f>SUM(OSRRefP22_18x_0)</f>
        <v>22866.47</v>
      </c>
      <c r="Q244" s="1"/>
      <c r="R244" s="5">
        <f t="shared" ref="R244:R248" si="92">IF(P$12=0,0,P244/P$12)</f>
        <v>3.480402898841752E-3</v>
      </c>
      <c r="S244" s="1"/>
      <c r="T244" s="1">
        <f>SUM(OSRRefT22_18x_0)</f>
        <v>18088.599999999999</v>
      </c>
      <c r="U244" s="1"/>
      <c r="V244" s="5">
        <f t="shared" ref="V244:V248" si="93">IF(T$12=0,0,T244/T$12)</f>
        <v>2.6860780390802886E-3</v>
      </c>
      <c r="W244" s="1"/>
      <c r="X244" s="1">
        <f t="shared" ref="X244:X248" si="94">+P244-T244</f>
        <v>4777.8700000000026</v>
      </c>
      <c r="Y244" s="1"/>
      <c r="Z244" s="5">
        <f t="shared" ref="Z244:Z248" si="95">IF(T244=0,0,X244/T244)</f>
        <v>0.26413708081333009</v>
      </c>
    </row>
    <row r="245" spans="1:26" s="24" customFormat="1" hidden="1" outlineLevel="2" x14ac:dyDescent="0.25">
      <c r="A245" s="26"/>
      <c r="B245" s="11" t="str">
        <f>CONCATENATE("          ", "6282", " - ", "JANITORIAL/EXTERMINATOR EXPENS")</f>
        <v xml:space="preserve">          6282 - JANITORIAL/EXTERMINATOR EXPENS</v>
      </c>
      <c r="C245" s="11"/>
      <c r="D245" s="6">
        <v>266.5</v>
      </c>
      <c r="E245" s="2"/>
      <c r="F245" s="7">
        <f t="shared" si="88"/>
        <v>4.3628218233880955E-4</v>
      </c>
      <c r="G245" s="2"/>
      <c r="H245" s="6">
        <v>286.79000000000002</v>
      </c>
      <c r="I245" s="2"/>
      <c r="J245" s="7">
        <f t="shared" si="89"/>
        <v>5.3827415667863951E-4</v>
      </c>
      <c r="K245" s="2"/>
      <c r="L245" s="6">
        <f t="shared" si="90"/>
        <v>-20.29000000000002</v>
      </c>
      <c r="M245" s="2"/>
      <c r="N245" s="7">
        <f t="shared" si="91"/>
        <v>-7.0748631402768644E-2</v>
      </c>
      <c r="O245" s="11"/>
      <c r="P245" s="6">
        <v>1332.5</v>
      </c>
      <c r="Q245" s="2"/>
      <c r="R245" s="7">
        <f t="shared" si="92"/>
        <v>2.0281385201592698E-4</v>
      </c>
      <c r="S245" s="2"/>
      <c r="T245" s="6">
        <v>1146.79</v>
      </c>
      <c r="U245" s="2"/>
      <c r="V245" s="7">
        <f t="shared" si="93"/>
        <v>1.702933026567498E-4</v>
      </c>
      <c r="W245" s="2"/>
      <c r="X245" s="6">
        <f t="shared" si="94"/>
        <v>185.71000000000004</v>
      </c>
      <c r="Y245" s="2"/>
      <c r="Z245" s="7">
        <f t="shared" si="95"/>
        <v>0.16193897749369984</v>
      </c>
    </row>
    <row r="246" spans="1:26" s="24" customFormat="1" hidden="1" outlineLevel="2" x14ac:dyDescent="0.25">
      <c r="A246" s="26"/>
      <c r="B246" s="11" t="str">
        <f>CONCATENATE("          ", "6283", " - ", "PLANT SERVICE")</f>
        <v xml:space="preserve">          6283 - PLANT SERVICE</v>
      </c>
      <c r="C246" s="11"/>
      <c r="D246" s="6"/>
      <c r="E246" s="2"/>
      <c r="F246" s="7">
        <f t="shared" si="88"/>
        <v>0</v>
      </c>
      <c r="G246" s="2"/>
      <c r="H246" s="6">
        <v>173</v>
      </c>
      <c r="I246" s="2"/>
      <c r="J246" s="7">
        <f t="shared" si="89"/>
        <v>3.2470249696783235E-4</v>
      </c>
      <c r="K246" s="2"/>
      <c r="L246" s="6">
        <f t="shared" si="90"/>
        <v>-173</v>
      </c>
      <c r="M246" s="2"/>
      <c r="N246" s="7">
        <f t="shared" si="91"/>
        <v>-1</v>
      </c>
      <c r="O246" s="11"/>
      <c r="P246" s="6">
        <v>541.98</v>
      </c>
      <c r="Q246" s="2"/>
      <c r="R246" s="7">
        <f t="shared" si="92"/>
        <v>8.2492346353164813E-5</v>
      </c>
      <c r="S246" s="2"/>
      <c r="T246" s="6">
        <v>987.5</v>
      </c>
      <c r="U246" s="2"/>
      <c r="V246" s="7">
        <f t="shared" si="93"/>
        <v>1.4663943387502543E-4</v>
      </c>
      <c r="W246" s="2"/>
      <c r="X246" s="6">
        <f t="shared" si="94"/>
        <v>-445.52</v>
      </c>
      <c r="Y246" s="2"/>
      <c r="Z246" s="7">
        <f t="shared" si="95"/>
        <v>-0.45115949367088604</v>
      </c>
    </row>
    <row r="247" spans="1:26" s="24" customFormat="1" hidden="1" outlineLevel="2" x14ac:dyDescent="0.25">
      <c r="A247" s="26"/>
      <c r="B247" s="11" t="str">
        <f>CONCATENATE("          ", "6284", " - ", "TRASH REMOVAL EXPENSE")</f>
        <v xml:space="preserve">          6284 - TRASH REMOVAL EXPENSE</v>
      </c>
      <c r="C247" s="11"/>
      <c r="D247" s="6">
        <v>134.82</v>
      </c>
      <c r="E247" s="2"/>
      <c r="F247" s="7">
        <f t="shared" si="88"/>
        <v>2.2071130890400864E-4</v>
      </c>
      <c r="G247" s="2"/>
      <c r="H247" s="6">
        <v>121.46</v>
      </c>
      <c r="I247" s="2"/>
      <c r="J247" s="7">
        <f t="shared" si="89"/>
        <v>2.2796742937406309E-4</v>
      </c>
      <c r="K247" s="2"/>
      <c r="L247" s="6">
        <f t="shared" si="90"/>
        <v>13.36</v>
      </c>
      <c r="M247" s="2"/>
      <c r="N247" s="7">
        <f t="shared" si="91"/>
        <v>0.10999506010209123</v>
      </c>
      <c r="O247" s="11"/>
      <c r="P247" s="6">
        <v>674.1</v>
      </c>
      <c r="Q247" s="2"/>
      <c r="R247" s="7">
        <f t="shared" si="92"/>
        <v>1.0260173932002731E-4</v>
      </c>
      <c r="S247" s="2"/>
      <c r="T247" s="6">
        <v>607.29999999999995</v>
      </c>
      <c r="U247" s="2"/>
      <c r="V247" s="7">
        <f t="shared" si="93"/>
        <v>9.0181395637775128E-5</v>
      </c>
      <c r="W247" s="2"/>
      <c r="X247" s="6">
        <f t="shared" si="94"/>
        <v>66.800000000000068</v>
      </c>
      <c r="Y247" s="2"/>
      <c r="Z247" s="7">
        <f t="shared" si="95"/>
        <v>0.10999506010209134</v>
      </c>
    </row>
    <row r="248" spans="1:26" s="24" customFormat="1" hidden="1" outlineLevel="2" x14ac:dyDescent="0.25">
      <c r="A248" s="26"/>
      <c r="B248" s="11" t="str">
        <f>CONCATENATE("          ", "6285", " - ", "JANITORIAL SERVICES")</f>
        <v xml:space="preserve">          6285 - JANITORIAL SERVICES</v>
      </c>
      <c r="C248" s="11"/>
      <c r="D248" s="6">
        <v>3990.24</v>
      </c>
      <c r="E248" s="2"/>
      <c r="F248" s="7">
        <f t="shared" si="88"/>
        <v>6.5323475244112991E-3</v>
      </c>
      <c r="G248" s="2"/>
      <c r="H248" s="6">
        <v>43.64</v>
      </c>
      <c r="I248" s="2"/>
      <c r="J248" s="7">
        <f t="shared" si="89"/>
        <v>8.1907612529920245E-5</v>
      </c>
      <c r="K248" s="2"/>
      <c r="L248" s="6">
        <f t="shared" si="90"/>
        <v>3946.6</v>
      </c>
      <c r="M248" s="2"/>
      <c r="N248" s="7">
        <f t="shared" si="91"/>
        <v>90.435380384967914</v>
      </c>
      <c r="O248" s="11"/>
      <c r="P248" s="6">
        <v>20317.89</v>
      </c>
      <c r="Q248" s="2"/>
      <c r="R248" s="7">
        <f t="shared" si="92"/>
        <v>3.0924949611526326E-3</v>
      </c>
      <c r="S248" s="2"/>
      <c r="T248" s="6">
        <v>15347.009999999998</v>
      </c>
      <c r="U248" s="2"/>
      <c r="V248" s="7">
        <f t="shared" si="93"/>
        <v>2.2789639069107381E-3</v>
      </c>
      <c r="W248" s="2"/>
      <c r="X248" s="6">
        <f t="shared" si="94"/>
        <v>4970.880000000001</v>
      </c>
      <c r="Y248" s="2"/>
      <c r="Z248" s="7">
        <f t="shared" si="95"/>
        <v>0.32389892233079937</v>
      </c>
    </row>
    <row r="249" spans="1:26" s="25" customFormat="1" outlineLevel="1" collapsed="1" x14ac:dyDescent="0.25">
      <c r="A249" s="27"/>
      <c r="B249" s="13" t="str">
        <f>CONCATENATE("     ","Subscriptions &amp; Dues                              ")</f>
        <v xml:space="preserve">     Subscriptions &amp; Dues                              </v>
      </c>
      <c r="C249" s="13"/>
      <c r="D249" s="1">
        <f>SUM(OSRRefD22_19x_0)</f>
        <v>175.36</v>
      </c>
      <c r="E249" s="1"/>
      <c r="F249" s="5">
        <f t="shared" ref="F249:F251" si="96">IF(D$12=0,0,D249/D$12)</f>
        <v>2.8707858722301557E-4</v>
      </c>
      <c r="G249" s="1"/>
      <c r="H249" s="1">
        <f>SUM(OSRRefH22_19x_0)</f>
        <v>3795.9700000000003</v>
      </c>
      <c r="I249" s="1"/>
      <c r="J249" s="5">
        <f t="shared" ref="J249:J251" si="97">IF(H$12=0,0,H249/H$12)</f>
        <v>7.124629696040362E-3</v>
      </c>
      <c r="K249" s="1"/>
      <c r="L249" s="1">
        <f t="shared" ref="L249:L251" si="98">+D249-H249</f>
        <v>-3620.61</v>
      </c>
      <c r="M249" s="1"/>
      <c r="N249" s="5">
        <f t="shared" ref="N249:N251" si="99">IF(H249=0,0,L249/H249)</f>
        <v>-0.95380363912254307</v>
      </c>
      <c r="O249" s="13"/>
      <c r="P249" s="1">
        <f>SUM(OSRRefP22_19x_0)</f>
        <v>-2782.24</v>
      </c>
      <c r="Q249" s="1"/>
      <c r="R249" s="5">
        <f t="shared" ref="R249:R251" si="100">IF(P$12=0,0,P249/P$12)</f>
        <v>-4.2347227889890629E-4</v>
      </c>
      <c r="S249" s="1"/>
      <c r="T249" s="1">
        <f>SUM(OSRRefT22_19x_0)</f>
        <v>7017.68</v>
      </c>
      <c r="U249" s="1"/>
      <c r="V249" s="5">
        <f t="shared" ref="V249:V251" si="101">IF(T$12=0,0,T249/T$12)</f>
        <v>1.0420948074086973E-3</v>
      </c>
      <c r="W249" s="1"/>
      <c r="X249" s="1">
        <f t="shared" ref="X249:X251" si="102">+P249-T249</f>
        <v>-9799.92</v>
      </c>
      <c r="Y249" s="1"/>
      <c r="Z249" s="5">
        <f t="shared" ref="Z249:Z251" si="103">IF(T249=0,0,X249/T249)</f>
        <v>-1.3964615086467322</v>
      </c>
    </row>
    <row r="250" spans="1:26" s="24" customFormat="1" hidden="1" outlineLevel="2" x14ac:dyDescent="0.25">
      <c r="A250" s="26"/>
      <c r="B250" s="11" t="str">
        <f>CONCATENATE("          ", "6258", " - ", "MEMBERSHIP DUES")</f>
        <v xml:space="preserve">          6258 - MEMBERSHIP DUES</v>
      </c>
      <c r="C250" s="11"/>
      <c r="D250" s="6">
        <v>250</v>
      </c>
      <c r="E250" s="2"/>
      <c r="F250" s="7">
        <f t="shared" si="96"/>
        <v>4.0927033990507462E-4</v>
      </c>
      <c r="G250" s="2"/>
      <c r="H250" s="6">
        <v>3521.01</v>
      </c>
      <c r="I250" s="2"/>
      <c r="J250" s="7">
        <f t="shared" si="97"/>
        <v>6.6085591840965748E-3</v>
      </c>
      <c r="K250" s="2"/>
      <c r="L250" s="6">
        <f t="shared" si="98"/>
        <v>-3271.01</v>
      </c>
      <c r="M250" s="2"/>
      <c r="N250" s="7">
        <f t="shared" si="99"/>
        <v>-0.92899764556192688</v>
      </c>
      <c r="O250" s="11"/>
      <c r="P250" s="6">
        <v>-3572.6</v>
      </c>
      <c r="Q250" s="2"/>
      <c r="R250" s="7">
        <f t="shared" si="100"/>
        <v>-5.4376943167887487E-4</v>
      </c>
      <c r="S250" s="2"/>
      <c r="T250" s="6">
        <v>5205.13</v>
      </c>
      <c r="U250" s="2"/>
      <c r="V250" s="7">
        <f t="shared" si="101"/>
        <v>7.7293905462877085E-4</v>
      </c>
      <c r="W250" s="2"/>
      <c r="X250" s="6">
        <f t="shared" si="102"/>
        <v>-8777.73</v>
      </c>
      <c r="Y250" s="2"/>
      <c r="Z250" s="7">
        <f t="shared" si="103"/>
        <v>-1.6863613396783557</v>
      </c>
    </row>
    <row r="251" spans="1:26" s="24" customFormat="1" hidden="1" outlineLevel="2" x14ac:dyDescent="0.25">
      <c r="A251" s="26"/>
      <c r="B251" s="11" t="str">
        <f>CONCATENATE("          ", "6275", " - ", "SUBSCRIPTIONS")</f>
        <v xml:space="preserve">          6275 - SUBSCRIPTIONS</v>
      </c>
      <c r="C251" s="11"/>
      <c r="D251" s="6">
        <v>-74.64</v>
      </c>
      <c r="E251" s="2"/>
      <c r="F251" s="7">
        <f t="shared" si="96"/>
        <v>-1.2219175268205908E-4</v>
      </c>
      <c r="G251" s="2"/>
      <c r="H251" s="6">
        <v>274.95999999999998</v>
      </c>
      <c r="I251" s="2"/>
      <c r="J251" s="7">
        <f t="shared" si="97"/>
        <v>5.1607051194378715E-4</v>
      </c>
      <c r="K251" s="2"/>
      <c r="L251" s="6">
        <f t="shared" si="98"/>
        <v>-349.59999999999997</v>
      </c>
      <c r="M251" s="2"/>
      <c r="N251" s="7">
        <f t="shared" si="99"/>
        <v>-1.2714576665696828</v>
      </c>
      <c r="O251" s="11"/>
      <c r="P251" s="6">
        <v>790.36</v>
      </c>
      <c r="Q251" s="2"/>
      <c r="R251" s="7">
        <f t="shared" si="100"/>
        <v>1.2029715277996853E-4</v>
      </c>
      <c r="S251" s="2"/>
      <c r="T251" s="6">
        <v>1812.55</v>
      </c>
      <c r="U251" s="2"/>
      <c r="V251" s="7">
        <f t="shared" si="101"/>
        <v>2.6915575277992643E-4</v>
      </c>
      <c r="W251" s="2"/>
      <c r="X251" s="6">
        <f t="shared" si="102"/>
        <v>-1022.1899999999999</v>
      </c>
      <c r="Y251" s="2"/>
      <c r="Z251" s="7">
        <f t="shared" si="103"/>
        <v>-0.56395133927339935</v>
      </c>
    </row>
    <row r="252" spans="1:26" s="25" customFormat="1" outlineLevel="1" collapsed="1" x14ac:dyDescent="0.25">
      <c r="A252" s="27"/>
      <c r="B252" s="13" t="str">
        <f>CONCATENATE("     ","Supplies                                          ")</f>
        <v xml:space="preserve">     Supplies                                          </v>
      </c>
      <c r="C252" s="13"/>
      <c r="D252" s="1">
        <f>SUM(OSRRefD22_20x_0)</f>
        <v>5254.77</v>
      </c>
      <c r="E252" s="1"/>
      <c r="F252" s="5">
        <f t="shared" ref="F252:F259" si="104">IF(D$12=0,0,D252/D$12)</f>
        <v>8.6024860160919571E-3</v>
      </c>
      <c r="G252" s="1"/>
      <c r="H252" s="1">
        <f>SUM(OSRRefH22_20x_0)</f>
        <v>5004.0999999999995</v>
      </c>
      <c r="I252" s="1"/>
      <c r="J252" s="5">
        <f t="shared" ref="J252:J259" si="105">IF(H$12=0,0,H252/H$12)</f>
        <v>9.3921604917730044E-3</v>
      </c>
      <c r="K252" s="1"/>
      <c r="L252" s="1">
        <f t="shared" ref="L252:L259" si="106">+D252-H252</f>
        <v>250.67000000000098</v>
      </c>
      <c r="M252" s="1"/>
      <c r="N252" s="5">
        <f t="shared" ref="N252:N259" si="107">IF(H252=0,0,L252/H252)</f>
        <v>5.0092923802482169E-2</v>
      </c>
      <c r="O252" s="13"/>
      <c r="P252" s="1">
        <f>SUM(OSRRefP22_20x_0)</f>
        <v>45885.55</v>
      </c>
      <c r="Q252" s="1"/>
      <c r="R252" s="5">
        <f t="shared" ref="R252:R259" si="108">IF(P$12=0,0,P252/P$12)</f>
        <v>6.9840338817031286E-3</v>
      </c>
      <c r="S252" s="1"/>
      <c r="T252" s="1">
        <f>SUM(OSRRefT22_20x_0)</f>
        <v>81585.42</v>
      </c>
      <c r="U252" s="1"/>
      <c r="V252" s="5">
        <f t="shared" ref="V252:V259" si="109">IF(T$12=0,0,T252/T$12)</f>
        <v>1.2115078279753092E-2</v>
      </c>
      <c r="W252" s="1"/>
      <c r="X252" s="1">
        <f t="shared" ref="X252:X259" si="110">+P252-T252</f>
        <v>-35699.869999999995</v>
      </c>
      <c r="Y252" s="1"/>
      <c r="Z252" s="5">
        <f t="shared" ref="Z252:Z259" si="111">IF(T252=0,0,X252/T252)</f>
        <v>-0.43757659150372696</v>
      </c>
    </row>
    <row r="253" spans="1:26" s="24" customFormat="1" hidden="1" outlineLevel="2" x14ac:dyDescent="0.25">
      <c r="A253" s="26"/>
      <c r="B253" s="11" t="str">
        <f>CONCATENATE("          ", "6234", " - ", "EXPENDABLE SUPPLIES &amp; EQUIPMEN")</f>
        <v xml:space="preserve">          6234 - EXPENDABLE SUPPLIES &amp; EQUIPMEN</v>
      </c>
      <c r="C253" s="11"/>
      <c r="D253" s="6">
        <v>106.65</v>
      </c>
      <c r="E253" s="2"/>
      <c r="F253" s="7">
        <f t="shared" si="104"/>
        <v>1.7459472700350484E-4</v>
      </c>
      <c r="G253" s="2"/>
      <c r="H253" s="6">
        <v>7.72</v>
      </c>
      <c r="I253" s="2"/>
      <c r="J253" s="7">
        <f t="shared" si="105"/>
        <v>1.4489614315558761E-5</v>
      </c>
      <c r="K253" s="2"/>
      <c r="L253" s="6">
        <f t="shared" si="106"/>
        <v>98.93</v>
      </c>
      <c r="M253" s="2"/>
      <c r="N253" s="7">
        <f t="shared" si="107"/>
        <v>12.81476683937824</v>
      </c>
      <c r="O253" s="11"/>
      <c r="P253" s="6">
        <v>1822.75</v>
      </c>
      <c r="Q253" s="2"/>
      <c r="R253" s="7">
        <f t="shared" si="108"/>
        <v>2.7743260695086748E-4</v>
      </c>
      <c r="S253" s="2"/>
      <c r="T253" s="6">
        <v>3459.34</v>
      </c>
      <c r="U253" s="2"/>
      <c r="V253" s="7">
        <f t="shared" si="109"/>
        <v>5.136968700569423E-4</v>
      </c>
      <c r="W253" s="2"/>
      <c r="X253" s="6">
        <f t="shared" si="110"/>
        <v>-1636.5900000000001</v>
      </c>
      <c r="Y253" s="2"/>
      <c r="Z253" s="7">
        <f t="shared" si="111"/>
        <v>-0.47309313337226178</v>
      </c>
    </row>
    <row r="254" spans="1:26" s="24" customFormat="1" hidden="1" outlineLevel="2" x14ac:dyDescent="0.25">
      <c r="A254" s="26"/>
      <c r="B254" s="11" t="str">
        <f>CONCATENATE("          ", "6237", " - ", "JANITORIAL SUPPLIES")</f>
        <v xml:space="preserve">          6237 - JANITORIAL SUPPLIES</v>
      </c>
      <c r="C254" s="11"/>
      <c r="D254" s="6">
        <v>691.53</v>
      </c>
      <c r="E254" s="2"/>
      <c r="F254" s="7">
        <f t="shared" si="104"/>
        <v>1.132090872618225E-3</v>
      </c>
      <c r="G254" s="2"/>
      <c r="H254" s="6">
        <v>696.71</v>
      </c>
      <c r="I254" s="2"/>
      <c r="J254" s="7">
        <f t="shared" si="105"/>
        <v>1.307650154118257E-3</v>
      </c>
      <c r="K254" s="2"/>
      <c r="L254" s="6">
        <f t="shared" si="106"/>
        <v>-5.1800000000000637</v>
      </c>
      <c r="M254" s="2"/>
      <c r="N254" s="7">
        <f t="shared" si="107"/>
        <v>-7.4349442379183063E-3</v>
      </c>
      <c r="O254" s="11"/>
      <c r="P254" s="6">
        <v>2857.75</v>
      </c>
      <c r="Q254" s="2"/>
      <c r="R254" s="7">
        <f t="shared" si="108"/>
        <v>4.3496531752233795E-4</v>
      </c>
      <c r="S254" s="2"/>
      <c r="T254" s="6">
        <v>3220.91</v>
      </c>
      <c r="U254" s="2"/>
      <c r="V254" s="7">
        <f t="shared" si="109"/>
        <v>4.7829105717712219E-4</v>
      </c>
      <c r="W254" s="2"/>
      <c r="X254" s="6">
        <f t="shared" si="110"/>
        <v>-363.15999999999985</v>
      </c>
      <c r="Y254" s="2"/>
      <c r="Z254" s="7">
        <f t="shared" si="111"/>
        <v>-0.1127507443548562</v>
      </c>
    </row>
    <row r="255" spans="1:26" s="24" customFormat="1" hidden="1" outlineLevel="2" x14ac:dyDescent="0.25">
      <c r="A255" s="26"/>
      <c r="B255" s="11" t="str">
        <f>CONCATENATE("          ", "6241", " - ", "OFFICE EXPENSE")</f>
        <v xml:space="preserve">          6241 - OFFICE EXPENSE</v>
      </c>
      <c r="C255" s="11"/>
      <c r="D255" s="6">
        <v>2341.3000000000002</v>
      </c>
      <c r="E255" s="2"/>
      <c r="F255" s="7">
        <f t="shared" si="104"/>
        <v>3.8328985872790049E-3</v>
      </c>
      <c r="G255" s="2"/>
      <c r="H255" s="6">
        <v>1858.82</v>
      </c>
      <c r="I255" s="2"/>
      <c r="J255" s="7">
        <f t="shared" si="105"/>
        <v>3.4888063318713647E-3</v>
      </c>
      <c r="K255" s="2"/>
      <c r="L255" s="6">
        <f t="shared" si="106"/>
        <v>482.48000000000025</v>
      </c>
      <c r="M255" s="2"/>
      <c r="N255" s="7">
        <f t="shared" si="107"/>
        <v>0.25956251815668019</v>
      </c>
      <c r="O255" s="11"/>
      <c r="P255" s="6">
        <v>15256.12</v>
      </c>
      <c r="Q255" s="2"/>
      <c r="R255" s="7">
        <f t="shared" si="108"/>
        <v>2.3220656390373164E-3</v>
      </c>
      <c r="S255" s="2"/>
      <c r="T255" s="6">
        <v>11847.58</v>
      </c>
      <c r="U255" s="2"/>
      <c r="V255" s="7">
        <f t="shared" si="109"/>
        <v>1.7593138470775433E-3</v>
      </c>
      <c r="W255" s="2"/>
      <c r="X255" s="6">
        <f t="shared" si="110"/>
        <v>3408.5400000000009</v>
      </c>
      <c r="Y255" s="2"/>
      <c r="Z255" s="7">
        <f t="shared" si="111"/>
        <v>0.28769926010206309</v>
      </c>
    </row>
    <row r="256" spans="1:26" s="24" customFormat="1" hidden="1" outlineLevel="2" x14ac:dyDescent="0.25">
      <c r="A256" s="26"/>
      <c r="B256" s="11" t="str">
        <f>CONCATENATE("          ", "6243", " - ", "PAPER SUPPLIES")</f>
        <v xml:space="preserve">          6243 - PAPER SUPPLIES</v>
      </c>
      <c r="C256" s="11"/>
      <c r="D256" s="6">
        <v>1423.15</v>
      </c>
      <c r="E256" s="2"/>
      <c r="F256" s="7">
        <f t="shared" si="104"/>
        <v>2.3298123369436281E-3</v>
      </c>
      <c r="G256" s="2"/>
      <c r="H256" s="6">
        <v>1616.13</v>
      </c>
      <c r="I256" s="2"/>
      <c r="J256" s="7">
        <f t="shared" si="105"/>
        <v>3.0333031585238319E-3</v>
      </c>
      <c r="K256" s="2"/>
      <c r="L256" s="6">
        <f t="shared" si="106"/>
        <v>-192.98000000000002</v>
      </c>
      <c r="M256" s="2"/>
      <c r="N256" s="7">
        <f t="shared" si="107"/>
        <v>-0.11940871093290763</v>
      </c>
      <c r="O256" s="11"/>
      <c r="P256" s="6">
        <v>6329.48</v>
      </c>
      <c r="Q256" s="2"/>
      <c r="R256" s="7">
        <f t="shared" si="108"/>
        <v>9.6338177865498643E-4</v>
      </c>
      <c r="S256" s="2"/>
      <c r="T256" s="6">
        <v>18272.030000000002</v>
      </c>
      <c r="U256" s="2"/>
      <c r="V256" s="7">
        <f t="shared" si="109"/>
        <v>2.7133165923518801E-3</v>
      </c>
      <c r="W256" s="2"/>
      <c r="X256" s="6">
        <f t="shared" si="110"/>
        <v>-11942.550000000003</v>
      </c>
      <c r="Y256" s="2"/>
      <c r="Z256" s="7">
        <f t="shared" si="111"/>
        <v>-0.65359732881349264</v>
      </c>
    </row>
    <row r="257" spans="1:26" s="24" customFormat="1" hidden="1" outlineLevel="2" x14ac:dyDescent="0.25">
      <c r="A257" s="26"/>
      <c r="B257" s="11" t="str">
        <f>CONCATENATE("          ", "6245", " - ", "PRINTING")</f>
        <v xml:space="preserve">          6245 - PRINTING</v>
      </c>
      <c r="C257" s="11"/>
      <c r="D257" s="6">
        <v>-402.2</v>
      </c>
      <c r="E257" s="2"/>
      <c r="F257" s="7">
        <f t="shared" si="104"/>
        <v>-6.5843412283928405E-4</v>
      </c>
      <c r="G257" s="2"/>
      <c r="H257" s="6">
        <v>182.57</v>
      </c>
      <c r="I257" s="2"/>
      <c r="J257" s="7">
        <f t="shared" si="105"/>
        <v>3.4266436341859623E-4</v>
      </c>
      <c r="K257" s="2"/>
      <c r="L257" s="6">
        <f t="shared" si="106"/>
        <v>-584.77</v>
      </c>
      <c r="M257" s="2"/>
      <c r="N257" s="7">
        <f t="shared" si="107"/>
        <v>-3.2029906337295286</v>
      </c>
      <c r="O257" s="11"/>
      <c r="P257" s="6">
        <v>4845.05</v>
      </c>
      <c r="Q257" s="2"/>
      <c r="R257" s="7">
        <f t="shared" si="108"/>
        <v>7.3744334237130736E-4</v>
      </c>
      <c r="S257" s="2"/>
      <c r="T257" s="6">
        <v>6622.96</v>
      </c>
      <c r="U257" s="2"/>
      <c r="V257" s="7">
        <f t="shared" si="109"/>
        <v>9.8348061263487437E-4</v>
      </c>
      <c r="W257" s="2"/>
      <c r="X257" s="6">
        <f t="shared" si="110"/>
        <v>-1777.9099999999999</v>
      </c>
      <c r="Y257" s="2"/>
      <c r="Z257" s="7">
        <f t="shared" si="111"/>
        <v>-0.26844643482672398</v>
      </c>
    </row>
    <row r="258" spans="1:26" s="24" customFormat="1" hidden="1" outlineLevel="2" x14ac:dyDescent="0.25">
      <c r="A258" s="26"/>
      <c r="B258" s="11" t="str">
        <f>CONCATENATE("          ", "6247", " - ", "STORE SUPPLIES")</f>
        <v xml:space="preserve">          6247 - STORE SUPPLIES</v>
      </c>
      <c r="C258" s="11"/>
      <c r="D258" s="6">
        <v>1094.3399999999999</v>
      </c>
      <c r="E258" s="2"/>
      <c r="F258" s="7">
        <f t="shared" si="104"/>
        <v>1.7915236150868772E-3</v>
      </c>
      <c r="G258" s="2"/>
      <c r="H258" s="6">
        <v>543.15</v>
      </c>
      <c r="I258" s="2"/>
      <c r="J258" s="7">
        <f t="shared" si="105"/>
        <v>1.0194344579657695E-3</v>
      </c>
      <c r="K258" s="2"/>
      <c r="L258" s="6">
        <f t="shared" si="106"/>
        <v>551.18999999999994</v>
      </c>
      <c r="M258" s="2"/>
      <c r="N258" s="7">
        <f t="shared" si="107"/>
        <v>1.0148025407346037</v>
      </c>
      <c r="O258" s="11"/>
      <c r="P258" s="6">
        <v>14774.4</v>
      </c>
      <c r="Q258" s="2"/>
      <c r="R258" s="7">
        <f t="shared" si="108"/>
        <v>2.2487451971663127E-3</v>
      </c>
      <c r="S258" s="2"/>
      <c r="T258" s="6">
        <v>38063.599999999999</v>
      </c>
      <c r="U258" s="2"/>
      <c r="V258" s="7">
        <f t="shared" si="109"/>
        <v>5.6522782331599169E-3</v>
      </c>
      <c r="W258" s="2"/>
      <c r="X258" s="6">
        <f t="shared" si="110"/>
        <v>-23289.199999999997</v>
      </c>
      <c r="Y258" s="2"/>
      <c r="Z258" s="7">
        <f t="shared" si="111"/>
        <v>-0.61184964112695583</v>
      </c>
    </row>
    <row r="259" spans="1:26" s="24" customFormat="1" hidden="1" outlineLevel="2" x14ac:dyDescent="0.25">
      <c r="A259" s="26"/>
      <c r="B259" s="11" t="str">
        <f>CONCATENATE("          ", "6248", " - ", "UNIFORMS")</f>
        <v xml:space="preserve">          6248 - UNIFORMS</v>
      </c>
      <c r="C259" s="11"/>
      <c r="D259" s="6"/>
      <c r="E259" s="2"/>
      <c r="F259" s="7">
        <f t="shared" si="104"/>
        <v>0</v>
      </c>
      <c r="G259" s="2"/>
      <c r="H259" s="6">
        <v>99</v>
      </c>
      <c r="I259" s="2"/>
      <c r="J259" s="7">
        <f t="shared" si="105"/>
        <v>1.8581241155962659E-4</v>
      </c>
      <c r="K259" s="2"/>
      <c r="L259" s="6">
        <f t="shared" si="106"/>
        <v>-99</v>
      </c>
      <c r="M259" s="2"/>
      <c r="N259" s="7">
        <f t="shared" si="107"/>
        <v>-1</v>
      </c>
      <c r="O259" s="11"/>
      <c r="P259" s="6"/>
      <c r="Q259" s="2"/>
      <c r="R259" s="7">
        <f t="shared" si="108"/>
        <v>0</v>
      </c>
      <c r="S259" s="2"/>
      <c r="T259" s="6">
        <v>99</v>
      </c>
      <c r="U259" s="2"/>
      <c r="V259" s="7">
        <f t="shared" si="109"/>
        <v>1.4701067294812677E-5</v>
      </c>
      <c r="W259" s="2"/>
      <c r="X259" s="6">
        <f t="shared" si="110"/>
        <v>-99</v>
      </c>
      <c r="Y259" s="2"/>
      <c r="Z259" s="7">
        <f t="shared" si="111"/>
        <v>-1</v>
      </c>
    </row>
    <row r="260" spans="1:26" s="25" customFormat="1" outlineLevel="1" collapsed="1" x14ac:dyDescent="0.25">
      <c r="A260" s="27"/>
      <c r="B260" s="13" t="str">
        <f>CONCATENATE("     ","Telephone/Data Lines                              ")</f>
        <v xml:space="preserve">     Telephone/Data Lines                              </v>
      </c>
      <c r="C260" s="13"/>
      <c r="D260" s="1">
        <f>SUM(OSRRefD22_21x_0)</f>
        <v>2625.75</v>
      </c>
      <c r="E260" s="1"/>
      <c r="F260" s="5">
        <f t="shared" ref="F260:F262" si="112">IF(D$12=0,0,D260/D$12)</f>
        <v>4.2985663800229985E-3</v>
      </c>
      <c r="G260" s="1"/>
      <c r="H260" s="1">
        <f>SUM(OSRRefH22_21x_0)</f>
        <v>3125.41</v>
      </c>
      <c r="I260" s="1"/>
      <c r="J260" s="5">
        <f t="shared" ref="J260:J262" si="113">IF(H$12=0,0,H260/H$12)</f>
        <v>5.8660602950764903E-3</v>
      </c>
      <c r="K260" s="1"/>
      <c r="L260" s="1">
        <f t="shared" ref="L260:L262" si="114">+D260-H260</f>
        <v>-499.65999999999985</v>
      </c>
      <c r="M260" s="1"/>
      <c r="N260" s="5">
        <f t="shared" ref="N260:N262" si="115">IF(H260=0,0,L260/H260)</f>
        <v>-0.15987022502647649</v>
      </c>
      <c r="O260" s="13"/>
      <c r="P260" s="1">
        <f>SUM(OSRRefP22_21x_0)</f>
        <v>14733.82</v>
      </c>
      <c r="Q260" s="1"/>
      <c r="R260" s="5">
        <f t="shared" ref="R260:R262" si="116">IF(P$12=0,0,P260/P$12)</f>
        <v>2.2425686972677712E-3</v>
      </c>
      <c r="S260" s="1"/>
      <c r="T260" s="1">
        <f>SUM(OSRRefT22_21x_0)</f>
        <v>15492.32</v>
      </c>
      <c r="U260" s="1"/>
      <c r="V260" s="5">
        <f t="shared" ref="V260:V262" si="117">IF(T$12=0,0,T260/T$12)</f>
        <v>2.3005418067956803E-3</v>
      </c>
      <c r="W260" s="1"/>
      <c r="X260" s="1">
        <f t="shared" ref="X260:X262" si="118">+P260-T260</f>
        <v>-758.5</v>
      </c>
      <c r="Y260" s="1"/>
      <c r="Z260" s="5">
        <f t="shared" ref="Z260:Z262" si="119">IF(T260=0,0,X260/T260)</f>
        <v>-4.895974263376951E-2</v>
      </c>
    </row>
    <row r="261" spans="1:26" s="24" customFormat="1" hidden="1" outlineLevel="2" x14ac:dyDescent="0.25">
      <c r="A261" s="26"/>
      <c r="B261" s="11" t="str">
        <f>CONCATENATE("          ", "6303", " - ", "DATA PHONE LINES")</f>
        <v xml:space="preserve">          6303 - DATA PHONE LINES</v>
      </c>
      <c r="C261" s="11"/>
      <c r="D261" s="6">
        <v>295</v>
      </c>
      <c r="E261" s="2"/>
      <c r="F261" s="7">
        <f t="shared" si="112"/>
        <v>4.8293900108798804E-4</v>
      </c>
      <c r="G261" s="2"/>
      <c r="H261" s="6">
        <v>295</v>
      </c>
      <c r="I261" s="2"/>
      <c r="J261" s="7">
        <f t="shared" si="113"/>
        <v>5.5368344858676617E-4</v>
      </c>
      <c r="K261" s="2"/>
      <c r="L261" s="6">
        <f t="shared" si="114"/>
        <v>0</v>
      </c>
      <c r="M261" s="2"/>
      <c r="N261" s="7">
        <f t="shared" si="115"/>
        <v>0</v>
      </c>
      <c r="O261" s="11"/>
      <c r="P261" s="6">
        <v>1475</v>
      </c>
      <c r="Q261" s="2"/>
      <c r="R261" s="7">
        <f t="shared" si="116"/>
        <v>2.2450313825402799E-4</v>
      </c>
      <c r="S261" s="2"/>
      <c r="T261" s="6">
        <v>885</v>
      </c>
      <c r="U261" s="2"/>
      <c r="V261" s="7">
        <f t="shared" si="117"/>
        <v>1.3141863187787089E-4</v>
      </c>
      <c r="W261" s="2"/>
      <c r="X261" s="6">
        <f t="shared" si="118"/>
        <v>590</v>
      </c>
      <c r="Y261" s="2"/>
      <c r="Z261" s="7">
        <f t="shared" si="119"/>
        <v>0.66666666666666663</v>
      </c>
    </row>
    <row r="262" spans="1:26" s="24" customFormat="1" hidden="1" outlineLevel="2" x14ac:dyDescent="0.25">
      <c r="A262" s="26"/>
      <c r="B262" s="11" t="str">
        <f>CONCATENATE("          ", "6309", " - ", "TELEPHONE")</f>
        <v xml:space="preserve">          6309 - TELEPHONE</v>
      </c>
      <c r="C262" s="11"/>
      <c r="D262" s="6">
        <v>2330.75</v>
      </c>
      <c r="E262" s="2"/>
      <c r="F262" s="7">
        <f t="shared" si="112"/>
        <v>3.8156273789350104E-3</v>
      </c>
      <c r="G262" s="2"/>
      <c r="H262" s="6">
        <v>2830.41</v>
      </c>
      <c r="I262" s="2"/>
      <c r="J262" s="7">
        <f t="shared" si="113"/>
        <v>5.3123768464897244E-3</v>
      </c>
      <c r="K262" s="2"/>
      <c r="L262" s="6">
        <f t="shared" si="114"/>
        <v>-499.65999999999985</v>
      </c>
      <c r="M262" s="2"/>
      <c r="N262" s="7">
        <f t="shared" si="115"/>
        <v>-0.17653272847396662</v>
      </c>
      <c r="O262" s="11"/>
      <c r="P262" s="6">
        <v>13258.82</v>
      </c>
      <c r="Q262" s="2"/>
      <c r="R262" s="7">
        <f t="shared" si="116"/>
        <v>2.0180655590137432E-3</v>
      </c>
      <c r="S262" s="2"/>
      <c r="T262" s="6">
        <v>14607.32</v>
      </c>
      <c r="U262" s="2"/>
      <c r="V262" s="7">
        <f t="shared" si="117"/>
        <v>2.1691231749178092E-3</v>
      </c>
      <c r="W262" s="2"/>
      <c r="X262" s="6">
        <f t="shared" si="118"/>
        <v>-1348.5</v>
      </c>
      <c r="Y262" s="2"/>
      <c r="Z262" s="7">
        <f t="shared" si="119"/>
        <v>-9.231672887292125E-2</v>
      </c>
    </row>
    <row r="263" spans="1:26" s="25" customFormat="1" outlineLevel="1" collapsed="1" x14ac:dyDescent="0.25">
      <c r="A263" s="27"/>
      <c r="B263" s="13" t="str">
        <f>CONCATENATE("     ","Training                                          ")</f>
        <v xml:space="preserve">     Training                                          </v>
      </c>
      <c r="C263" s="13"/>
      <c r="D263" s="1">
        <f>SUM(OSRRefD22_22x_0)</f>
        <v>3266.68</v>
      </c>
      <c r="E263" s="1"/>
      <c r="F263" s="5">
        <f t="shared" ref="F263:F268" si="120">IF(D$12=0,0,D263/D$12)</f>
        <v>5.3478209358444363E-3</v>
      </c>
      <c r="G263" s="1"/>
      <c r="H263" s="1">
        <f>SUM(OSRRefH22_22x_0)</f>
        <v>1039.81</v>
      </c>
      <c r="I263" s="1"/>
      <c r="J263" s="5">
        <f t="shared" ref="J263:J268" si="121">IF(H$12=0,0,H263/H$12)</f>
        <v>1.9516121582203569E-3</v>
      </c>
      <c r="K263" s="1"/>
      <c r="L263" s="1">
        <f t="shared" ref="L263:L268" si="122">+D263-H263</f>
        <v>2226.87</v>
      </c>
      <c r="M263" s="1"/>
      <c r="N263" s="5">
        <f t="shared" ref="N263:N268" si="123">IF(H263=0,0,L263/H263)</f>
        <v>2.141612409959512</v>
      </c>
      <c r="O263" s="13"/>
      <c r="P263" s="1">
        <f>SUM(OSRRefP22_22x_0)</f>
        <v>8727.44</v>
      </c>
      <c r="Q263" s="1"/>
      <c r="R263" s="5">
        <f t="shared" ref="R263:R268" si="124">IF(P$12=0,0,P263/P$12)</f>
        <v>1.3283645213042266E-3</v>
      </c>
      <c r="S263" s="1"/>
      <c r="T263" s="1">
        <f>SUM(OSRRefT22_22x_0)</f>
        <v>3270.71</v>
      </c>
      <c r="U263" s="1"/>
      <c r="V263" s="5">
        <f t="shared" ref="V263:V268" si="125">IF(T$12=0,0,T263/T$12)</f>
        <v>4.8568613951330074E-4</v>
      </c>
      <c r="W263" s="1"/>
      <c r="X263" s="1">
        <f t="shared" ref="X263:X268" si="126">+P263-T263</f>
        <v>5456.7300000000005</v>
      </c>
      <c r="Y263" s="1"/>
      <c r="Z263" s="5">
        <f t="shared" ref="Z263:Z268" si="127">IF(T263=0,0,X263/T263)</f>
        <v>1.6683625267908193</v>
      </c>
    </row>
    <row r="264" spans="1:26" s="24" customFormat="1" hidden="1" outlineLevel="2" x14ac:dyDescent="0.25">
      <c r="A264" s="26"/>
      <c r="B264" s="11" t="str">
        <f>CONCATENATE("          ", "6376", " - ", "TRAINING")</f>
        <v xml:space="preserve">          6376 - TRAINING</v>
      </c>
      <c r="C264" s="11"/>
      <c r="D264" s="6">
        <v>3266.68</v>
      </c>
      <c r="E264" s="2"/>
      <c r="F264" s="7">
        <f t="shared" si="120"/>
        <v>5.3478209358444363E-3</v>
      </c>
      <c r="G264" s="2"/>
      <c r="H264" s="6">
        <v>1039.81</v>
      </c>
      <c r="I264" s="2"/>
      <c r="J264" s="7">
        <f t="shared" si="121"/>
        <v>1.9516121582203569E-3</v>
      </c>
      <c r="K264" s="2"/>
      <c r="L264" s="6">
        <f t="shared" si="122"/>
        <v>2226.87</v>
      </c>
      <c r="M264" s="2"/>
      <c r="N264" s="7">
        <f t="shared" si="123"/>
        <v>2.141612409959512</v>
      </c>
      <c r="O264" s="11"/>
      <c r="P264" s="6">
        <v>8727.44</v>
      </c>
      <c r="Q264" s="2"/>
      <c r="R264" s="7">
        <f t="shared" si="124"/>
        <v>1.3283645213042266E-3</v>
      </c>
      <c r="S264" s="2"/>
      <c r="T264" s="6">
        <v>3270.71</v>
      </c>
      <c r="U264" s="2"/>
      <c r="V264" s="7">
        <f t="shared" si="125"/>
        <v>4.8568613951330074E-4</v>
      </c>
      <c r="W264" s="2"/>
      <c r="X264" s="6">
        <f t="shared" si="126"/>
        <v>5456.7300000000005</v>
      </c>
      <c r="Y264" s="2"/>
      <c r="Z264" s="7">
        <f t="shared" si="127"/>
        <v>1.6683625267908193</v>
      </c>
    </row>
    <row r="265" spans="1:26" s="25" customFormat="1" outlineLevel="1" collapsed="1" x14ac:dyDescent="0.25">
      <c r="A265" s="27"/>
      <c r="B265" s="13" t="str">
        <f>CONCATENATE("     ","Travel                                            ")</f>
        <v xml:space="preserve">     Travel                                            </v>
      </c>
      <c r="C265" s="13"/>
      <c r="D265" s="1">
        <f>SUM(OSRRefD22_23x_0)</f>
        <v>176.57999999999998</v>
      </c>
      <c r="E265" s="1"/>
      <c r="F265" s="5">
        <f t="shared" si="120"/>
        <v>2.8907582648175225E-4</v>
      </c>
      <c r="G265" s="1"/>
      <c r="H265" s="1">
        <f>SUM(OSRRefH22_23x_0)</f>
        <v>212.25</v>
      </c>
      <c r="I265" s="1"/>
      <c r="J265" s="5">
        <f t="shared" si="121"/>
        <v>3.9837054902556307E-4</v>
      </c>
      <c r="K265" s="1"/>
      <c r="L265" s="1">
        <f t="shared" si="122"/>
        <v>-35.670000000000016</v>
      </c>
      <c r="M265" s="1"/>
      <c r="N265" s="5">
        <f t="shared" si="123"/>
        <v>-0.16805653710247356</v>
      </c>
      <c r="O265" s="13"/>
      <c r="P265" s="1">
        <f>SUM(OSRRefP22_23x_0)</f>
        <v>1423.6899999999998</v>
      </c>
      <c r="Q265" s="1"/>
      <c r="R265" s="5">
        <f t="shared" si="124"/>
        <v>2.1669347315313701E-4</v>
      </c>
      <c r="S265" s="1"/>
      <c r="T265" s="1">
        <f>SUM(OSRRefT22_23x_0)</f>
        <v>1296.92</v>
      </c>
      <c r="U265" s="1"/>
      <c r="V265" s="5">
        <f t="shared" si="125"/>
        <v>1.925869514746309E-4</v>
      </c>
      <c r="W265" s="1"/>
      <c r="X265" s="1">
        <f t="shared" si="126"/>
        <v>126.76999999999975</v>
      </c>
      <c r="Y265" s="1"/>
      <c r="Z265" s="5">
        <f t="shared" si="127"/>
        <v>9.7746969743700271E-2</v>
      </c>
    </row>
    <row r="266" spans="1:26" s="24" customFormat="1" hidden="1" outlineLevel="2" x14ac:dyDescent="0.25">
      <c r="A266" s="26"/>
      <c r="B266" s="11" t="str">
        <f>CONCATENATE("          ", "6292", " - ", "TRAVEL/CONFERENCE")</f>
        <v xml:space="preserve">          6292 - TRAVEL/CONFERENCE</v>
      </c>
      <c r="C266" s="11"/>
      <c r="D266" s="6">
        <v>-130.1</v>
      </c>
      <c r="E266" s="2"/>
      <c r="F266" s="7">
        <f t="shared" si="120"/>
        <v>-2.1298428488660082E-4</v>
      </c>
      <c r="G266" s="2"/>
      <c r="H266" s="6">
        <v>110.31</v>
      </c>
      <c r="I266" s="2"/>
      <c r="J266" s="7">
        <f t="shared" si="121"/>
        <v>2.0704007191052939E-4</v>
      </c>
      <c r="K266" s="2"/>
      <c r="L266" s="6">
        <f t="shared" si="122"/>
        <v>-240.41</v>
      </c>
      <c r="M266" s="2"/>
      <c r="N266" s="7">
        <f t="shared" si="123"/>
        <v>-2.1794034992294442</v>
      </c>
      <c r="O266" s="11"/>
      <c r="P266" s="6">
        <v>510.55</v>
      </c>
      <c r="Q266" s="2"/>
      <c r="R266" s="7">
        <f t="shared" si="124"/>
        <v>7.7708526939385757E-5</v>
      </c>
      <c r="S266" s="2"/>
      <c r="T266" s="6">
        <v>742.14</v>
      </c>
      <c r="U266" s="2"/>
      <c r="V266" s="7">
        <f t="shared" si="125"/>
        <v>1.1020454628456849E-4</v>
      </c>
      <c r="W266" s="2"/>
      <c r="X266" s="6">
        <f t="shared" si="126"/>
        <v>-231.58999999999997</v>
      </c>
      <c r="Y266" s="2"/>
      <c r="Z266" s="7">
        <f t="shared" si="127"/>
        <v>-0.31205702428113291</v>
      </c>
    </row>
    <row r="267" spans="1:26" s="24" customFormat="1" hidden="1" outlineLevel="2" x14ac:dyDescent="0.25">
      <c r="A267" s="26"/>
      <c r="B267" s="11" t="str">
        <f>CONCATENATE("          ", "6294", " - ", "TRAVEL OPERATIONAL")</f>
        <v xml:space="preserve">          6294 - TRAVEL OPERATIONAL</v>
      </c>
      <c r="C267" s="11"/>
      <c r="D267" s="6">
        <v>257.33</v>
      </c>
      <c r="E267" s="2"/>
      <c r="F267" s="7">
        <f t="shared" si="120"/>
        <v>4.2127014627109139E-4</v>
      </c>
      <c r="G267" s="2"/>
      <c r="H267" s="6">
        <v>55.7</v>
      </c>
      <c r="I267" s="2"/>
      <c r="J267" s="7">
        <f t="shared" si="121"/>
        <v>1.0454294266536568E-4</v>
      </c>
      <c r="K267" s="2"/>
      <c r="L267" s="6">
        <f t="shared" si="122"/>
        <v>201.63</v>
      </c>
      <c r="M267" s="2"/>
      <c r="N267" s="7">
        <f t="shared" si="123"/>
        <v>3.6199281867145419</v>
      </c>
      <c r="O267" s="11"/>
      <c r="P267" s="6">
        <v>693.8</v>
      </c>
      <c r="Q267" s="2"/>
      <c r="R267" s="7">
        <f t="shared" si="124"/>
        <v>1.0560018801399634E-4</v>
      </c>
      <c r="S267" s="2"/>
      <c r="T267" s="6">
        <v>393.3</v>
      </c>
      <c r="U267" s="2"/>
      <c r="V267" s="7">
        <f t="shared" si="125"/>
        <v>5.8403330980301275E-5</v>
      </c>
      <c r="W267" s="2"/>
      <c r="X267" s="6">
        <f t="shared" si="126"/>
        <v>300.49999999999994</v>
      </c>
      <c r="Y267" s="2"/>
      <c r="Z267" s="7">
        <f t="shared" si="127"/>
        <v>0.76404780066107281</v>
      </c>
    </row>
    <row r="268" spans="1:26" s="24" customFormat="1" hidden="1" outlineLevel="2" x14ac:dyDescent="0.25">
      <c r="A268" s="26"/>
      <c r="B268" s="11" t="str">
        <f>CONCATENATE("          ", "6298", " - ", "VEHICLE MILEAGE")</f>
        <v xml:space="preserve">          6298 - VEHICLE MILEAGE</v>
      </c>
      <c r="C268" s="11"/>
      <c r="D268" s="6">
        <v>49.35</v>
      </c>
      <c r="E268" s="2"/>
      <c r="F268" s="7">
        <f t="shared" si="120"/>
        <v>8.0789965097261725E-5</v>
      </c>
      <c r="G268" s="2"/>
      <c r="H268" s="6">
        <v>46.24</v>
      </c>
      <c r="I268" s="2"/>
      <c r="J268" s="7">
        <f t="shared" si="121"/>
        <v>8.6787534449668028E-5</v>
      </c>
      <c r="K268" s="2"/>
      <c r="L268" s="6">
        <f t="shared" si="122"/>
        <v>3.1099999999999994</v>
      </c>
      <c r="M268" s="2"/>
      <c r="N268" s="7">
        <f t="shared" si="123"/>
        <v>6.7257785467128017E-2</v>
      </c>
      <c r="O268" s="11"/>
      <c r="P268" s="6">
        <v>219.34</v>
      </c>
      <c r="Q268" s="2"/>
      <c r="R268" s="7">
        <f t="shared" si="124"/>
        <v>3.3384758199754917E-5</v>
      </c>
      <c r="S268" s="2"/>
      <c r="T268" s="6">
        <v>161.47999999999999</v>
      </c>
      <c r="U268" s="2"/>
      <c r="V268" s="7">
        <f t="shared" si="125"/>
        <v>2.3979074209761121E-5</v>
      </c>
      <c r="W268" s="2"/>
      <c r="X268" s="6">
        <f t="shared" si="126"/>
        <v>57.860000000000014</v>
      </c>
      <c r="Y268" s="2"/>
      <c r="Z268" s="7">
        <f t="shared" si="127"/>
        <v>0.3583106267029974</v>
      </c>
    </row>
    <row r="269" spans="1:26" s="25" customFormat="1" outlineLevel="1" collapsed="1" x14ac:dyDescent="0.25">
      <c r="A269" s="27"/>
      <c r="B269" s="13" t="str">
        <f>CONCATENATE("     ","Utilities                                         ")</f>
        <v xml:space="preserve">     Utilities                                         </v>
      </c>
      <c r="C269" s="13"/>
      <c r="D269" s="1">
        <f>SUM(OSRRefD22_24x_0)</f>
        <v>5624.26</v>
      </c>
      <c r="E269" s="1"/>
      <c r="F269" s="5">
        <f t="shared" ref="F269:F270" si="128">IF(D$12=0,0,D269/D$12)</f>
        <v>9.2073712076580598E-3</v>
      </c>
      <c r="G269" s="1"/>
      <c r="H269" s="1">
        <f>SUM(OSRRefH22_24x_0)</f>
        <v>5648.99</v>
      </c>
      <c r="I269" s="1"/>
      <c r="J269" s="5">
        <f t="shared" ref="J269:J270" si="129">IF(H$12=0,0,H269/H$12)</f>
        <v>1.0602550048244596E-2</v>
      </c>
      <c r="K269" s="1"/>
      <c r="L269" s="1">
        <f t="shared" ref="L269:L270" si="130">+D269-H269</f>
        <v>-24.729999999999563</v>
      </c>
      <c r="M269" s="1"/>
      <c r="N269" s="5">
        <f t="shared" ref="N269:N270" si="131">IF(H269=0,0,L269/H269)</f>
        <v>-4.37777372592261E-3</v>
      </c>
      <c r="O269" s="13"/>
      <c r="P269" s="1">
        <f>SUM(OSRRefP22_24x_0)</f>
        <v>22598.92</v>
      </c>
      <c r="Q269" s="1"/>
      <c r="R269" s="5">
        <f t="shared" ref="R269:R270" si="132">IF(P$12=0,0,P269/P$12)</f>
        <v>3.4396803126452327E-3</v>
      </c>
      <c r="S269" s="1"/>
      <c r="T269" s="1">
        <f>SUM(OSRRefT22_24x_0)</f>
        <v>20922.240000000002</v>
      </c>
      <c r="U269" s="1"/>
      <c r="V269" s="5">
        <f t="shared" ref="V269:V270" si="133">IF(T$12=0,0,T269/T$12)</f>
        <v>3.1068611939214304E-3</v>
      </c>
      <c r="W269" s="1"/>
      <c r="X269" s="1">
        <f t="shared" ref="X269:X270" si="134">+P269-T269</f>
        <v>1676.6799999999967</v>
      </c>
      <c r="Y269" s="1"/>
      <c r="Z269" s="5">
        <f t="shared" ref="Z269:Z270" si="135">IF(T269=0,0,X269/T269)</f>
        <v>8.0138646722339321E-2</v>
      </c>
    </row>
    <row r="270" spans="1:26" s="24" customFormat="1" hidden="1" outlineLevel="2" x14ac:dyDescent="0.25">
      <c r="A270" s="26"/>
      <c r="B270" s="11" t="str">
        <f>CONCATENATE("          ", "6274", " - ", "UTILITIES")</f>
        <v xml:space="preserve">          6274 - UTILITIES</v>
      </c>
      <c r="C270" s="11"/>
      <c r="D270" s="6">
        <v>5624.26</v>
      </c>
      <c r="E270" s="2"/>
      <c r="F270" s="7">
        <f t="shared" si="128"/>
        <v>9.2073712076580598E-3</v>
      </c>
      <c r="G270" s="2"/>
      <c r="H270" s="6">
        <v>5648.99</v>
      </c>
      <c r="I270" s="2"/>
      <c r="J270" s="7">
        <f t="shared" si="129"/>
        <v>1.0602550048244596E-2</v>
      </c>
      <c r="K270" s="2"/>
      <c r="L270" s="6">
        <f t="shared" si="130"/>
        <v>-24.729999999999563</v>
      </c>
      <c r="M270" s="2"/>
      <c r="N270" s="7">
        <f t="shared" si="131"/>
        <v>-4.37777372592261E-3</v>
      </c>
      <c r="O270" s="11"/>
      <c r="P270" s="6">
        <v>22598.92</v>
      </c>
      <c r="Q270" s="2"/>
      <c r="R270" s="7">
        <f t="shared" si="132"/>
        <v>3.4396803126452327E-3</v>
      </c>
      <c r="S270" s="2"/>
      <c r="T270" s="6">
        <v>20922.240000000002</v>
      </c>
      <c r="U270" s="2"/>
      <c r="V270" s="7">
        <f t="shared" si="133"/>
        <v>3.1068611939214304E-3</v>
      </c>
      <c r="W270" s="2"/>
      <c r="X270" s="6">
        <f t="shared" si="134"/>
        <v>1676.6799999999967</v>
      </c>
      <c r="Y270" s="2"/>
      <c r="Z270" s="7">
        <f t="shared" si="135"/>
        <v>8.0138646722339321E-2</v>
      </c>
    </row>
    <row r="271" spans="1:26" s="53" customFormat="1" x14ac:dyDescent="0.25">
      <c r="A271" s="37"/>
      <c r="B271" s="37"/>
      <c r="C271" s="37"/>
      <c r="D271" s="1"/>
      <c r="E271" s="1"/>
      <c r="F271" s="5"/>
      <c r="G271" s="1"/>
      <c r="H271" s="1"/>
      <c r="I271" s="1"/>
      <c r="J271" s="5"/>
      <c r="K271" s="1"/>
      <c r="L271" s="1"/>
      <c r="M271" s="1"/>
      <c r="N271" s="5"/>
      <c r="O271" s="37"/>
      <c r="P271" s="1"/>
      <c r="Q271" s="1"/>
      <c r="R271" s="5"/>
      <c r="S271" s="1"/>
      <c r="T271" s="1"/>
      <c r="U271" s="1"/>
      <c r="V271" s="5"/>
      <c r="W271" s="1"/>
      <c r="X271" s="1"/>
      <c r="Y271" s="1"/>
      <c r="Z271" s="5"/>
    </row>
    <row r="272" spans="1:26" s="23" customFormat="1" collapsed="1" x14ac:dyDescent="0.25">
      <c r="A272" s="10"/>
      <c r="B272" s="28" t="s">
        <v>0</v>
      </c>
      <c r="C272" s="10"/>
      <c r="D272" s="4">
        <f>SUM(OSRRefD25x_0)</f>
        <v>22346.430000000004</v>
      </c>
      <c r="E272" s="4"/>
      <c r="F272" s="12">
        <f t="shared" ref="F272:F283" si="136">IF(D$12=0,0,D272/D$12)</f>
        <v>3.6582924007059835E-2</v>
      </c>
      <c r="G272" s="4"/>
      <c r="H272" s="4">
        <f>SUM(OSRRefH25x_0)</f>
        <v>50207.719999999994</v>
      </c>
      <c r="I272" s="4"/>
      <c r="J272" s="12">
        <f t="shared" ref="J272:J283" si="137">IF(H$12=0,0,H272/H$12)</f>
        <v>9.4234520526368631E-2</v>
      </c>
      <c r="K272" s="4"/>
      <c r="L272" s="4">
        <f t="shared" ref="L272:L283" si="138">+D272-H272</f>
        <v>-27861.28999999999</v>
      </c>
      <c r="M272" s="4"/>
      <c r="N272" s="12">
        <f t="shared" ref="N272:N283" si="139">IF(H272=0,0,L272/H272)</f>
        <v>-0.55492043853017015</v>
      </c>
      <c r="O272" s="10"/>
      <c r="P272" s="4">
        <f>SUM(OSRRefP25x_0)</f>
        <v>407632.37</v>
      </c>
      <c r="Q272" s="4"/>
      <c r="R272" s="12">
        <f t="shared" ref="R272:R283" si="140">IF(P$12=0,0,P272/P$12)</f>
        <v>6.2043895809442098E-2</v>
      </c>
      <c r="S272" s="4"/>
      <c r="T272" s="4">
        <f>SUM(OSRRefT25x_0)</f>
        <v>373203.36</v>
      </c>
      <c r="U272" s="4"/>
      <c r="V272" s="12">
        <f t="shared" ref="V272:V283" si="141">IF(T$12=0,0,T272/T$12)</f>
        <v>5.5419067777880825E-2</v>
      </c>
      <c r="W272" s="4"/>
      <c r="X272" s="4">
        <f t="shared" ref="X272:X283" si="142">+P272-T272</f>
        <v>34429.010000000009</v>
      </c>
      <c r="Y272" s="4"/>
      <c r="Z272" s="12">
        <f t="shared" ref="Z272:Z283" si="143">IF(T272=0,0,X272/T272)</f>
        <v>9.225267961145904E-2</v>
      </c>
    </row>
    <row r="273" spans="1:26" s="24" customFormat="1" hidden="1" outlineLevel="1" x14ac:dyDescent="0.25">
      <c r="A273" s="44"/>
      <c r="B273" s="11" t="str">
        <f>CONCATENATE("          ", "4098", " - ", "TAXABLE SALES-GRAD RENTALS")</f>
        <v xml:space="preserve">          4098 - TAXABLE SALES-GRAD RENTALS</v>
      </c>
      <c r="C273" s="11"/>
      <c r="D273" s="2">
        <f>0</f>
        <v>0</v>
      </c>
      <c r="E273" s="2"/>
      <c r="F273" s="19">
        <f t="shared" si="136"/>
        <v>0</v>
      </c>
      <c r="G273" s="2"/>
      <c r="H273" s="2">
        <f>--980.5</f>
        <v>980.5</v>
      </c>
      <c r="I273" s="2"/>
      <c r="J273" s="19">
        <f t="shared" si="137"/>
        <v>1.840293631658726E-3</v>
      </c>
      <c r="K273" s="2"/>
      <c r="L273" s="2">
        <f t="shared" si="138"/>
        <v>-980.5</v>
      </c>
      <c r="M273" s="2"/>
      <c r="N273" s="19">
        <f t="shared" si="139"/>
        <v>-1</v>
      </c>
      <c r="O273" s="11"/>
      <c r="P273" s="2">
        <f>--1626.85</f>
        <v>1626.85</v>
      </c>
      <c r="Q273" s="2"/>
      <c r="R273" s="19">
        <f t="shared" si="140"/>
        <v>2.4761554608038335E-4</v>
      </c>
      <c r="S273" s="2"/>
      <c r="T273" s="2">
        <f>--980.5</f>
        <v>980.5</v>
      </c>
      <c r="U273" s="2"/>
      <c r="V273" s="19">
        <f t="shared" si="141"/>
        <v>1.4559996447034173E-4</v>
      </c>
      <c r="W273" s="2"/>
      <c r="X273" s="2">
        <f t="shared" si="142"/>
        <v>646.34999999999991</v>
      </c>
      <c r="Y273" s="2"/>
      <c r="Z273" s="19">
        <f t="shared" si="143"/>
        <v>0.65920448750637417</v>
      </c>
    </row>
    <row r="274" spans="1:26" s="24" customFormat="1" hidden="1" outlineLevel="1" x14ac:dyDescent="0.25">
      <c r="A274" s="44"/>
      <c r="B274" s="11" t="str">
        <f>CONCATENATE("          ", "4187", " - ", "NON-TAXABLE SALES-COMPUTER REP")</f>
        <v xml:space="preserve">          4187 - NON-TAXABLE SALES-COMPUTER REP</v>
      </c>
      <c r="C274" s="11"/>
      <c r="D274" s="2">
        <f>--949.24</f>
        <v>949.24</v>
      </c>
      <c r="E274" s="2"/>
      <c r="F274" s="19">
        <f t="shared" si="136"/>
        <v>1.5539831098059721E-3</v>
      </c>
      <c r="G274" s="2"/>
      <c r="H274" s="2">
        <f>--701.66</f>
        <v>701.66</v>
      </c>
      <c r="I274" s="2"/>
      <c r="J274" s="19">
        <f t="shared" si="137"/>
        <v>1.3169407746962383E-3</v>
      </c>
      <c r="K274" s="2"/>
      <c r="L274" s="2">
        <f t="shared" si="138"/>
        <v>247.58000000000004</v>
      </c>
      <c r="M274" s="2"/>
      <c r="N274" s="19">
        <f t="shared" si="139"/>
        <v>0.35284895818487594</v>
      </c>
      <c r="O274" s="11"/>
      <c r="P274" s="2">
        <f>--12731.93</f>
        <v>12731.93</v>
      </c>
      <c r="Q274" s="2"/>
      <c r="R274" s="19">
        <f t="shared" si="140"/>
        <v>1.9378699939190554E-3</v>
      </c>
      <c r="S274" s="2"/>
      <c r="T274" s="2">
        <f>--4961.38</f>
        <v>4961.38</v>
      </c>
      <c r="U274" s="2"/>
      <c r="V274" s="19">
        <f t="shared" si="141"/>
        <v>7.3674324500139113E-4</v>
      </c>
      <c r="W274" s="2"/>
      <c r="X274" s="2">
        <f t="shared" si="142"/>
        <v>7770.55</v>
      </c>
      <c r="Y274" s="2"/>
      <c r="Z274" s="19">
        <f t="shared" si="143"/>
        <v>1.5662073858482921</v>
      </c>
    </row>
    <row r="275" spans="1:26" s="24" customFormat="1" hidden="1" outlineLevel="1" x14ac:dyDescent="0.25">
      <c r="A275" s="44"/>
      <c r="B275" s="11" t="str">
        <f>CONCATENATE("          ", "4197", " - ", "NON-TAXABLE SALES-RETURNED CHE")</f>
        <v xml:space="preserve">          4197 - NON-TAXABLE SALES-RETURNED CHE</v>
      </c>
      <c r="C275" s="11"/>
      <c r="D275" s="2">
        <f t="shared" ref="D275:D276" si="144">0</f>
        <v>0</v>
      </c>
      <c r="E275" s="2"/>
      <c r="F275" s="19">
        <f t="shared" si="136"/>
        <v>0</v>
      </c>
      <c r="G275" s="2"/>
      <c r="H275" s="2">
        <f>0</f>
        <v>0</v>
      </c>
      <c r="I275" s="2"/>
      <c r="J275" s="19">
        <f t="shared" si="137"/>
        <v>0</v>
      </c>
      <c r="K275" s="2"/>
      <c r="L275" s="2">
        <f t="shared" si="138"/>
        <v>0</v>
      </c>
      <c r="M275" s="2"/>
      <c r="N275" s="19">
        <f t="shared" si="139"/>
        <v>0</v>
      </c>
      <c r="O275" s="11"/>
      <c r="P275" s="2">
        <f>--30</f>
        <v>30</v>
      </c>
      <c r="Q275" s="2"/>
      <c r="R275" s="19">
        <f t="shared" si="140"/>
        <v>4.5661655238107393E-6</v>
      </c>
      <c r="S275" s="2"/>
      <c r="T275" s="2">
        <f>--260</f>
        <v>260</v>
      </c>
      <c r="U275" s="2"/>
      <c r="V275" s="19">
        <f t="shared" si="141"/>
        <v>3.8608863602538345E-5</v>
      </c>
      <c r="W275" s="2"/>
      <c r="X275" s="2">
        <f t="shared" si="142"/>
        <v>-230</v>
      </c>
      <c r="Y275" s="2"/>
      <c r="Z275" s="19">
        <f t="shared" si="143"/>
        <v>-0.88461538461538458</v>
      </c>
    </row>
    <row r="276" spans="1:26" s="24" customFormat="1" hidden="1" outlineLevel="1" x14ac:dyDescent="0.25">
      <c r="A276" s="44"/>
      <c r="B276" s="11" t="str">
        <f>CONCATENATE("          ", "4198", " - ", "NON-TAXABLE SALES-GRAD RENTALS")</f>
        <v xml:space="preserve">          4198 - NON-TAXABLE SALES-GRAD RENTALS</v>
      </c>
      <c r="C276" s="11"/>
      <c r="D276" s="2">
        <f t="shared" si="144"/>
        <v>0</v>
      </c>
      <c r="E276" s="2"/>
      <c r="F276" s="19">
        <f t="shared" si="136"/>
        <v>0</v>
      </c>
      <c r="G276" s="2"/>
      <c r="H276" s="2">
        <f>--15</f>
        <v>15</v>
      </c>
      <c r="I276" s="2"/>
      <c r="J276" s="19">
        <f t="shared" si="137"/>
        <v>2.8153395690852517E-5</v>
      </c>
      <c r="K276" s="2"/>
      <c r="L276" s="2">
        <f t="shared" si="138"/>
        <v>-15</v>
      </c>
      <c r="M276" s="2"/>
      <c r="N276" s="19">
        <f t="shared" si="139"/>
        <v>-1</v>
      </c>
      <c r="O276" s="11"/>
      <c r="P276" s="2">
        <f>--495</f>
        <v>495</v>
      </c>
      <c r="Q276" s="2"/>
      <c r="R276" s="19">
        <f t="shared" si="140"/>
        <v>7.5341731142877194E-5</v>
      </c>
      <c r="S276" s="2"/>
      <c r="T276" s="2">
        <f>--450</f>
        <v>450</v>
      </c>
      <c r="U276" s="2"/>
      <c r="V276" s="19">
        <f t="shared" si="141"/>
        <v>6.682303315823944E-5</v>
      </c>
      <c r="W276" s="2"/>
      <c r="X276" s="2">
        <f t="shared" si="142"/>
        <v>45</v>
      </c>
      <c r="Y276" s="2"/>
      <c r="Z276" s="19">
        <f t="shared" si="143"/>
        <v>0.1</v>
      </c>
    </row>
    <row r="277" spans="1:26" s="24" customFormat="1" hidden="1" outlineLevel="1" x14ac:dyDescent="0.25">
      <c r="A277" s="44"/>
      <c r="B277" s="11" t="str">
        <f>CONCATENATE("          ", "4387", " - ", "SALES RETURN NON TAXABLE-COMPU")</f>
        <v xml:space="preserve">          4387 - SALES RETURN NON TAXABLE-COMPU</v>
      </c>
      <c r="C277" s="11"/>
      <c r="D277" s="2">
        <f>-1098.25</f>
        <v>-1098.25</v>
      </c>
      <c r="E277" s="2"/>
      <c r="F277" s="19">
        <f t="shared" si="136"/>
        <v>-1.7979246032029928E-3</v>
      </c>
      <c r="G277" s="2"/>
      <c r="H277" s="2">
        <f>0</f>
        <v>0</v>
      </c>
      <c r="I277" s="2"/>
      <c r="J277" s="19">
        <f t="shared" si="137"/>
        <v>0</v>
      </c>
      <c r="K277" s="2"/>
      <c r="L277" s="2">
        <f t="shared" si="138"/>
        <v>-1098.25</v>
      </c>
      <c r="M277" s="2"/>
      <c r="N277" s="19">
        <f t="shared" si="139"/>
        <v>0</v>
      </c>
      <c r="O277" s="11"/>
      <c r="P277" s="2">
        <f>-7889</f>
        <v>-7889</v>
      </c>
      <c r="Q277" s="2"/>
      <c r="R277" s="19">
        <f t="shared" si="140"/>
        <v>-1.2007493272447639E-3</v>
      </c>
      <c r="S277" s="2"/>
      <c r="T277" s="2">
        <f>0</f>
        <v>0</v>
      </c>
      <c r="U277" s="2"/>
      <c r="V277" s="19">
        <f t="shared" si="141"/>
        <v>0</v>
      </c>
      <c r="W277" s="2"/>
      <c r="X277" s="2">
        <f t="shared" si="142"/>
        <v>-7889</v>
      </c>
      <c r="Y277" s="2"/>
      <c r="Z277" s="19">
        <f t="shared" si="143"/>
        <v>0</v>
      </c>
    </row>
    <row r="278" spans="1:26" s="24" customFormat="1" hidden="1" outlineLevel="1" x14ac:dyDescent="0.25">
      <c r="A278" s="44"/>
      <c r="B278" s="11" t="str">
        <f>CONCATENATE("          ", "9150", " - ", "MISC. INCOME")</f>
        <v xml:space="preserve">          9150 - MISC. INCOME</v>
      </c>
      <c r="C278" s="11"/>
      <c r="D278" s="2">
        <f>--20586.22</f>
        <v>20586.22</v>
      </c>
      <c r="E278" s="2"/>
      <c r="F278" s="19">
        <f t="shared" si="136"/>
        <v>3.3701317027042585E-2</v>
      </c>
      <c r="G278" s="2"/>
      <c r="H278" s="2">
        <f>--48472.77</f>
        <v>48472.77</v>
      </c>
      <c r="I278" s="2"/>
      <c r="J278" s="19">
        <f t="shared" si="137"/>
        <v>9.0978204936112334E-2</v>
      </c>
      <c r="K278" s="2"/>
      <c r="L278" s="2">
        <f t="shared" si="138"/>
        <v>-27886.549999999996</v>
      </c>
      <c r="M278" s="2"/>
      <c r="N278" s="19">
        <f t="shared" si="139"/>
        <v>-0.57530341261702178</v>
      </c>
      <c r="O278" s="11"/>
      <c r="P278" s="2">
        <f>--228533.45</f>
        <v>228533.45</v>
      </c>
      <c r="Q278" s="2"/>
      <c r="R278" s="19">
        <f t="shared" si="140"/>
        <v>3.4784052014250846E-2</v>
      </c>
      <c r="S278" s="2"/>
      <c r="T278" s="2">
        <f>--362356.8</f>
        <v>362356.8</v>
      </c>
      <c r="U278" s="2"/>
      <c r="V278" s="19">
        <f t="shared" si="141"/>
        <v>5.3808401025585637E-2</v>
      </c>
      <c r="W278" s="2"/>
      <c r="X278" s="2">
        <f t="shared" si="142"/>
        <v>-133823.34999999998</v>
      </c>
      <c r="Y278" s="2"/>
      <c r="Z278" s="19">
        <f t="shared" si="143"/>
        <v>-0.36931375373664849</v>
      </c>
    </row>
    <row r="279" spans="1:26" s="24" customFormat="1" hidden="1" outlineLevel="1" x14ac:dyDescent="0.25">
      <c r="A279" s="44"/>
      <c r="B279" s="11" t="str">
        <f>CONCATENATE("          ", "9151", " - ", "MISC. INCOME")</f>
        <v xml:space="preserve">          9151 - MISC. INCOME</v>
      </c>
      <c r="C279" s="11"/>
      <c r="D279" s="2">
        <f>0</f>
        <v>0</v>
      </c>
      <c r="E279" s="2"/>
      <c r="F279" s="19">
        <f t="shared" si="136"/>
        <v>0</v>
      </c>
      <c r="G279" s="2"/>
      <c r="H279" s="2">
        <f>0</f>
        <v>0</v>
      </c>
      <c r="I279" s="2"/>
      <c r="J279" s="19">
        <f t="shared" si="137"/>
        <v>0</v>
      </c>
      <c r="K279" s="2"/>
      <c r="L279" s="2">
        <f t="shared" si="138"/>
        <v>0</v>
      </c>
      <c r="M279" s="2"/>
      <c r="N279" s="19">
        <f t="shared" si="139"/>
        <v>0</v>
      </c>
      <c r="O279" s="11"/>
      <c r="P279" s="2">
        <f>--87224.27</f>
        <v>87224.27</v>
      </c>
      <c r="Q279" s="2"/>
      <c r="R279" s="19">
        <f t="shared" si="140"/>
        <v>1.3276015150451978E-2</v>
      </c>
      <c r="S279" s="2"/>
      <c r="T279" s="2">
        <f>--649.77</f>
        <v>649.77</v>
      </c>
      <c r="U279" s="2"/>
      <c r="V279" s="19">
        <f t="shared" si="141"/>
        <v>9.6488005011620528E-5</v>
      </c>
      <c r="W279" s="2"/>
      <c r="X279" s="2">
        <f t="shared" si="142"/>
        <v>86574.5</v>
      </c>
      <c r="Y279" s="2"/>
      <c r="Z279" s="19">
        <f t="shared" si="143"/>
        <v>133.23868445757731</v>
      </c>
    </row>
    <row r="280" spans="1:26" s="24" customFormat="1" hidden="1" outlineLevel="1" x14ac:dyDescent="0.25">
      <c r="A280" s="44"/>
      <c r="B280" s="11" t="str">
        <f>CONCATENATE("          ", "9152", " - ", "MISC. INCOME")</f>
        <v xml:space="preserve">          9152 - MISC. INCOME</v>
      </c>
      <c r="C280" s="11"/>
      <c r="D280" s="2">
        <f>--154.22</f>
        <v>154.22</v>
      </c>
      <c r="E280" s="2"/>
      <c r="F280" s="19">
        <f t="shared" si="136"/>
        <v>2.5247068728064242E-4</v>
      </c>
      <c r="G280" s="2"/>
      <c r="H280" s="2">
        <f>--37.79</f>
        <v>37.79</v>
      </c>
      <c r="I280" s="2"/>
      <c r="J280" s="19">
        <f t="shared" si="137"/>
        <v>7.0927788210487771E-5</v>
      </c>
      <c r="K280" s="2"/>
      <c r="L280" s="2">
        <f t="shared" si="138"/>
        <v>116.43</v>
      </c>
      <c r="M280" s="2"/>
      <c r="N280" s="19">
        <f t="shared" si="139"/>
        <v>3.0809738025932787</v>
      </c>
      <c r="O280" s="11"/>
      <c r="P280" s="2">
        <f>--848.32</f>
        <v>848.32</v>
      </c>
      <c r="Q280" s="2"/>
      <c r="R280" s="19">
        <f t="shared" si="140"/>
        <v>1.2911898457197089E-4</v>
      </c>
      <c r="S280" s="2"/>
      <c r="T280" s="2">
        <f>--3254.91</f>
        <v>3254.91</v>
      </c>
      <c r="U280" s="2"/>
      <c r="V280" s="19">
        <f t="shared" si="141"/>
        <v>4.8333990857130028E-4</v>
      </c>
      <c r="W280" s="2"/>
      <c r="X280" s="2">
        <f t="shared" si="142"/>
        <v>-2406.5899999999997</v>
      </c>
      <c r="Y280" s="2"/>
      <c r="Z280" s="19">
        <f t="shared" si="143"/>
        <v>-0.73937220998430053</v>
      </c>
    </row>
    <row r="281" spans="1:26" s="24" customFormat="1" hidden="1" outlineLevel="1" x14ac:dyDescent="0.25">
      <c r="A281" s="44"/>
      <c r="B281" s="11" t="str">
        <f>CONCATENATE("          ", "9153", " - ", "MISC. INCOME")</f>
        <v xml:space="preserve">          9153 - MISC. INCOME</v>
      </c>
      <c r="C281" s="11"/>
      <c r="D281" s="2">
        <f>--450</f>
        <v>450</v>
      </c>
      <c r="E281" s="2"/>
      <c r="F281" s="19">
        <f t="shared" si="136"/>
        <v>7.366866118291343E-4</v>
      </c>
      <c r="G281" s="2"/>
      <c r="H281" s="2">
        <f t="shared" ref="H281:H283" si="145">0</f>
        <v>0</v>
      </c>
      <c r="I281" s="2"/>
      <c r="J281" s="19">
        <f t="shared" si="137"/>
        <v>0</v>
      </c>
      <c r="K281" s="2"/>
      <c r="L281" s="2">
        <f t="shared" si="138"/>
        <v>450</v>
      </c>
      <c r="M281" s="2"/>
      <c r="N281" s="19">
        <f t="shared" si="139"/>
        <v>0</v>
      </c>
      <c r="O281" s="11"/>
      <c r="P281" s="2">
        <f>--450</f>
        <v>450</v>
      </c>
      <c r="Q281" s="2"/>
      <c r="R281" s="19">
        <f t="shared" si="140"/>
        <v>6.8492482857161082E-5</v>
      </c>
      <c r="S281" s="2"/>
      <c r="T281" s="2">
        <f>0</f>
        <v>0</v>
      </c>
      <c r="U281" s="2"/>
      <c r="V281" s="19">
        <f t="shared" si="141"/>
        <v>0</v>
      </c>
      <c r="W281" s="2"/>
      <c r="X281" s="2">
        <f t="shared" si="142"/>
        <v>450</v>
      </c>
      <c r="Y281" s="2"/>
      <c r="Z281" s="19">
        <f t="shared" si="143"/>
        <v>0</v>
      </c>
    </row>
    <row r="282" spans="1:26" s="24" customFormat="1" hidden="1" outlineLevel="1" x14ac:dyDescent="0.25">
      <c r="A282" s="44"/>
      <c r="B282" s="11" t="str">
        <f>CONCATENATE("          ", "9160", " - ", "MISC. INCOME")</f>
        <v xml:space="preserve">          9160 - MISC. INCOME</v>
      </c>
      <c r="C282" s="11"/>
      <c r="D282" s="2">
        <f>--1305</f>
        <v>1305</v>
      </c>
      <c r="E282" s="2"/>
      <c r="F282" s="19">
        <f t="shared" si="136"/>
        <v>2.1363911743044893E-3</v>
      </c>
      <c r="G282" s="2"/>
      <c r="H282" s="2">
        <f t="shared" si="145"/>
        <v>0</v>
      </c>
      <c r="I282" s="2"/>
      <c r="J282" s="19">
        <f t="shared" si="137"/>
        <v>0</v>
      </c>
      <c r="K282" s="2"/>
      <c r="L282" s="2">
        <f t="shared" si="138"/>
        <v>1305</v>
      </c>
      <c r="M282" s="2"/>
      <c r="N282" s="19">
        <f t="shared" si="139"/>
        <v>0</v>
      </c>
      <c r="O282" s="11"/>
      <c r="P282" s="2">
        <f>--22475</f>
        <v>22475</v>
      </c>
      <c r="Q282" s="2"/>
      <c r="R282" s="19">
        <f t="shared" si="140"/>
        <v>3.4208190049215452E-3</v>
      </c>
      <c r="S282" s="2"/>
      <c r="T282" s="2">
        <f>--290</f>
        <v>290</v>
      </c>
      <c r="U282" s="2"/>
      <c r="V282" s="19">
        <f t="shared" si="141"/>
        <v>4.3063732479754304E-5</v>
      </c>
      <c r="W282" s="2"/>
      <c r="X282" s="2">
        <f t="shared" si="142"/>
        <v>22185</v>
      </c>
      <c r="Y282" s="2"/>
      <c r="Z282" s="19">
        <f t="shared" si="143"/>
        <v>76.5</v>
      </c>
    </row>
    <row r="283" spans="1:26" s="24" customFormat="1" hidden="1" outlineLevel="1" x14ac:dyDescent="0.25">
      <c r="A283" s="44"/>
      <c r="B283" s="11" t="str">
        <f>CONCATENATE("          ", "9163", " - ", "MISC. INCOME")</f>
        <v xml:space="preserve">          9163 - MISC. INCOME</v>
      </c>
      <c r="C283" s="11"/>
      <c r="D283" s="2">
        <f>0</f>
        <v>0</v>
      </c>
      <c r="E283" s="2"/>
      <c r="F283" s="19">
        <f t="shared" si="136"/>
        <v>0</v>
      </c>
      <c r="G283" s="2"/>
      <c r="H283" s="2">
        <f t="shared" si="145"/>
        <v>0</v>
      </c>
      <c r="I283" s="2"/>
      <c r="J283" s="19">
        <f t="shared" si="137"/>
        <v>0</v>
      </c>
      <c r="K283" s="2"/>
      <c r="L283" s="2">
        <f t="shared" si="138"/>
        <v>0</v>
      </c>
      <c r="M283" s="2"/>
      <c r="N283" s="19">
        <f t="shared" si="139"/>
        <v>0</v>
      </c>
      <c r="O283" s="11"/>
      <c r="P283" s="2">
        <f>--61106.55</f>
        <v>61106.55</v>
      </c>
      <c r="Q283" s="2"/>
      <c r="R283" s="19">
        <f t="shared" si="140"/>
        <v>9.3007540629672369E-3</v>
      </c>
      <c r="S283" s="2"/>
      <c r="T283" s="2">
        <f>0</f>
        <v>0</v>
      </c>
      <c r="U283" s="2"/>
      <c r="V283" s="19">
        <f t="shared" si="141"/>
        <v>0</v>
      </c>
      <c r="W283" s="2"/>
      <c r="X283" s="2">
        <f t="shared" si="142"/>
        <v>61106.55</v>
      </c>
      <c r="Y283" s="2"/>
      <c r="Z283" s="19">
        <f t="shared" si="143"/>
        <v>0</v>
      </c>
    </row>
    <row r="284" spans="1:26" x14ac:dyDescent="0.25">
      <c r="A284" s="9"/>
      <c r="B284" s="10"/>
      <c r="C284" s="10"/>
      <c r="D284" s="3"/>
      <c r="E284" s="3"/>
      <c r="F284" s="8"/>
      <c r="G284" s="3"/>
      <c r="H284" s="3"/>
      <c r="I284" s="3"/>
      <c r="J284" s="8"/>
      <c r="K284" s="3"/>
      <c r="L284" s="3"/>
      <c r="M284" s="3"/>
      <c r="N284" s="8"/>
      <c r="O284" s="10"/>
      <c r="P284" s="3"/>
      <c r="Q284" s="3"/>
      <c r="R284" s="8"/>
      <c r="S284" s="3"/>
      <c r="T284" s="3"/>
      <c r="U284" s="3"/>
      <c r="V284" s="8"/>
      <c r="W284" s="3"/>
      <c r="X284" s="3"/>
      <c r="Y284" s="3"/>
      <c r="Z284" s="8"/>
    </row>
    <row r="285" spans="1:26" s="23" customFormat="1" x14ac:dyDescent="0.25">
      <c r="A285" s="10"/>
      <c r="B285" s="29" t="s">
        <v>3</v>
      </c>
      <c r="C285" s="29"/>
      <c r="D285" s="21">
        <f>+D183-D185+D272</f>
        <v>-82687.880000000456</v>
      </c>
      <c r="E285" s="14"/>
      <c r="F285" s="20">
        <f>IF(D$12=0,0,D285/D$12)</f>
        <v>-0.13536678701452082</v>
      </c>
      <c r="G285" s="14"/>
      <c r="H285" s="21">
        <f>+H183-H185+H272</f>
        <v>-107553.23000000001</v>
      </c>
      <c r="I285" s="14"/>
      <c r="J285" s="20">
        <f>IF(H$12=0,0,H285/H$12)</f>
        <v>-0.20186590946795133</v>
      </c>
      <c r="K285" s="15"/>
      <c r="L285" s="21">
        <f>+D285-H285</f>
        <v>24865.349999999555</v>
      </c>
      <c r="M285" s="15"/>
      <c r="N285" s="20">
        <f>IF(H285=0,0,L285/H285)</f>
        <v>-0.23119110416302283</v>
      </c>
      <c r="O285" s="28"/>
      <c r="P285" s="21">
        <f>+P183-P185+P272</f>
        <v>603802.149999997</v>
      </c>
      <c r="Q285" s="14"/>
      <c r="R285" s="20">
        <f>IF(P$12=0,0,P285/P$12)</f>
        <v>9.1902018684426226E-2</v>
      </c>
      <c r="S285" s="14"/>
      <c r="T285" s="21">
        <f>+T183-T185+T272</f>
        <v>489857.46000000194</v>
      </c>
      <c r="U285" s="14"/>
      <c r="V285" s="20">
        <f>IF(T$12=0,0,T285/T$12)</f>
        <v>7.2741691760869073E-2</v>
      </c>
      <c r="W285" s="15"/>
      <c r="X285" s="21">
        <f>+P285-T285</f>
        <v>113944.68999999505</v>
      </c>
      <c r="Y285" s="15"/>
      <c r="Z285" s="20">
        <f>IF(T285=0,0,X285/T285)</f>
        <v>0.2326078488219708</v>
      </c>
    </row>
    <row r="286" spans="1:26" x14ac:dyDescent="0.25">
      <c r="A286" s="9"/>
      <c r="B286" s="10"/>
      <c r="C286" s="9"/>
      <c r="D286" s="3"/>
      <c r="E286" s="3"/>
      <c r="F286" s="8"/>
      <c r="G286" s="3"/>
      <c r="H286" s="3"/>
      <c r="I286" s="3"/>
      <c r="J286" s="8"/>
      <c r="K286" s="3"/>
      <c r="L286" s="3"/>
      <c r="M286" s="3"/>
      <c r="N286" s="8"/>
      <c r="P286" s="3"/>
      <c r="Q286" s="3"/>
      <c r="R286" s="8"/>
      <c r="S286" s="3"/>
      <c r="T286" s="3"/>
      <c r="U286" s="3"/>
      <c r="V286" s="8"/>
      <c r="W286" s="3"/>
      <c r="X286" s="3"/>
      <c r="Y286" s="3"/>
      <c r="Z286" s="8"/>
    </row>
    <row r="287" spans="1:26" s="23" customFormat="1" x14ac:dyDescent="0.25">
      <c r="A287" s="51"/>
      <c r="B287" s="10" t="s">
        <v>13</v>
      </c>
      <c r="C287" s="10"/>
      <c r="D287" s="4">
        <v>95854.95</v>
      </c>
      <c r="E287" s="4"/>
      <c r="F287" s="12">
        <f>IF(D$12=0,0,D287/D$12)</f>
        <v>0.15692235187233572</v>
      </c>
      <c r="G287" s="4"/>
      <c r="H287" s="4">
        <v>139053</v>
      </c>
      <c r="I287" s="4"/>
      <c r="J287" s="12">
        <f>IF(H$12=0,0,H287/H$12)</f>
        <v>0.26098760873334098</v>
      </c>
      <c r="K287" s="4"/>
      <c r="L287" s="4">
        <f>+D287-H287</f>
        <v>-43198.05</v>
      </c>
      <c r="M287" s="4"/>
      <c r="N287" s="12">
        <f>IF(H287=0,0,L287/H287)</f>
        <v>-0.31065888546093939</v>
      </c>
      <c r="O287" s="10"/>
      <c r="P287" s="4">
        <v>695725.33</v>
      </c>
      <c r="Q287" s="4"/>
      <c r="R287" s="12">
        <f>IF(P$12=0,0,P287/P$12)</f>
        <v>0.1058932338629283</v>
      </c>
      <c r="S287" s="4"/>
      <c r="T287" s="4">
        <v>708589.14</v>
      </c>
      <c r="U287" s="4"/>
      <c r="V287" s="12">
        <f>IF(T$12=0,0,T287/T$12)</f>
        <v>0.10522239021730749</v>
      </c>
      <c r="W287" s="4"/>
      <c r="X287" s="4">
        <f>+P287-T287</f>
        <v>-12863.810000000056</v>
      </c>
      <c r="Y287" s="4"/>
      <c r="Z287" s="12">
        <f>IF(T287=0,0,X287/T287)</f>
        <v>-1.8154116784798672E-2</v>
      </c>
    </row>
    <row r="288" spans="1:26" x14ac:dyDescent="0.25">
      <c r="A288" s="9"/>
      <c r="B288" s="10"/>
      <c r="C288" s="10"/>
      <c r="D288" s="3"/>
      <c r="E288" s="3"/>
      <c r="F288" s="8"/>
      <c r="G288" s="3"/>
      <c r="H288" s="3"/>
      <c r="I288" s="3"/>
      <c r="J288" s="8"/>
      <c r="K288" s="3"/>
      <c r="L288" s="3"/>
      <c r="M288" s="3"/>
      <c r="N288" s="8"/>
      <c r="O288" s="10"/>
      <c r="P288" s="3"/>
      <c r="Q288" s="3"/>
      <c r="R288" s="8"/>
      <c r="S288" s="3"/>
      <c r="T288" s="3"/>
      <c r="U288" s="3"/>
      <c r="V288" s="8"/>
      <c r="W288" s="3"/>
      <c r="X288" s="3"/>
      <c r="Y288" s="3"/>
      <c r="Z288" s="8"/>
    </row>
    <row r="289" spans="1:26" s="23" customFormat="1" ht="15.75" thickBot="1" x14ac:dyDescent="0.3">
      <c r="A289" s="10"/>
      <c r="B289" s="29" t="s">
        <v>4</v>
      </c>
      <c r="C289" s="29"/>
      <c r="D289" s="31">
        <f>+D285-D287</f>
        <v>-178542.83000000045</v>
      </c>
      <c r="E289" s="14"/>
      <c r="F289" s="32">
        <f>IF(D$12=0,0,D289/D$12)</f>
        <v>-0.29228913888685654</v>
      </c>
      <c r="G289" s="14"/>
      <c r="H289" s="31">
        <f>+H285-H287</f>
        <v>-246606.23</v>
      </c>
      <c r="I289" s="14"/>
      <c r="J289" s="32">
        <f>IF(H$12=0,0,H289/H$12)</f>
        <v>-0.46285351820129228</v>
      </c>
      <c r="K289" s="15"/>
      <c r="L289" s="31">
        <f>D289-H289</f>
        <v>68063.399999999558</v>
      </c>
      <c r="M289" s="15"/>
      <c r="N289" s="32">
        <f>IF(H289=0,0,L289/H289)</f>
        <v>-0.27600032651243056</v>
      </c>
      <c r="O289" s="28"/>
      <c r="P289" s="31">
        <f>+P285-P287</f>
        <v>-91923.180000002962</v>
      </c>
      <c r="Q289" s="14"/>
      <c r="R289" s="32">
        <f>IF(P$12=0,0,P289/P$12)</f>
        <v>-1.3991215178502079E-2</v>
      </c>
      <c r="S289" s="14"/>
      <c r="T289" s="31">
        <f>+T285-T287</f>
        <v>-218731.67999999807</v>
      </c>
      <c r="U289" s="14"/>
      <c r="V289" s="32">
        <f>IF(T$12=0,0,T289/T$12)</f>
        <v>-3.2480698456438424E-2</v>
      </c>
      <c r="W289" s="15"/>
      <c r="X289" s="31">
        <f>P289-T289</f>
        <v>126808.49999999511</v>
      </c>
      <c r="Y289" s="15"/>
      <c r="Z289" s="32">
        <f>IF(T289=0,0,X289/T289)</f>
        <v>-0.57974455277807146</v>
      </c>
    </row>
    <row r="290" spans="1:26" ht="15.75" thickTop="1" x14ac:dyDescent="0.25">
      <c r="A290" s="9"/>
      <c r="B290" s="9"/>
      <c r="C290" s="9"/>
      <c r="D290" s="3"/>
      <c r="E290" s="3"/>
      <c r="F290" s="8"/>
      <c r="G290" s="3"/>
      <c r="H290" s="3"/>
      <c r="I290" s="3"/>
      <c r="J290" s="8"/>
      <c r="K290" s="3"/>
      <c r="L290" s="3"/>
      <c r="M290" s="3"/>
      <c r="N290" s="8"/>
      <c r="P290" s="3"/>
      <c r="Q290" s="3"/>
      <c r="R290" s="8"/>
      <c r="S290" s="3"/>
      <c r="T290" s="3"/>
      <c r="U290" s="3"/>
      <c r="V290" s="8"/>
      <c r="W290" s="3"/>
      <c r="X290" s="3"/>
      <c r="Y290" s="3"/>
      <c r="Z290" s="8"/>
    </row>
    <row r="291" spans="1:26" x14ac:dyDescent="0.25">
      <c r="A291" s="9"/>
      <c r="B291" s="9"/>
      <c r="C291" s="9"/>
      <c r="D291" s="3"/>
      <c r="E291" s="3"/>
      <c r="F291" s="8"/>
      <c r="G291" s="3"/>
      <c r="H291" s="3"/>
      <c r="I291" s="3"/>
      <c r="J291" s="8"/>
      <c r="K291" s="3"/>
      <c r="L291" s="3"/>
      <c r="M291" s="3"/>
      <c r="N291" s="8"/>
      <c r="P291" s="3"/>
      <c r="Q291" s="3"/>
      <c r="R291" s="8"/>
      <c r="S291" s="3"/>
      <c r="T291" s="3"/>
      <c r="U291" s="3"/>
      <c r="V291" s="8"/>
      <c r="W291" s="3"/>
      <c r="X291" s="3"/>
      <c r="Y291" s="3"/>
      <c r="Z291" s="8"/>
    </row>
    <row r="292" spans="1:26" s="23" customFormat="1" ht="15.75" thickBot="1" x14ac:dyDescent="0.3">
      <c r="A292" s="10"/>
      <c r="B292" s="29" t="s">
        <v>5</v>
      </c>
      <c r="C292" s="29"/>
      <c r="D292" s="34">
        <f>SUM(D289:D291)</f>
        <v>-178542.83000000045</v>
      </c>
      <c r="E292" s="14"/>
      <c r="F292" s="30">
        <f>IF(D$12=0,0,D292/D$12)</f>
        <v>-0.29228913888685654</v>
      </c>
      <c r="G292" s="14"/>
      <c r="H292" s="34">
        <f>SUM(H289:H291)</f>
        <v>-246606.23</v>
      </c>
      <c r="I292" s="14"/>
      <c r="J292" s="30">
        <f>IF(H$12=0,0,H292/H$12)</f>
        <v>-0.46285351820129228</v>
      </c>
      <c r="K292" s="15"/>
      <c r="L292" s="34">
        <f>+D292-H292</f>
        <v>68063.399999999558</v>
      </c>
      <c r="M292" s="15"/>
      <c r="N292" s="30">
        <f>IF(H292=0,0,L292/H292)</f>
        <v>-0.27600032651243056</v>
      </c>
      <c r="O292" s="28"/>
      <c r="P292" s="34">
        <f>SUM(P289:P291)</f>
        <v>-91923.180000002962</v>
      </c>
      <c r="Q292" s="14"/>
      <c r="R292" s="30">
        <f>IF(P$12=0,0,P292/P$12)</f>
        <v>-1.3991215178502079E-2</v>
      </c>
      <c r="S292" s="14"/>
      <c r="T292" s="34">
        <f>SUM(T289:T291)</f>
        <v>-218731.67999999807</v>
      </c>
      <c r="U292" s="14"/>
      <c r="V292" s="30">
        <f>IF(T$12=0,0,T292/T$12)</f>
        <v>-3.2480698456438424E-2</v>
      </c>
      <c r="W292" s="15"/>
      <c r="X292" s="34">
        <f>+P292-T292</f>
        <v>126808.49999999511</v>
      </c>
      <c r="Y292" s="15"/>
      <c r="Z292" s="30">
        <f>IF(T292=0,0,X292/T292)</f>
        <v>-0.57974455277807146</v>
      </c>
    </row>
    <row r="293" spans="1:26" ht="15.75" thickTop="1" x14ac:dyDescent="0.25">
      <c r="A293" s="9"/>
      <c r="C293" s="9"/>
      <c r="D293" s="18"/>
      <c r="E293" s="18"/>
      <c r="G293" s="18"/>
      <c r="H293" s="18"/>
      <c r="I293" s="18"/>
      <c r="J293" s="43"/>
      <c r="K293" s="18"/>
      <c r="L293" s="18"/>
      <c r="M293" s="18"/>
      <c r="P293" s="18"/>
      <c r="Q293" s="18"/>
      <c r="R293" s="43"/>
      <c r="S293" s="18"/>
      <c r="T293" s="18"/>
      <c r="U293" s="18"/>
      <c r="V293" s="43"/>
      <c r="W293" s="18"/>
      <c r="X293" s="18"/>
    </row>
    <row r="294" spans="1:26" x14ac:dyDescent="0.25">
      <c r="A294" s="9"/>
      <c r="B294" s="59">
        <v>43815.491247835649</v>
      </c>
      <c r="D294" s="18"/>
      <c r="E294" s="18"/>
      <c r="G294" s="18"/>
      <c r="H294" s="18"/>
      <c r="I294" s="18"/>
      <c r="J294" s="43"/>
      <c r="K294" s="18"/>
      <c r="L294" s="18"/>
      <c r="M294" s="18"/>
      <c r="P294" s="18"/>
      <c r="Q294" s="18"/>
      <c r="R294" s="43"/>
      <c r="S294" s="18"/>
      <c r="T294" s="18"/>
      <c r="U294" s="18"/>
      <c r="V294" s="43"/>
      <c r="W294" s="18"/>
      <c r="X294" s="18"/>
    </row>
    <row r="295" spans="1:26" x14ac:dyDescent="0.25">
      <c r="A295" s="9"/>
      <c r="B295" s="62" t="s">
        <v>313</v>
      </c>
      <c r="D295" s="18"/>
      <c r="E295" s="18"/>
      <c r="G295" s="18"/>
      <c r="H295" s="18"/>
      <c r="I295" s="18"/>
      <c r="J295" s="43"/>
      <c r="K295" s="18"/>
      <c r="L295" s="18"/>
      <c r="M295" s="18"/>
      <c r="P295" s="18"/>
      <c r="Q295" s="18"/>
      <c r="R295" s="43"/>
      <c r="S295" s="18"/>
      <c r="T295" s="18"/>
      <c r="U295" s="18"/>
      <c r="V295" s="43"/>
      <c r="W295" s="18"/>
      <c r="X295" s="18"/>
    </row>
    <row r="296" spans="1:26" x14ac:dyDescent="0.25">
      <c r="A296" s="9"/>
      <c r="B296" s="61"/>
      <c r="D296" s="18"/>
      <c r="E296" s="18"/>
      <c r="G296" s="18"/>
      <c r="H296" s="18"/>
      <c r="I296" s="18"/>
      <c r="J296" s="43"/>
      <c r="K296" s="18"/>
      <c r="L296" s="18"/>
      <c r="M296" s="18"/>
      <c r="P296" s="18"/>
      <c r="Q296" s="18"/>
      <c r="R296" s="43"/>
      <c r="S296" s="18"/>
      <c r="T296" s="18"/>
      <c r="U296" s="18"/>
      <c r="V296" s="43"/>
      <c r="W296" s="18"/>
      <c r="X296" s="18"/>
    </row>
    <row r="297" spans="1:26" x14ac:dyDescent="0.25">
      <c r="D297" s="18"/>
      <c r="E297" s="18"/>
      <c r="G297" s="18"/>
      <c r="H297" s="18"/>
      <c r="I297" s="18"/>
      <c r="J297" s="43"/>
      <c r="K297" s="18"/>
      <c r="L297" s="18"/>
      <c r="M297" s="18"/>
      <c r="P297" s="18"/>
      <c r="Q297" s="18"/>
      <c r="R297" s="43"/>
      <c r="S297" s="18"/>
      <c r="T297" s="18"/>
      <c r="U297" s="18"/>
      <c r="V297" s="43"/>
      <c r="W297" s="18"/>
      <c r="X297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","301", " - ", "Bookstore")</f>
        <v>Department 301 - Bookstore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118481.23000000003</v>
      </c>
      <c r="E18" s="22"/>
      <c r="F18" s="33">
        <f t="shared" ref="F18:F27" si="0">IF(D$12=0,0,D18/D$12)</f>
        <v>0</v>
      </c>
      <c r="G18" s="22"/>
      <c r="H18" s="22">
        <f>SUM(OSRRefH22x_0)</f>
        <v>117541.49000000002</v>
      </c>
      <c r="I18" s="22"/>
      <c r="J18" s="33">
        <f t="shared" ref="J18:J27" si="1">IF(H$12=0,0,H18/H$12)</f>
        <v>0</v>
      </c>
      <c r="K18" s="4"/>
      <c r="L18" s="22">
        <f t="shared" ref="L18:L27" si="2">+D18-H18</f>
        <v>939.74000000000524</v>
      </c>
      <c r="M18" s="4"/>
      <c r="N18" s="33">
        <f t="shared" ref="N18:N27" si="3">IF(H18=0,0,L18/H18)</f>
        <v>7.9949641611656019E-3</v>
      </c>
      <c r="O18" s="10"/>
      <c r="P18" s="22">
        <f>SUM(OSRRefP22x_0)</f>
        <v>678488.40000000014</v>
      </c>
      <c r="Q18" s="22"/>
      <c r="R18" s="33">
        <f t="shared" ref="R18:R27" si="4">IF(P$12=0,0,P18/P$12)</f>
        <v>0</v>
      </c>
      <c r="S18" s="22"/>
      <c r="T18" s="22">
        <f>SUM(OSRRefT22x_0)</f>
        <v>717001.25999999978</v>
      </c>
      <c r="U18" s="22"/>
      <c r="V18" s="33">
        <f t="shared" ref="V18:V27" si="5">IF(T$12=0,0,T18/T$12)</f>
        <v>0</v>
      </c>
      <c r="W18" s="4"/>
      <c r="X18" s="22">
        <f t="shared" ref="X18:X27" si="6">+P18-T18</f>
        <v>-38512.859999999637</v>
      </c>
      <c r="Y18" s="4"/>
      <c r="Z18" s="33">
        <f t="shared" ref="Z18:Z27" si="7">IF(T18=0,0,X18/T18)</f>
        <v>-5.3713796820942336E-2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8912.94</v>
      </c>
      <c r="E19" s="1"/>
      <c r="F19" s="5">
        <f t="shared" si="0"/>
        <v>0</v>
      </c>
      <c r="G19" s="1"/>
      <c r="H19" s="1">
        <f>SUM(OSRRefH22_0x_0)</f>
        <v>13408.37</v>
      </c>
      <c r="I19" s="1"/>
      <c r="J19" s="5">
        <f t="shared" si="1"/>
        <v>0</v>
      </c>
      <c r="K19" s="1"/>
      <c r="L19" s="1">
        <f t="shared" si="2"/>
        <v>-4495.43</v>
      </c>
      <c r="M19" s="1"/>
      <c r="N19" s="5">
        <f t="shared" si="3"/>
        <v>-0.335270431827284</v>
      </c>
      <c r="O19" s="13"/>
      <c r="P19" s="1">
        <f>SUM(OSRRefP22_0x_0)</f>
        <v>71018.77</v>
      </c>
      <c r="Q19" s="1"/>
      <c r="R19" s="5">
        <f t="shared" si="4"/>
        <v>0</v>
      </c>
      <c r="S19" s="1"/>
      <c r="T19" s="1">
        <f>SUM(OSRRefT22_0x_0)</f>
        <v>69742.819999999992</v>
      </c>
      <c r="U19" s="1"/>
      <c r="V19" s="5">
        <f t="shared" si="5"/>
        <v>0</v>
      </c>
      <c r="W19" s="1"/>
      <c r="X19" s="1">
        <f t="shared" si="6"/>
        <v>1275.9500000000116</v>
      </c>
      <c r="Y19" s="1"/>
      <c r="Z19" s="5">
        <f t="shared" si="7"/>
        <v>1.8295073241948227E-2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1186.69</v>
      </c>
      <c r="E20" s="2"/>
      <c r="F20" s="7">
        <f t="shared" si="0"/>
        <v>0</v>
      </c>
      <c r="G20" s="2"/>
      <c r="H20" s="6">
        <v>1066.03</v>
      </c>
      <c r="I20" s="2"/>
      <c r="J20" s="7">
        <f t="shared" si="1"/>
        <v>0</v>
      </c>
      <c r="K20" s="2"/>
      <c r="L20" s="6">
        <f t="shared" si="2"/>
        <v>120.66000000000008</v>
      </c>
      <c r="M20" s="2"/>
      <c r="N20" s="7">
        <f t="shared" si="3"/>
        <v>0.11318630807763391</v>
      </c>
      <c r="O20" s="11"/>
      <c r="P20" s="6">
        <v>15724.910000000002</v>
      </c>
      <c r="Q20" s="2"/>
      <c r="R20" s="7">
        <f t="shared" si="4"/>
        <v>0</v>
      </c>
      <c r="S20" s="2"/>
      <c r="T20" s="6">
        <v>13468.54</v>
      </c>
      <c r="U20" s="2"/>
      <c r="V20" s="7">
        <f t="shared" si="5"/>
        <v>0</v>
      </c>
      <c r="W20" s="2"/>
      <c r="X20" s="6">
        <f t="shared" si="6"/>
        <v>2256.3700000000008</v>
      </c>
      <c r="Y20" s="2"/>
      <c r="Z20" s="7">
        <f t="shared" si="7"/>
        <v>0.16752892295675706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436.81</v>
      </c>
      <c r="E21" s="2"/>
      <c r="F21" s="7">
        <f t="shared" si="0"/>
        <v>0</v>
      </c>
      <c r="G21" s="2"/>
      <c r="H21" s="6">
        <v>299.98</v>
      </c>
      <c r="I21" s="2"/>
      <c r="J21" s="7">
        <f t="shared" si="1"/>
        <v>0</v>
      </c>
      <c r="K21" s="2"/>
      <c r="L21" s="6">
        <f t="shared" si="2"/>
        <v>136.82999999999998</v>
      </c>
      <c r="M21" s="2"/>
      <c r="N21" s="7">
        <f t="shared" si="3"/>
        <v>0.45613040869391286</v>
      </c>
      <c r="O21" s="11"/>
      <c r="P21" s="6">
        <v>2659.1</v>
      </c>
      <c r="Q21" s="2"/>
      <c r="R21" s="7">
        <f t="shared" si="4"/>
        <v>0</v>
      </c>
      <c r="S21" s="2"/>
      <c r="T21" s="6">
        <v>1931.47</v>
      </c>
      <c r="U21" s="2"/>
      <c r="V21" s="7">
        <f t="shared" si="5"/>
        <v>0</v>
      </c>
      <c r="W21" s="2"/>
      <c r="X21" s="6">
        <f t="shared" si="6"/>
        <v>727.62999999999988</v>
      </c>
      <c r="Y21" s="2"/>
      <c r="Z21" s="7">
        <f t="shared" si="7"/>
        <v>0.37672342826965982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3107.42</v>
      </c>
      <c r="E22" s="2"/>
      <c r="F22" s="7">
        <f t="shared" si="0"/>
        <v>0</v>
      </c>
      <c r="G22" s="2"/>
      <c r="H22" s="6">
        <v>7733.43</v>
      </c>
      <c r="I22" s="2"/>
      <c r="J22" s="7">
        <f t="shared" si="1"/>
        <v>0</v>
      </c>
      <c r="K22" s="2"/>
      <c r="L22" s="6">
        <f t="shared" si="2"/>
        <v>-4626.01</v>
      </c>
      <c r="M22" s="2"/>
      <c r="N22" s="7">
        <f t="shared" si="3"/>
        <v>-0.59818347098247482</v>
      </c>
      <c r="O22" s="11"/>
      <c r="P22" s="6">
        <v>24212.57</v>
      </c>
      <c r="Q22" s="2"/>
      <c r="R22" s="7">
        <f t="shared" si="4"/>
        <v>0</v>
      </c>
      <c r="S22" s="2"/>
      <c r="T22" s="6">
        <v>27185.26</v>
      </c>
      <c r="U22" s="2"/>
      <c r="V22" s="7">
        <f t="shared" si="5"/>
        <v>0</v>
      </c>
      <c r="W22" s="2"/>
      <c r="X22" s="6">
        <f t="shared" si="6"/>
        <v>-2972.6899999999987</v>
      </c>
      <c r="Y22" s="2"/>
      <c r="Z22" s="7">
        <f t="shared" si="7"/>
        <v>-0.10934933121846173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96.1</v>
      </c>
      <c r="E23" s="2"/>
      <c r="F23" s="7">
        <f t="shared" si="0"/>
        <v>0</v>
      </c>
      <c r="G23" s="2"/>
      <c r="H23" s="6">
        <v>97.31</v>
      </c>
      <c r="I23" s="2"/>
      <c r="J23" s="7">
        <f t="shared" si="1"/>
        <v>0</v>
      </c>
      <c r="K23" s="2"/>
      <c r="L23" s="6">
        <f t="shared" si="2"/>
        <v>-1.210000000000008</v>
      </c>
      <c r="M23" s="2"/>
      <c r="N23" s="7">
        <f t="shared" si="3"/>
        <v>-1.2434487719658905E-2</v>
      </c>
      <c r="O23" s="11"/>
      <c r="P23" s="6">
        <v>721.02</v>
      </c>
      <c r="Q23" s="2"/>
      <c r="R23" s="7">
        <f t="shared" si="4"/>
        <v>0</v>
      </c>
      <c r="S23" s="2"/>
      <c r="T23" s="6">
        <v>640.33000000000004</v>
      </c>
      <c r="U23" s="2"/>
      <c r="V23" s="7">
        <f t="shared" si="5"/>
        <v>0</v>
      </c>
      <c r="W23" s="2"/>
      <c r="X23" s="6">
        <f t="shared" si="6"/>
        <v>80.689999999999941</v>
      </c>
      <c r="Y23" s="2"/>
      <c r="Z23" s="7">
        <f t="shared" si="7"/>
        <v>0.12601314946980452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1523.65</v>
      </c>
      <c r="E24" s="2"/>
      <c r="F24" s="7">
        <f t="shared" si="0"/>
        <v>0</v>
      </c>
      <c r="G24" s="2"/>
      <c r="H24" s="6">
        <v>1563.77</v>
      </c>
      <c r="I24" s="2"/>
      <c r="J24" s="7">
        <f t="shared" si="1"/>
        <v>0</v>
      </c>
      <c r="K24" s="2"/>
      <c r="L24" s="6">
        <f t="shared" si="2"/>
        <v>-40.119999999999891</v>
      </c>
      <c r="M24" s="2"/>
      <c r="N24" s="7">
        <f t="shared" si="3"/>
        <v>-2.5655946846403176E-2</v>
      </c>
      <c r="O24" s="11"/>
      <c r="P24" s="6">
        <v>10781.51</v>
      </c>
      <c r="Q24" s="2"/>
      <c r="R24" s="7">
        <f t="shared" si="4"/>
        <v>0</v>
      </c>
      <c r="S24" s="2"/>
      <c r="T24" s="6">
        <v>10267.49</v>
      </c>
      <c r="U24" s="2"/>
      <c r="V24" s="7">
        <f t="shared" si="5"/>
        <v>0</v>
      </c>
      <c r="W24" s="2"/>
      <c r="X24" s="6">
        <f t="shared" si="6"/>
        <v>514.02000000000044</v>
      </c>
      <c r="Y24" s="2"/>
      <c r="Z24" s="7">
        <f t="shared" si="7"/>
        <v>5.0062868334909548E-2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1450.47</v>
      </c>
      <c r="E25" s="2"/>
      <c r="F25" s="7">
        <f t="shared" si="0"/>
        <v>0</v>
      </c>
      <c r="G25" s="2"/>
      <c r="H25" s="6">
        <v>1462.1</v>
      </c>
      <c r="I25" s="2"/>
      <c r="J25" s="7">
        <f t="shared" si="1"/>
        <v>0</v>
      </c>
      <c r="K25" s="2"/>
      <c r="L25" s="6">
        <f t="shared" si="2"/>
        <v>-11.629999999999882</v>
      </c>
      <c r="M25" s="2"/>
      <c r="N25" s="7">
        <f t="shared" si="3"/>
        <v>-7.9543122905409228E-3</v>
      </c>
      <c r="O25" s="11"/>
      <c r="P25" s="6">
        <v>9372.52</v>
      </c>
      <c r="Q25" s="2"/>
      <c r="R25" s="7">
        <f t="shared" si="4"/>
        <v>0</v>
      </c>
      <c r="S25" s="2"/>
      <c r="T25" s="6">
        <v>8735.0499999999993</v>
      </c>
      <c r="U25" s="2"/>
      <c r="V25" s="7">
        <f t="shared" si="5"/>
        <v>0</v>
      </c>
      <c r="W25" s="2"/>
      <c r="X25" s="6">
        <f t="shared" si="6"/>
        <v>637.47000000000116</v>
      </c>
      <c r="Y25" s="2"/>
      <c r="Z25" s="7">
        <f t="shared" si="7"/>
        <v>7.2978403100154118E-2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828.69</v>
      </c>
      <c r="E26" s="2"/>
      <c r="F26" s="7">
        <f t="shared" si="0"/>
        <v>0</v>
      </c>
      <c r="G26" s="2"/>
      <c r="H26" s="6">
        <v>776.42</v>
      </c>
      <c r="I26" s="2"/>
      <c r="J26" s="7">
        <f t="shared" si="1"/>
        <v>0</v>
      </c>
      <c r="K26" s="2"/>
      <c r="L26" s="6">
        <f t="shared" si="2"/>
        <v>52.270000000000095</v>
      </c>
      <c r="M26" s="2"/>
      <c r="N26" s="7">
        <f t="shared" si="3"/>
        <v>6.7321810360372089E-2</v>
      </c>
      <c r="O26" s="11"/>
      <c r="P26" s="6">
        <v>5745.44</v>
      </c>
      <c r="Q26" s="2"/>
      <c r="R26" s="7">
        <f t="shared" si="4"/>
        <v>0</v>
      </c>
      <c r="S26" s="2"/>
      <c r="T26" s="6">
        <v>5421.95</v>
      </c>
      <c r="U26" s="2"/>
      <c r="V26" s="7">
        <f t="shared" si="5"/>
        <v>0</v>
      </c>
      <c r="W26" s="2"/>
      <c r="X26" s="6">
        <f t="shared" si="6"/>
        <v>323.48999999999978</v>
      </c>
      <c r="Y26" s="2"/>
      <c r="Z26" s="7">
        <f t="shared" si="7"/>
        <v>5.9663036361456631E-2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283.11</v>
      </c>
      <c r="E27" s="2"/>
      <c r="F27" s="7">
        <f t="shared" si="0"/>
        <v>0</v>
      </c>
      <c r="G27" s="2"/>
      <c r="H27" s="6">
        <v>409.33</v>
      </c>
      <c r="I27" s="2"/>
      <c r="J27" s="7">
        <f t="shared" si="1"/>
        <v>0</v>
      </c>
      <c r="K27" s="2"/>
      <c r="L27" s="6">
        <f t="shared" si="2"/>
        <v>-126.21999999999997</v>
      </c>
      <c r="M27" s="2"/>
      <c r="N27" s="7">
        <f t="shared" si="3"/>
        <v>-0.30835755991498298</v>
      </c>
      <c r="O27" s="11"/>
      <c r="P27" s="6">
        <v>1801.7</v>
      </c>
      <c r="Q27" s="2"/>
      <c r="R27" s="7">
        <f t="shared" si="4"/>
        <v>0</v>
      </c>
      <c r="S27" s="2"/>
      <c r="T27" s="6">
        <v>2092.73</v>
      </c>
      <c r="U27" s="2"/>
      <c r="V27" s="7">
        <f t="shared" si="5"/>
        <v>0</v>
      </c>
      <c r="W27" s="2"/>
      <c r="X27" s="6">
        <f t="shared" si="6"/>
        <v>-291.02999999999997</v>
      </c>
      <c r="Y27" s="2"/>
      <c r="Z27" s="7">
        <f t="shared" si="7"/>
        <v>-0.13906715151978516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34665.620000000003</v>
      </c>
      <c r="E28" s="1"/>
      <c r="F28" s="5">
        <f t="shared" ref="F28:F35" si="8">IF(D$12=0,0,D28/D$12)</f>
        <v>0</v>
      </c>
      <c r="G28" s="1"/>
      <c r="H28" s="1">
        <f>SUM(OSRRefH22_1x_0)</f>
        <v>29466.35</v>
      </c>
      <c r="I28" s="1"/>
      <c r="J28" s="5">
        <f t="shared" ref="J28:J35" si="9">IF(H$12=0,0,H28/H$12)</f>
        <v>0</v>
      </c>
      <c r="K28" s="1"/>
      <c r="L28" s="1">
        <f t="shared" ref="L28:L35" si="10">+D28-H28</f>
        <v>5199.2700000000041</v>
      </c>
      <c r="M28" s="1"/>
      <c r="N28" s="5">
        <f t="shared" ref="N28:N35" si="11">IF(H28=0,0,L28/H28)</f>
        <v>0.17644771069372367</v>
      </c>
      <c r="O28" s="13"/>
      <c r="P28" s="1">
        <f>SUM(OSRRefP22_1x_0)</f>
        <v>246983.82</v>
      </c>
      <c r="Q28" s="1"/>
      <c r="R28" s="5">
        <f t="shared" ref="R28:R35" si="12">IF(P$12=0,0,P28/P$12)</f>
        <v>0</v>
      </c>
      <c r="S28" s="1"/>
      <c r="T28" s="1">
        <f>SUM(OSRRefT22_1x_0)</f>
        <v>217445.88</v>
      </c>
      <c r="U28" s="1"/>
      <c r="V28" s="5">
        <f t="shared" ref="V28:V35" si="13">IF(T$12=0,0,T28/T$12)</f>
        <v>0</v>
      </c>
      <c r="W28" s="1"/>
      <c r="X28" s="1">
        <f t="shared" ref="X28:X35" si="14">+P28-T28</f>
        <v>29537.940000000002</v>
      </c>
      <c r="Y28" s="1"/>
      <c r="Z28" s="5">
        <f t="shared" ref="Z28:Z35" si="15">IF(T28=0,0,X28/T28)</f>
        <v>0.13584042153385478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6">
        <v>10717.14</v>
      </c>
      <c r="E29" s="2"/>
      <c r="F29" s="7">
        <f t="shared" si="8"/>
        <v>0</v>
      </c>
      <c r="G29" s="2"/>
      <c r="H29" s="6">
        <v>10405</v>
      </c>
      <c r="I29" s="2"/>
      <c r="J29" s="7">
        <f t="shared" si="9"/>
        <v>0</v>
      </c>
      <c r="K29" s="2"/>
      <c r="L29" s="6">
        <f t="shared" si="10"/>
        <v>312.13999999999942</v>
      </c>
      <c r="M29" s="2"/>
      <c r="N29" s="7">
        <f t="shared" si="11"/>
        <v>2.999903892359437E-2</v>
      </c>
      <c r="O29" s="11"/>
      <c r="P29" s="6">
        <v>56800.83</v>
      </c>
      <c r="Q29" s="2"/>
      <c r="R29" s="7">
        <f t="shared" si="12"/>
        <v>0</v>
      </c>
      <c r="S29" s="2"/>
      <c r="T29" s="6">
        <v>56707.25</v>
      </c>
      <c r="U29" s="2"/>
      <c r="V29" s="7">
        <f t="shared" si="13"/>
        <v>0</v>
      </c>
      <c r="W29" s="2"/>
      <c r="X29" s="6">
        <f t="shared" si="14"/>
        <v>93.580000000001746</v>
      </c>
      <c r="Y29" s="2"/>
      <c r="Z29" s="7">
        <f t="shared" si="15"/>
        <v>1.6502299088741166E-3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6750.86</v>
      </c>
      <c r="E30" s="2"/>
      <c r="F30" s="7">
        <f t="shared" si="8"/>
        <v>0</v>
      </c>
      <c r="G30" s="2"/>
      <c r="H30" s="6">
        <v>4861.2700000000004</v>
      </c>
      <c r="I30" s="2"/>
      <c r="J30" s="7">
        <f t="shared" si="9"/>
        <v>0</v>
      </c>
      <c r="K30" s="2"/>
      <c r="L30" s="6">
        <f t="shared" si="10"/>
        <v>1889.5899999999992</v>
      </c>
      <c r="M30" s="2"/>
      <c r="N30" s="7">
        <f t="shared" si="11"/>
        <v>0.38870295210922229</v>
      </c>
      <c r="O30" s="11"/>
      <c r="P30" s="6">
        <v>42998.83</v>
      </c>
      <c r="Q30" s="2"/>
      <c r="R30" s="7">
        <f t="shared" si="12"/>
        <v>0</v>
      </c>
      <c r="S30" s="2"/>
      <c r="T30" s="6">
        <v>38113.57</v>
      </c>
      <c r="U30" s="2"/>
      <c r="V30" s="7">
        <f t="shared" si="13"/>
        <v>0</v>
      </c>
      <c r="W30" s="2"/>
      <c r="X30" s="6">
        <f t="shared" si="14"/>
        <v>4885.260000000002</v>
      </c>
      <c r="Y30" s="2"/>
      <c r="Z30" s="7">
        <f t="shared" si="15"/>
        <v>0.12817639491656127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-1647.01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-1647.01</v>
      </c>
      <c r="Y31" s="2"/>
      <c r="Z31" s="7">
        <f t="shared" si="15"/>
        <v>0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6">
        <v>5177.5</v>
      </c>
      <c r="E32" s="2"/>
      <c r="F32" s="7">
        <f t="shared" si="8"/>
        <v>0</v>
      </c>
      <c r="G32" s="2"/>
      <c r="H32" s="6">
        <v>3466.94</v>
      </c>
      <c r="I32" s="2"/>
      <c r="J32" s="7">
        <f t="shared" si="9"/>
        <v>0</v>
      </c>
      <c r="K32" s="2"/>
      <c r="L32" s="6">
        <f t="shared" si="10"/>
        <v>1710.56</v>
      </c>
      <c r="M32" s="2"/>
      <c r="N32" s="7">
        <f t="shared" si="11"/>
        <v>0.49339186717970313</v>
      </c>
      <c r="O32" s="11"/>
      <c r="P32" s="6">
        <v>37938.060000000005</v>
      </c>
      <c r="Q32" s="2"/>
      <c r="R32" s="7">
        <f t="shared" si="12"/>
        <v>0</v>
      </c>
      <c r="S32" s="2"/>
      <c r="T32" s="6">
        <v>23999.66</v>
      </c>
      <c r="U32" s="2"/>
      <c r="V32" s="7">
        <f t="shared" si="13"/>
        <v>0</v>
      </c>
      <c r="W32" s="2"/>
      <c r="X32" s="6">
        <f t="shared" si="14"/>
        <v>13938.400000000005</v>
      </c>
      <c r="Y32" s="2"/>
      <c r="Z32" s="7">
        <f t="shared" si="15"/>
        <v>0.58077489431100293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6">
        <v>1105.75</v>
      </c>
      <c r="E33" s="2"/>
      <c r="F33" s="7">
        <f t="shared" si="8"/>
        <v>0</v>
      </c>
      <c r="G33" s="2"/>
      <c r="H33" s="6">
        <v>330</v>
      </c>
      <c r="I33" s="2"/>
      <c r="J33" s="7">
        <f t="shared" si="9"/>
        <v>0</v>
      </c>
      <c r="K33" s="2"/>
      <c r="L33" s="6">
        <f t="shared" si="10"/>
        <v>775.75</v>
      </c>
      <c r="M33" s="2"/>
      <c r="N33" s="7">
        <f t="shared" si="11"/>
        <v>2.3507575757575756</v>
      </c>
      <c r="O33" s="11"/>
      <c r="P33" s="6">
        <v>10601.01</v>
      </c>
      <c r="Q33" s="2"/>
      <c r="R33" s="7">
        <f t="shared" si="12"/>
        <v>0</v>
      </c>
      <c r="S33" s="2"/>
      <c r="T33" s="6">
        <v>2647.37</v>
      </c>
      <c r="U33" s="2"/>
      <c r="V33" s="7">
        <f t="shared" si="13"/>
        <v>0</v>
      </c>
      <c r="W33" s="2"/>
      <c r="X33" s="6">
        <f t="shared" si="14"/>
        <v>7953.64</v>
      </c>
      <c r="Y33" s="2"/>
      <c r="Z33" s="7">
        <f t="shared" si="15"/>
        <v>3.0043552657920882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>
        <v>10914.37</v>
      </c>
      <c r="E34" s="2"/>
      <c r="F34" s="7">
        <f t="shared" si="8"/>
        <v>0</v>
      </c>
      <c r="G34" s="2"/>
      <c r="H34" s="6">
        <v>10306.89</v>
      </c>
      <c r="I34" s="2"/>
      <c r="J34" s="7">
        <f t="shared" si="9"/>
        <v>0</v>
      </c>
      <c r="K34" s="2"/>
      <c r="L34" s="6">
        <f t="shared" si="10"/>
        <v>607.48000000000138</v>
      </c>
      <c r="M34" s="2"/>
      <c r="N34" s="7">
        <f t="shared" si="11"/>
        <v>5.8939214447811264E-2</v>
      </c>
      <c r="O34" s="11"/>
      <c r="P34" s="6">
        <v>99740.099999999991</v>
      </c>
      <c r="Q34" s="2"/>
      <c r="R34" s="7">
        <f t="shared" si="12"/>
        <v>0</v>
      </c>
      <c r="S34" s="2"/>
      <c r="T34" s="6">
        <v>95166.78</v>
      </c>
      <c r="U34" s="2"/>
      <c r="V34" s="7">
        <f t="shared" si="13"/>
        <v>0</v>
      </c>
      <c r="W34" s="2"/>
      <c r="X34" s="6">
        <f t="shared" si="14"/>
        <v>4573.3199999999924</v>
      </c>
      <c r="Y34" s="2"/>
      <c r="Z34" s="7">
        <f t="shared" si="15"/>
        <v>4.8055844697067529E-2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/>
      <c r="E35" s="2"/>
      <c r="F35" s="7">
        <f t="shared" si="8"/>
        <v>0</v>
      </c>
      <c r="G35" s="2"/>
      <c r="H35" s="6">
        <v>96.25</v>
      </c>
      <c r="I35" s="2"/>
      <c r="J35" s="7">
        <f t="shared" si="9"/>
        <v>0</v>
      </c>
      <c r="K35" s="2"/>
      <c r="L35" s="6">
        <f t="shared" si="10"/>
        <v>-96.25</v>
      </c>
      <c r="M35" s="2"/>
      <c r="N35" s="7">
        <f t="shared" si="11"/>
        <v>-1</v>
      </c>
      <c r="O35" s="11"/>
      <c r="P35" s="6">
        <v>552</v>
      </c>
      <c r="Q35" s="2"/>
      <c r="R35" s="7">
        <f t="shared" si="12"/>
        <v>0</v>
      </c>
      <c r="S35" s="2"/>
      <c r="T35" s="6">
        <v>811.25</v>
      </c>
      <c r="U35" s="2"/>
      <c r="V35" s="7">
        <f t="shared" si="13"/>
        <v>0</v>
      </c>
      <c r="W35" s="2"/>
      <c r="X35" s="6">
        <f t="shared" si="14"/>
        <v>-259.25</v>
      </c>
      <c r="Y35" s="2"/>
      <c r="Z35" s="7">
        <f t="shared" si="15"/>
        <v>-0.31956856702619413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9869.15</v>
      </c>
      <c r="E36" s="1"/>
      <c r="F36" s="5">
        <f t="shared" ref="F36:F40" si="16">IF(D$12=0,0,D36/D$12)</f>
        <v>0</v>
      </c>
      <c r="G36" s="1"/>
      <c r="H36" s="1">
        <f>SUM(OSRRefH22_2x_0)</f>
        <v>18644.18</v>
      </c>
      <c r="I36" s="1"/>
      <c r="J36" s="5">
        <f t="shared" ref="J36:J40" si="17">IF(H$12=0,0,H36/H$12)</f>
        <v>0</v>
      </c>
      <c r="K36" s="1"/>
      <c r="L36" s="1">
        <f t="shared" ref="L36:L40" si="18">+D36-H36</f>
        <v>-8775.0300000000007</v>
      </c>
      <c r="M36" s="1"/>
      <c r="N36" s="5">
        <f t="shared" ref="N36:N40" si="19">IF(H36=0,0,L36/H36)</f>
        <v>-0.4706578674953793</v>
      </c>
      <c r="O36" s="13"/>
      <c r="P36" s="1">
        <f>SUM(OSRRefP22_2x_0)</f>
        <v>17201.7</v>
      </c>
      <c r="Q36" s="1"/>
      <c r="R36" s="5">
        <f t="shared" ref="R36:R40" si="20">IF(P$12=0,0,P36/P$12)</f>
        <v>0</v>
      </c>
      <c r="S36" s="1"/>
      <c r="T36" s="1">
        <f>SUM(OSRRefT22_2x_0)</f>
        <v>29875.040000000001</v>
      </c>
      <c r="U36" s="1"/>
      <c r="V36" s="5">
        <f t="shared" ref="V36:V40" si="21">IF(T$12=0,0,T36/T$12)</f>
        <v>0</v>
      </c>
      <c r="W36" s="1"/>
      <c r="X36" s="1">
        <f t="shared" ref="X36:X40" si="22">+P36-T36</f>
        <v>-12673.34</v>
      </c>
      <c r="Y36" s="1"/>
      <c r="Z36" s="5">
        <f t="shared" ref="Z36:Z40" si="23">IF(T36=0,0,X36/T36)</f>
        <v>-0.42421164959109675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>
        <v>9869.15</v>
      </c>
      <c r="E37" s="2"/>
      <c r="F37" s="7">
        <f t="shared" si="16"/>
        <v>0</v>
      </c>
      <c r="G37" s="2"/>
      <c r="H37" s="6">
        <v>18644.18</v>
      </c>
      <c r="I37" s="2"/>
      <c r="J37" s="7">
        <f t="shared" si="17"/>
        <v>0</v>
      </c>
      <c r="K37" s="2"/>
      <c r="L37" s="6">
        <f t="shared" si="18"/>
        <v>-8775.0300000000007</v>
      </c>
      <c r="M37" s="2"/>
      <c r="N37" s="7">
        <f t="shared" si="19"/>
        <v>-0.4706578674953793</v>
      </c>
      <c r="O37" s="11"/>
      <c r="P37" s="6">
        <v>17201.7</v>
      </c>
      <c r="Q37" s="2"/>
      <c r="R37" s="7">
        <f t="shared" si="20"/>
        <v>0</v>
      </c>
      <c r="S37" s="2"/>
      <c r="T37" s="6">
        <v>29875.040000000001</v>
      </c>
      <c r="U37" s="2"/>
      <c r="V37" s="7">
        <f t="shared" si="21"/>
        <v>0</v>
      </c>
      <c r="W37" s="2"/>
      <c r="X37" s="6">
        <f t="shared" si="22"/>
        <v>-12673.34</v>
      </c>
      <c r="Y37" s="2"/>
      <c r="Z37" s="7">
        <f t="shared" si="23"/>
        <v>-0.42421164959109675</v>
      </c>
    </row>
    <row r="38" spans="1:26" s="25" customFormat="1" outlineLevel="1" collapsed="1" x14ac:dyDescent="0.25">
      <c r="A38" s="27"/>
      <c r="B38" s="13" t="str">
        <f>CONCATENATE("     ","Bad Debts/Over/Short                              ")</f>
        <v xml:space="preserve">     Bad Debts/Over/Short                              </v>
      </c>
      <c r="C38" s="13"/>
      <c r="D38" s="1">
        <f>SUM(OSRRefD22_3x_0)</f>
        <v>145.66</v>
      </c>
      <c r="E38" s="1"/>
      <c r="F38" s="5">
        <f t="shared" si="16"/>
        <v>0</v>
      </c>
      <c r="G38" s="1"/>
      <c r="H38" s="1">
        <f>SUM(OSRRefH22_3x_0)</f>
        <v>39.65</v>
      </c>
      <c r="I38" s="1"/>
      <c r="J38" s="5">
        <f t="shared" si="17"/>
        <v>0</v>
      </c>
      <c r="K38" s="1"/>
      <c r="L38" s="1">
        <f t="shared" si="18"/>
        <v>106.00999999999999</v>
      </c>
      <c r="M38" s="1"/>
      <c r="N38" s="5">
        <f t="shared" si="19"/>
        <v>2.6736443883984866</v>
      </c>
      <c r="O38" s="13"/>
      <c r="P38" s="1">
        <f>SUM(OSRRefP22_3x_0)</f>
        <v>92.539999999999992</v>
      </c>
      <c r="Q38" s="1"/>
      <c r="R38" s="5">
        <f t="shared" si="20"/>
        <v>0</v>
      </c>
      <c r="S38" s="1"/>
      <c r="T38" s="1">
        <f>SUM(OSRRefT22_3x_0)</f>
        <v>1004.55</v>
      </c>
      <c r="U38" s="1"/>
      <c r="V38" s="5">
        <f t="shared" si="21"/>
        <v>0</v>
      </c>
      <c r="W38" s="1"/>
      <c r="X38" s="1">
        <f t="shared" si="22"/>
        <v>-912.01</v>
      </c>
      <c r="Y38" s="1"/>
      <c r="Z38" s="5">
        <f t="shared" si="23"/>
        <v>-0.90787914986810014</v>
      </c>
    </row>
    <row r="39" spans="1:26" s="24" customFormat="1" hidden="1" outlineLevel="2" x14ac:dyDescent="0.25">
      <c r="A39" s="26"/>
      <c r="B39" s="11" t="str">
        <f>CONCATENATE("          ", "6272", " - ", "CASH (OVER/SHORT)")</f>
        <v xml:space="preserve">          6272 - CASH (OVER/SHORT)</v>
      </c>
      <c r="C39" s="11"/>
      <c r="D39" s="6">
        <v>145.66</v>
      </c>
      <c r="E39" s="2"/>
      <c r="F39" s="7">
        <f t="shared" si="16"/>
        <v>0</v>
      </c>
      <c r="G39" s="2"/>
      <c r="H39" s="6">
        <v>39.65</v>
      </c>
      <c r="I39" s="2"/>
      <c r="J39" s="7">
        <f t="shared" si="17"/>
        <v>0</v>
      </c>
      <c r="K39" s="2"/>
      <c r="L39" s="6">
        <f t="shared" si="18"/>
        <v>106.00999999999999</v>
      </c>
      <c r="M39" s="2"/>
      <c r="N39" s="7">
        <f t="shared" si="19"/>
        <v>2.6736443883984866</v>
      </c>
      <c r="O39" s="11"/>
      <c r="P39" s="6">
        <v>47.74</v>
      </c>
      <c r="Q39" s="2"/>
      <c r="R39" s="7">
        <f t="shared" si="20"/>
        <v>0</v>
      </c>
      <c r="S39" s="2"/>
      <c r="T39" s="6">
        <v>1004.55</v>
      </c>
      <c r="U39" s="2"/>
      <c r="V39" s="7">
        <f t="shared" si="21"/>
        <v>0</v>
      </c>
      <c r="W39" s="2"/>
      <c r="X39" s="6">
        <f t="shared" si="22"/>
        <v>-956.81</v>
      </c>
      <c r="Y39" s="2"/>
      <c r="Z39" s="7">
        <f t="shared" si="23"/>
        <v>-0.95247623313921659</v>
      </c>
    </row>
    <row r="40" spans="1:26" s="24" customFormat="1" hidden="1" outlineLevel="2" x14ac:dyDescent="0.25">
      <c r="A40" s="26"/>
      <c r="B40" s="11" t="str">
        <f>CONCATENATE("          ", "6342", " - ", "BAD DEBT")</f>
        <v xml:space="preserve">          6342 - BAD DEBT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44.8</v>
      </c>
      <c r="Q40" s="2"/>
      <c r="R40" s="7">
        <f t="shared" si="20"/>
        <v>0</v>
      </c>
      <c r="S40" s="2"/>
      <c r="T40" s="6"/>
      <c r="U40" s="2"/>
      <c r="V40" s="7">
        <f t="shared" si="21"/>
        <v>0</v>
      </c>
      <c r="W40" s="2"/>
      <c r="X40" s="6">
        <f t="shared" si="22"/>
        <v>44.8</v>
      </c>
      <c r="Y40" s="2"/>
      <c r="Z40" s="7">
        <f t="shared" si="23"/>
        <v>0</v>
      </c>
    </row>
    <row r="41" spans="1:26" s="25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10122.969999999999</v>
      </c>
      <c r="E41" s="1"/>
      <c r="F41" s="5">
        <f t="shared" ref="F41:F45" si="24">IF(D$12=0,0,D41/D$12)</f>
        <v>0</v>
      </c>
      <c r="G41" s="1"/>
      <c r="H41" s="1">
        <f>SUM(OSRRefH22_4x_0)</f>
        <v>8933.5499999999993</v>
      </c>
      <c r="I41" s="1"/>
      <c r="J41" s="5">
        <f t="shared" ref="J41:J45" si="25">IF(H$12=0,0,H41/H$12)</f>
        <v>0</v>
      </c>
      <c r="K41" s="1"/>
      <c r="L41" s="1">
        <f t="shared" ref="L41:L45" si="26">+D41-H41</f>
        <v>1189.42</v>
      </c>
      <c r="M41" s="1"/>
      <c r="N41" s="5">
        <f t="shared" ref="N41:N45" si="27">IF(H41=0,0,L41/H41)</f>
        <v>0.13314080068953554</v>
      </c>
      <c r="O41" s="13"/>
      <c r="P41" s="1">
        <f>SUM(OSRRefP22_4x_0)</f>
        <v>78882.75</v>
      </c>
      <c r="Q41" s="1"/>
      <c r="R41" s="5">
        <f t="shared" ref="R41:R45" si="28">IF(P$12=0,0,P41/P$12)</f>
        <v>0</v>
      </c>
      <c r="S41" s="1"/>
      <c r="T41" s="1">
        <f>SUM(OSRRefT22_4x_0)</f>
        <v>77575.360000000001</v>
      </c>
      <c r="U41" s="1"/>
      <c r="V41" s="5">
        <f t="shared" ref="V41:V45" si="29">IF(T$12=0,0,T41/T$12)</f>
        <v>0</v>
      </c>
      <c r="W41" s="1"/>
      <c r="X41" s="1">
        <f t="shared" ref="X41:X45" si="30">+P41-T41</f>
        <v>1307.3899999999994</v>
      </c>
      <c r="Y41" s="1"/>
      <c r="Z41" s="5">
        <f t="shared" ref="Z41:Z45" si="31">IF(T41=0,0,X41/T41)</f>
        <v>1.6853160591198024E-2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6">
        <v>10122.969999999999</v>
      </c>
      <c r="E42" s="2"/>
      <c r="F42" s="7">
        <f t="shared" si="24"/>
        <v>0</v>
      </c>
      <c r="G42" s="2"/>
      <c r="H42" s="6">
        <v>8933.5499999999993</v>
      </c>
      <c r="I42" s="2"/>
      <c r="J42" s="7">
        <f t="shared" si="25"/>
        <v>0</v>
      </c>
      <c r="K42" s="2"/>
      <c r="L42" s="6">
        <f t="shared" si="26"/>
        <v>1189.42</v>
      </c>
      <c r="M42" s="2"/>
      <c r="N42" s="7">
        <f t="shared" si="27"/>
        <v>0.13314080068953554</v>
      </c>
      <c r="O42" s="11"/>
      <c r="P42" s="6">
        <v>78882.75</v>
      </c>
      <c r="Q42" s="2"/>
      <c r="R42" s="7">
        <f t="shared" si="28"/>
        <v>0</v>
      </c>
      <c r="S42" s="2"/>
      <c r="T42" s="6">
        <v>77575.360000000001</v>
      </c>
      <c r="U42" s="2"/>
      <c r="V42" s="7">
        <f t="shared" si="29"/>
        <v>0</v>
      </c>
      <c r="W42" s="2"/>
      <c r="X42" s="6">
        <f t="shared" si="30"/>
        <v>1307.3899999999994</v>
      </c>
      <c r="Y42" s="2"/>
      <c r="Z42" s="7">
        <f t="shared" si="31"/>
        <v>1.6853160591198024E-2</v>
      </c>
    </row>
    <row r="43" spans="1:26" s="25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29607.43</v>
      </c>
      <c r="E43" s="1"/>
      <c r="F43" s="5">
        <f t="shared" si="24"/>
        <v>0</v>
      </c>
      <c r="G43" s="1"/>
      <c r="H43" s="1">
        <f>SUM(OSRRefH22_5x_0)</f>
        <v>29330.07</v>
      </c>
      <c r="I43" s="1"/>
      <c r="J43" s="5">
        <f t="shared" si="25"/>
        <v>0</v>
      </c>
      <c r="K43" s="1"/>
      <c r="L43" s="1">
        <f t="shared" si="26"/>
        <v>277.36000000000058</v>
      </c>
      <c r="M43" s="1"/>
      <c r="N43" s="5">
        <f t="shared" si="27"/>
        <v>9.4565065818117914E-3</v>
      </c>
      <c r="O43" s="13"/>
      <c r="P43" s="1">
        <f>SUM(OSRRefP22_5x_0)</f>
        <v>148037.15</v>
      </c>
      <c r="Q43" s="1"/>
      <c r="R43" s="5">
        <f t="shared" si="28"/>
        <v>0</v>
      </c>
      <c r="S43" s="1"/>
      <c r="T43" s="1">
        <f>SUM(OSRRefT22_5x_0)</f>
        <v>146650.34999999998</v>
      </c>
      <c r="U43" s="1"/>
      <c r="V43" s="5">
        <f t="shared" si="29"/>
        <v>0</v>
      </c>
      <c r="W43" s="1"/>
      <c r="X43" s="1">
        <f t="shared" si="30"/>
        <v>1386.8000000000175</v>
      </c>
      <c r="Y43" s="1"/>
      <c r="Z43" s="5">
        <f t="shared" si="31"/>
        <v>9.456506581811892E-3</v>
      </c>
    </row>
    <row r="44" spans="1:26" s="24" customFormat="1" hidden="1" outlineLevel="2" x14ac:dyDescent="0.25">
      <c r="A44" s="26"/>
      <c r="B44" s="11" t="str">
        <f>CONCATENATE("          ", "6321", " - ", "BUILDING DEPRECIATION")</f>
        <v xml:space="preserve">          6321 - BUILDING DEPRECIATION</v>
      </c>
      <c r="C44" s="11"/>
      <c r="D44" s="6">
        <v>16396.52</v>
      </c>
      <c r="E44" s="2"/>
      <c r="F44" s="7">
        <f t="shared" si="24"/>
        <v>0</v>
      </c>
      <c r="G44" s="2"/>
      <c r="H44" s="6">
        <v>16453.38</v>
      </c>
      <c r="I44" s="2"/>
      <c r="J44" s="7">
        <f t="shared" si="25"/>
        <v>0</v>
      </c>
      <c r="K44" s="2"/>
      <c r="L44" s="6">
        <f t="shared" si="26"/>
        <v>-56.860000000000582</v>
      </c>
      <c r="M44" s="2"/>
      <c r="N44" s="7">
        <f t="shared" si="27"/>
        <v>-3.4558248821822978E-3</v>
      </c>
      <c r="O44" s="11"/>
      <c r="P44" s="6">
        <v>81982.599999999991</v>
      </c>
      <c r="Q44" s="2"/>
      <c r="R44" s="7">
        <f t="shared" si="28"/>
        <v>0</v>
      </c>
      <c r="S44" s="2"/>
      <c r="T44" s="6">
        <v>82266.899999999994</v>
      </c>
      <c r="U44" s="2"/>
      <c r="V44" s="7">
        <f t="shared" si="29"/>
        <v>0</v>
      </c>
      <c r="W44" s="2"/>
      <c r="X44" s="6">
        <f t="shared" si="30"/>
        <v>-284.30000000000291</v>
      </c>
      <c r="Y44" s="2"/>
      <c r="Z44" s="7">
        <f t="shared" si="31"/>
        <v>-3.4558248821822983E-3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13210.91</v>
      </c>
      <c r="E45" s="2"/>
      <c r="F45" s="7">
        <f t="shared" si="24"/>
        <v>0</v>
      </c>
      <c r="G45" s="2"/>
      <c r="H45" s="6">
        <v>12876.69</v>
      </c>
      <c r="I45" s="2"/>
      <c r="J45" s="7">
        <f t="shared" si="25"/>
        <v>0</v>
      </c>
      <c r="K45" s="2"/>
      <c r="L45" s="6">
        <f t="shared" si="26"/>
        <v>334.21999999999935</v>
      </c>
      <c r="M45" s="2"/>
      <c r="N45" s="7">
        <f t="shared" si="27"/>
        <v>2.5955427986539967E-2</v>
      </c>
      <c r="O45" s="11"/>
      <c r="P45" s="6">
        <v>66054.55</v>
      </c>
      <c r="Q45" s="2"/>
      <c r="R45" s="7">
        <f t="shared" si="28"/>
        <v>0</v>
      </c>
      <c r="S45" s="2"/>
      <c r="T45" s="6">
        <v>64383.45</v>
      </c>
      <c r="U45" s="2"/>
      <c r="V45" s="7">
        <f t="shared" si="29"/>
        <v>0</v>
      </c>
      <c r="W45" s="2"/>
      <c r="X45" s="6">
        <f t="shared" si="30"/>
        <v>1671.1000000000058</v>
      </c>
      <c r="Y45" s="2"/>
      <c r="Z45" s="7">
        <f t="shared" si="31"/>
        <v>2.595542798654011E-2</v>
      </c>
    </row>
    <row r="46" spans="1:26" s="25" customFormat="1" outlineLevel="1" collapsed="1" x14ac:dyDescent="0.25">
      <c r="A46" s="27"/>
      <c r="B46" s="13" t="str">
        <f>CONCATENATE("     ","Discounts and Markdowns                           ")</f>
        <v xml:space="preserve">     Discounts and Markdowns                           </v>
      </c>
      <c r="C46" s="13"/>
      <c r="D46" s="1">
        <f>SUM(OSRRefD22_6x_0)</f>
        <v>-432.07</v>
      </c>
      <c r="E46" s="1"/>
      <c r="F46" s="5">
        <f t="shared" ref="F46:F48" si="32">IF(D$12=0,0,D46/D$12)</f>
        <v>0</v>
      </c>
      <c r="G46" s="1"/>
      <c r="H46" s="1">
        <f>SUM(OSRRefH22_6x_0)</f>
        <v>-162.99</v>
      </c>
      <c r="I46" s="1"/>
      <c r="J46" s="5">
        <f t="shared" ref="J46:J48" si="33">IF(H$12=0,0,H46/H$12)</f>
        <v>0</v>
      </c>
      <c r="K46" s="1"/>
      <c r="L46" s="1">
        <f t="shared" ref="L46:L48" si="34">+D46-H46</f>
        <v>-269.08</v>
      </c>
      <c r="M46" s="1"/>
      <c r="N46" s="5">
        <f t="shared" ref="N46:N48" si="35">IF(H46=0,0,L46/H46)</f>
        <v>1.650898828148966</v>
      </c>
      <c r="O46" s="13"/>
      <c r="P46" s="1">
        <f>SUM(OSRRefP22_6x_0)</f>
        <v>-1589.75</v>
      </c>
      <c r="Q46" s="1"/>
      <c r="R46" s="5">
        <f t="shared" ref="R46:R48" si="36">IF(P$12=0,0,P46/P$12)</f>
        <v>0</v>
      </c>
      <c r="S46" s="1"/>
      <c r="T46" s="1">
        <f>SUM(OSRRefT22_6x_0)</f>
        <v>-3134.93</v>
      </c>
      <c r="U46" s="1"/>
      <c r="V46" s="5">
        <f t="shared" ref="V46:V48" si="37">IF(T$12=0,0,T46/T$12)</f>
        <v>0</v>
      </c>
      <c r="W46" s="1"/>
      <c r="X46" s="1">
        <f t="shared" ref="X46:X48" si="38">+P46-T46</f>
        <v>1545.1799999999998</v>
      </c>
      <c r="Y46" s="1"/>
      <c r="Z46" s="5">
        <f t="shared" ref="Z46:Z48" si="39">IF(T46=0,0,X46/T46)</f>
        <v>-0.49289138832446017</v>
      </c>
    </row>
    <row r="47" spans="1:26" s="24" customFormat="1" hidden="1" outlineLevel="2" x14ac:dyDescent="0.25">
      <c r="A47" s="26"/>
      <c r="B47" s="11" t="str">
        <f>CONCATENATE("          ", "6382", " - ", "DISCOUNTS/MARK DOWNS")</f>
        <v xml:space="preserve">          6382 - DISCOUNTS/MARK DOWNS</v>
      </c>
      <c r="C47" s="11"/>
      <c r="D47" s="6">
        <v>4</v>
      </c>
      <c r="E47" s="2"/>
      <c r="F47" s="7">
        <f t="shared" si="32"/>
        <v>0</v>
      </c>
      <c r="G47" s="2"/>
      <c r="H47" s="6">
        <v>31</v>
      </c>
      <c r="I47" s="2"/>
      <c r="J47" s="7">
        <f t="shared" si="33"/>
        <v>0</v>
      </c>
      <c r="K47" s="2"/>
      <c r="L47" s="6">
        <f t="shared" si="34"/>
        <v>-27</v>
      </c>
      <c r="M47" s="2"/>
      <c r="N47" s="7">
        <f t="shared" si="35"/>
        <v>-0.87096774193548387</v>
      </c>
      <c r="O47" s="11"/>
      <c r="P47" s="6">
        <v>334.4</v>
      </c>
      <c r="Q47" s="2"/>
      <c r="R47" s="7">
        <f t="shared" si="36"/>
        <v>0</v>
      </c>
      <c r="S47" s="2"/>
      <c r="T47" s="6">
        <v>31</v>
      </c>
      <c r="U47" s="2"/>
      <c r="V47" s="7">
        <f t="shared" si="37"/>
        <v>0</v>
      </c>
      <c r="W47" s="2"/>
      <c r="X47" s="6">
        <f t="shared" si="38"/>
        <v>303.39999999999998</v>
      </c>
      <c r="Y47" s="2"/>
      <c r="Z47" s="7">
        <f t="shared" si="39"/>
        <v>9.7870967741935484</v>
      </c>
    </row>
    <row r="48" spans="1:26" s="24" customFormat="1" hidden="1" outlineLevel="2" x14ac:dyDescent="0.25">
      <c r="A48" s="26"/>
      <c r="B48" s="11" t="str">
        <f>CONCATENATE("          ", "9175", " - ", "EARNED DISCOUNTS")</f>
        <v xml:space="preserve">          9175 - EARNED DISCOUNTS</v>
      </c>
      <c r="C48" s="11"/>
      <c r="D48" s="6">
        <v>-436.07</v>
      </c>
      <c r="E48" s="2"/>
      <c r="F48" s="7">
        <f t="shared" si="32"/>
        <v>0</v>
      </c>
      <c r="G48" s="2"/>
      <c r="H48" s="6">
        <v>-193.99</v>
      </c>
      <c r="I48" s="2"/>
      <c r="J48" s="7">
        <f t="shared" si="33"/>
        <v>0</v>
      </c>
      <c r="K48" s="2"/>
      <c r="L48" s="6">
        <f t="shared" si="34"/>
        <v>-242.07999999999998</v>
      </c>
      <c r="M48" s="2"/>
      <c r="N48" s="7">
        <f t="shared" si="35"/>
        <v>1.2478993762565078</v>
      </c>
      <c r="O48" s="11"/>
      <c r="P48" s="6">
        <v>-1924.15</v>
      </c>
      <c r="Q48" s="2"/>
      <c r="R48" s="7">
        <f t="shared" si="36"/>
        <v>0</v>
      </c>
      <c r="S48" s="2"/>
      <c r="T48" s="6">
        <v>-3165.93</v>
      </c>
      <c r="U48" s="2"/>
      <c r="V48" s="7">
        <f t="shared" si="37"/>
        <v>0</v>
      </c>
      <c r="W48" s="2"/>
      <c r="X48" s="6">
        <f t="shared" si="38"/>
        <v>1241.7799999999997</v>
      </c>
      <c r="Y48" s="2"/>
      <c r="Z48" s="7">
        <f t="shared" si="39"/>
        <v>-0.39223229825043504</v>
      </c>
    </row>
    <row r="49" spans="1:26" s="25" customFormat="1" outlineLevel="1" collapsed="1" x14ac:dyDescent="0.25">
      <c r="A49" s="27"/>
      <c r="B49" s="13" t="str">
        <f>CONCATENATE("     ","Donations                                         ")</f>
        <v xml:space="preserve">     Donations                                         </v>
      </c>
      <c r="C49" s="13"/>
      <c r="D49" s="1">
        <f>SUM(OSRRefD22_7x_0)</f>
        <v>3415.9</v>
      </c>
      <c r="E49" s="1"/>
      <c r="F49" s="5">
        <f t="shared" ref="F49:F66" si="40">IF(D$12=0,0,D49/D$12)</f>
        <v>0</v>
      </c>
      <c r="G49" s="1"/>
      <c r="H49" s="1">
        <f>SUM(OSRRefH22_7x_0)</f>
        <v>320.8</v>
      </c>
      <c r="I49" s="1"/>
      <c r="J49" s="5">
        <f t="shared" ref="J49:J66" si="41">IF(H$12=0,0,H49/H$12)</f>
        <v>0</v>
      </c>
      <c r="K49" s="1"/>
      <c r="L49" s="1">
        <f t="shared" ref="L49:L66" si="42">+D49-H49</f>
        <v>3095.1</v>
      </c>
      <c r="M49" s="1"/>
      <c r="N49" s="5">
        <f t="shared" ref="N49:N66" si="43">IF(H49=0,0,L49/H49)</f>
        <v>9.6480673316708216</v>
      </c>
      <c r="O49" s="13"/>
      <c r="P49" s="1">
        <f>SUM(OSRRefP22_7x_0)</f>
        <v>9647.3799999999992</v>
      </c>
      <c r="Q49" s="1"/>
      <c r="R49" s="5">
        <f t="shared" ref="R49:R66" si="44">IF(P$12=0,0,P49/P$12)</f>
        <v>0</v>
      </c>
      <c r="S49" s="1"/>
      <c r="T49" s="1">
        <f>SUM(OSRRefT22_7x_0)</f>
        <v>4862.6000000000004</v>
      </c>
      <c r="U49" s="1"/>
      <c r="V49" s="5">
        <f t="shared" ref="V49:V66" si="45">IF(T$12=0,0,T49/T$12)</f>
        <v>0</v>
      </c>
      <c r="W49" s="1"/>
      <c r="X49" s="1">
        <f t="shared" ref="X49:X66" si="46">+P49-T49</f>
        <v>4784.7799999999988</v>
      </c>
      <c r="Y49" s="1"/>
      <c r="Z49" s="5">
        <f t="shared" ref="Z49:Z66" si="47">IF(T49=0,0,X49/T49)</f>
        <v>0.98399621601612275</v>
      </c>
    </row>
    <row r="50" spans="1:26" s="24" customFormat="1" hidden="1" outlineLevel="2" x14ac:dyDescent="0.25">
      <c r="A50" s="26"/>
      <c r="B50" s="11" t="str">
        <f>CONCATENATE("          ", "6399", " - ", "DONATION-ON CAMPUS")</f>
        <v xml:space="preserve">          6399 - DONATION-ON CAMPUS</v>
      </c>
      <c r="C50" s="11"/>
      <c r="D50" s="6">
        <v>3415.9</v>
      </c>
      <c r="E50" s="2"/>
      <c r="F50" s="7">
        <f t="shared" si="40"/>
        <v>0</v>
      </c>
      <c r="G50" s="2"/>
      <c r="H50" s="6">
        <v>320.8</v>
      </c>
      <c r="I50" s="2"/>
      <c r="J50" s="7">
        <f t="shared" si="41"/>
        <v>0</v>
      </c>
      <c r="K50" s="2"/>
      <c r="L50" s="6">
        <f t="shared" si="42"/>
        <v>3095.1</v>
      </c>
      <c r="M50" s="2"/>
      <c r="N50" s="7">
        <f t="shared" si="43"/>
        <v>9.6480673316708216</v>
      </c>
      <c r="O50" s="11"/>
      <c r="P50" s="6">
        <v>9647.3799999999992</v>
      </c>
      <c r="Q50" s="2"/>
      <c r="R50" s="7">
        <f t="shared" si="44"/>
        <v>0</v>
      </c>
      <c r="S50" s="2"/>
      <c r="T50" s="6">
        <v>4862.6000000000004</v>
      </c>
      <c r="U50" s="2"/>
      <c r="V50" s="7">
        <f t="shared" si="45"/>
        <v>0</v>
      </c>
      <c r="W50" s="2"/>
      <c r="X50" s="6">
        <f t="shared" si="46"/>
        <v>4784.7799999999988</v>
      </c>
      <c r="Y50" s="2"/>
      <c r="Z50" s="7">
        <f t="shared" si="47"/>
        <v>0.98399621601612275</v>
      </c>
    </row>
    <row r="51" spans="1:26" s="25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SUM(OSRRefD22_8x_0)</f>
        <v>222.13</v>
      </c>
      <c r="E51" s="1"/>
      <c r="F51" s="5">
        <f t="shared" si="40"/>
        <v>0</v>
      </c>
      <c r="G51" s="1"/>
      <c r="H51" s="1">
        <f>SUM(OSRRefH22_8x_0)</f>
        <v>152.46</v>
      </c>
      <c r="I51" s="1"/>
      <c r="J51" s="5">
        <f t="shared" si="41"/>
        <v>0</v>
      </c>
      <c r="K51" s="1"/>
      <c r="L51" s="1">
        <f t="shared" si="42"/>
        <v>69.669999999999987</v>
      </c>
      <c r="M51" s="1"/>
      <c r="N51" s="5">
        <f t="shared" si="43"/>
        <v>0.45697232060868415</v>
      </c>
      <c r="O51" s="13"/>
      <c r="P51" s="1">
        <f>SUM(OSRRefP22_8x_0)</f>
        <v>673.35</v>
      </c>
      <c r="Q51" s="1"/>
      <c r="R51" s="5">
        <f t="shared" si="44"/>
        <v>0</v>
      </c>
      <c r="S51" s="1"/>
      <c r="T51" s="1">
        <f>SUM(OSRRefT22_8x_0)</f>
        <v>2062.52</v>
      </c>
      <c r="U51" s="1"/>
      <c r="V51" s="5">
        <f t="shared" si="45"/>
        <v>0</v>
      </c>
      <c r="W51" s="1"/>
      <c r="X51" s="1">
        <f t="shared" si="46"/>
        <v>-1389.17</v>
      </c>
      <c r="Y51" s="1"/>
      <c r="Z51" s="5">
        <f t="shared" si="47"/>
        <v>-0.67353043849271765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6">
        <v>222.13</v>
      </c>
      <c r="E52" s="2"/>
      <c r="F52" s="7">
        <f t="shared" si="40"/>
        <v>0</v>
      </c>
      <c r="G52" s="2"/>
      <c r="H52" s="6">
        <v>152.46</v>
      </c>
      <c r="I52" s="2"/>
      <c r="J52" s="7">
        <f t="shared" si="41"/>
        <v>0</v>
      </c>
      <c r="K52" s="2"/>
      <c r="L52" s="6">
        <f t="shared" si="42"/>
        <v>69.669999999999987</v>
      </c>
      <c r="M52" s="2"/>
      <c r="N52" s="7">
        <f t="shared" si="43"/>
        <v>0.45697232060868415</v>
      </c>
      <c r="O52" s="11"/>
      <c r="P52" s="6">
        <v>673.35</v>
      </c>
      <c r="Q52" s="2"/>
      <c r="R52" s="7">
        <f t="shared" si="44"/>
        <v>0</v>
      </c>
      <c r="S52" s="2"/>
      <c r="T52" s="6">
        <v>2062.52</v>
      </c>
      <c r="U52" s="2"/>
      <c r="V52" s="7">
        <f t="shared" si="45"/>
        <v>0</v>
      </c>
      <c r="W52" s="2"/>
      <c r="X52" s="6">
        <f t="shared" si="46"/>
        <v>-1389.17</v>
      </c>
      <c r="Y52" s="2"/>
      <c r="Z52" s="7">
        <f t="shared" si="47"/>
        <v>-0.67353043849271765</v>
      </c>
    </row>
    <row r="53" spans="1:26" s="25" customFormat="1" outlineLevel="1" collapsed="1" x14ac:dyDescent="0.25">
      <c r="A53" s="27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SUM(OSRRefD22_9x_0)</f>
        <v>0</v>
      </c>
      <c r="E53" s="1"/>
      <c r="F53" s="5">
        <f t="shared" si="40"/>
        <v>0</v>
      </c>
      <c r="G53" s="1"/>
      <c r="H53" s="1">
        <f>SUM(OSRRefH22_9x_0)</f>
        <v>0</v>
      </c>
      <c r="I53" s="1"/>
      <c r="J53" s="5">
        <f t="shared" si="41"/>
        <v>0</v>
      </c>
      <c r="K53" s="1"/>
      <c r="L53" s="1">
        <f t="shared" si="42"/>
        <v>0</v>
      </c>
      <c r="M53" s="1"/>
      <c r="N53" s="5">
        <f t="shared" si="43"/>
        <v>0</v>
      </c>
      <c r="O53" s="13"/>
      <c r="P53" s="1">
        <f>SUM(OSRRefP22_9x_0)</f>
        <v>14.39</v>
      </c>
      <c r="Q53" s="1"/>
      <c r="R53" s="5">
        <f t="shared" si="44"/>
        <v>0</v>
      </c>
      <c r="S53" s="1"/>
      <c r="T53" s="1">
        <f>SUM(OSRRefT22_9x_0)</f>
        <v>18.53</v>
      </c>
      <c r="U53" s="1"/>
      <c r="V53" s="5">
        <f t="shared" si="45"/>
        <v>0</v>
      </c>
      <c r="W53" s="1"/>
      <c r="X53" s="1">
        <f t="shared" si="46"/>
        <v>-4.1400000000000006</v>
      </c>
      <c r="Y53" s="1"/>
      <c r="Z53" s="5">
        <f t="shared" si="47"/>
        <v>-0.22342147868321643</v>
      </c>
    </row>
    <row r="54" spans="1:26" s="24" customFormat="1" hidden="1" outlineLevel="2" x14ac:dyDescent="0.25">
      <c r="A54" s="26"/>
      <c r="B54" s="11" t="str">
        <f>CONCATENATE("          ", "6307", " - ", "POSTAGE")</f>
        <v xml:space="preserve">          6307 - POSTAGE</v>
      </c>
      <c r="C54" s="11"/>
      <c r="D54" s="6"/>
      <c r="E54" s="2"/>
      <c r="F54" s="7">
        <f t="shared" si="40"/>
        <v>0</v>
      </c>
      <c r="G54" s="2"/>
      <c r="H54" s="6"/>
      <c r="I54" s="2"/>
      <c r="J54" s="7">
        <f t="shared" si="41"/>
        <v>0</v>
      </c>
      <c r="K54" s="2"/>
      <c r="L54" s="6">
        <f t="shared" si="42"/>
        <v>0</v>
      </c>
      <c r="M54" s="2"/>
      <c r="N54" s="7">
        <f t="shared" si="43"/>
        <v>0</v>
      </c>
      <c r="O54" s="11"/>
      <c r="P54" s="6">
        <v>14.39</v>
      </c>
      <c r="Q54" s="2"/>
      <c r="R54" s="7">
        <f t="shared" si="44"/>
        <v>0</v>
      </c>
      <c r="S54" s="2"/>
      <c r="T54" s="6">
        <v>18.53</v>
      </c>
      <c r="U54" s="2"/>
      <c r="V54" s="7">
        <f t="shared" si="45"/>
        <v>0</v>
      </c>
      <c r="W54" s="2"/>
      <c r="X54" s="6">
        <f t="shared" si="46"/>
        <v>-4.1400000000000006</v>
      </c>
      <c r="Y54" s="2"/>
      <c r="Z54" s="7">
        <f t="shared" si="47"/>
        <v>-0.22342147868321643</v>
      </c>
    </row>
    <row r="55" spans="1:26" s="25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SUM(OSRRefD22_10x_0)</f>
        <v>1303.32</v>
      </c>
      <c r="E55" s="1"/>
      <c r="F55" s="5">
        <f t="shared" si="40"/>
        <v>0</v>
      </c>
      <c r="G55" s="1"/>
      <c r="H55" s="1">
        <f>SUM(OSRRefH22_10x_0)</f>
        <v>206.83</v>
      </c>
      <c r="I55" s="1"/>
      <c r="J55" s="5">
        <f t="shared" si="41"/>
        <v>0</v>
      </c>
      <c r="K55" s="1"/>
      <c r="L55" s="1">
        <f t="shared" si="42"/>
        <v>1096.49</v>
      </c>
      <c r="M55" s="1"/>
      <c r="N55" s="5">
        <f t="shared" si="43"/>
        <v>5.3014069525697431</v>
      </c>
      <c r="O55" s="13"/>
      <c r="P55" s="1">
        <f>SUM(OSRRefP22_10x_0)</f>
        <v>-13680.98</v>
      </c>
      <c r="Q55" s="1"/>
      <c r="R55" s="5">
        <f t="shared" si="44"/>
        <v>0</v>
      </c>
      <c r="S55" s="1"/>
      <c r="T55" s="1">
        <f>SUM(OSRRefT22_10x_0)</f>
        <v>-83.48</v>
      </c>
      <c r="U55" s="1"/>
      <c r="V55" s="5">
        <f t="shared" si="45"/>
        <v>0</v>
      </c>
      <c r="W55" s="1"/>
      <c r="X55" s="1">
        <f t="shared" si="46"/>
        <v>-13597.5</v>
      </c>
      <c r="Y55" s="1"/>
      <c r="Z55" s="5">
        <f t="shared" si="47"/>
        <v>162.88332534738859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>
        <v>1303.32</v>
      </c>
      <c r="E56" s="2"/>
      <c r="F56" s="7">
        <f t="shared" si="40"/>
        <v>0</v>
      </c>
      <c r="G56" s="2"/>
      <c r="H56" s="6">
        <v>206.83</v>
      </c>
      <c r="I56" s="2"/>
      <c r="J56" s="7">
        <f t="shared" si="41"/>
        <v>0</v>
      </c>
      <c r="K56" s="2"/>
      <c r="L56" s="6">
        <f t="shared" si="42"/>
        <v>1096.49</v>
      </c>
      <c r="M56" s="2"/>
      <c r="N56" s="7">
        <f t="shared" si="43"/>
        <v>5.3014069525697431</v>
      </c>
      <c r="O56" s="11"/>
      <c r="P56" s="6">
        <v>-13680.98</v>
      </c>
      <c r="Q56" s="2"/>
      <c r="R56" s="7">
        <f t="shared" si="44"/>
        <v>0</v>
      </c>
      <c r="S56" s="2"/>
      <c r="T56" s="6">
        <v>-83.48</v>
      </c>
      <c r="U56" s="2"/>
      <c r="V56" s="7">
        <f t="shared" si="45"/>
        <v>0</v>
      </c>
      <c r="W56" s="2"/>
      <c r="X56" s="6">
        <f t="shared" si="46"/>
        <v>-13597.5</v>
      </c>
      <c r="Y56" s="2"/>
      <c r="Z56" s="7">
        <f t="shared" si="47"/>
        <v>162.88332534738859</v>
      </c>
    </row>
    <row r="57" spans="1:26" s="25" customFormat="1" outlineLevel="1" collapsed="1" x14ac:dyDescent="0.25">
      <c r="A57" s="27"/>
      <c r="B57" s="13" t="str">
        <f>CONCATENATE("     ","Insurance                                         ")</f>
        <v xml:space="preserve">     Insurance                                         </v>
      </c>
      <c r="C57" s="13"/>
      <c r="D57" s="1">
        <f>SUM(OSRRefD22_11x_0)</f>
        <v>3883.56</v>
      </c>
      <c r="E57" s="1"/>
      <c r="F57" s="5">
        <f t="shared" si="40"/>
        <v>0</v>
      </c>
      <c r="G57" s="1"/>
      <c r="H57" s="1">
        <f>SUM(OSRRefH22_11x_0)</f>
        <v>3658.12</v>
      </c>
      <c r="I57" s="1"/>
      <c r="J57" s="5">
        <f t="shared" si="41"/>
        <v>0</v>
      </c>
      <c r="K57" s="1"/>
      <c r="L57" s="1">
        <f t="shared" si="42"/>
        <v>225.44000000000005</v>
      </c>
      <c r="M57" s="1"/>
      <c r="N57" s="5">
        <f t="shared" si="43"/>
        <v>6.1627283960066934E-2</v>
      </c>
      <c r="O57" s="13"/>
      <c r="P57" s="1">
        <f>SUM(OSRRefP22_11x_0)</f>
        <v>19417.8</v>
      </c>
      <c r="Q57" s="1"/>
      <c r="R57" s="5">
        <f t="shared" si="44"/>
        <v>0</v>
      </c>
      <c r="S57" s="1"/>
      <c r="T57" s="1">
        <f>SUM(OSRRefT22_11x_0)</f>
        <v>18290.599999999999</v>
      </c>
      <c r="U57" s="1"/>
      <c r="V57" s="5">
        <f t="shared" si="45"/>
        <v>0</v>
      </c>
      <c r="W57" s="1"/>
      <c r="X57" s="1">
        <f t="shared" si="46"/>
        <v>1127.2000000000007</v>
      </c>
      <c r="Y57" s="1"/>
      <c r="Z57" s="5">
        <f t="shared" si="47"/>
        <v>6.1627283960066961E-2</v>
      </c>
    </row>
    <row r="58" spans="1:26" s="24" customFormat="1" hidden="1" outlineLevel="2" x14ac:dyDescent="0.25">
      <c r="A58" s="26"/>
      <c r="B58" s="11" t="str">
        <f>CONCATENATE("          ", "6314", " - ", "LIABILITY INSURANCE")</f>
        <v xml:space="preserve">          6314 - LIABILITY INSURANCE</v>
      </c>
      <c r="C58" s="11"/>
      <c r="D58" s="6">
        <v>3883.56</v>
      </c>
      <c r="E58" s="2"/>
      <c r="F58" s="7">
        <f t="shared" si="40"/>
        <v>0</v>
      </c>
      <c r="G58" s="2"/>
      <c r="H58" s="6">
        <v>3658.12</v>
      </c>
      <c r="I58" s="2"/>
      <c r="J58" s="7">
        <f t="shared" si="41"/>
        <v>0</v>
      </c>
      <c r="K58" s="2"/>
      <c r="L58" s="6">
        <f t="shared" si="42"/>
        <v>225.44000000000005</v>
      </c>
      <c r="M58" s="2"/>
      <c r="N58" s="7">
        <f t="shared" si="43"/>
        <v>6.1627283960066934E-2</v>
      </c>
      <c r="O58" s="11"/>
      <c r="P58" s="6">
        <v>19417.8</v>
      </c>
      <c r="Q58" s="2"/>
      <c r="R58" s="7">
        <f t="shared" si="44"/>
        <v>0</v>
      </c>
      <c r="S58" s="2"/>
      <c r="T58" s="6">
        <v>18290.599999999999</v>
      </c>
      <c r="U58" s="2"/>
      <c r="V58" s="7">
        <f t="shared" si="45"/>
        <v>0</v>
      </c>
      <c r="W58" s="2"/>
      <c r="X58" s="6">
        <f t="shared" si="46"/>
        <v>1127.2000000000007</v>
      </c>
      <c r="Y58" s="2"/>
      <c r="Z58" s="7">
        <f t="shared" si="47"/>
        <v>6.1627283960066961E-2</v>
      </c>
    </row>
    <row r="59" spans="1:26" s="25" customFormat="1" outlineLevel="1" collapsed="1" x14ac:dyDescent="0.25">
      <c r="A59" s="27"/>
      <c r="B59" s="13" t="str">
        <f>CONCATENATE("     ","Professional Services                             ")</f>
        <v xml:space="preserve">     Professional Services                             </v>
      </c>
      <c r="C59" s="13"/>
      <c r="D59" s="1">
        <f>SUM(OSRRefD22_12x_0)</f>
        <v>0</v>
      </c>
      <c r="E59" s="1"/>
      <c r="F59" s="5">
        <f t="shared" si="40"/>
        <v>0</v>
      </c>
      <c r="G59" s="1"/>
      <c r="H59" s="1">
        <f>SUM(OSRRefH22_12x_0)</f>
        <v>0</v>
      </c>
      <c r="I59" s="1"/>
      <c r="J59" s="5">
        <f t="shared" si="41"/>
        <v>0</v>
      </c>
      <c r="K59" s="1"/>
      <c r="L59" s="1">
        <f t="shared" si="42"/>
        <v>0</v>
      </c>
      <c r="M59" s="1"/>
      <c r="N59" s="5">
        <f t="shared" si="43"/>
        <v>0</v>
      </c>
      <c r="O59" s="13"/>
      <c r="P59" s="1">
        <f>SUM(OSRRefP22_12x_0)</f>
        <v>4658.41</v>
      </c>
      <c r="Q59" s="1"/>
      <c r="R59" s="5">
        <f t="shared" si="44"/>
        <v>0</v>
      </c>
      <c r="S59" s="1"/>
      <c r="T59" s="1">
        <f>SUM(OSRRefT22_12x_0)</f>
        <v>6776.43</v>
      </c>
      <c r="U59" s="1"/>
      <c r="V59" s="5">
        <f t="shared" si="45"/>
        <v>0</v>
      </c>
      <c r="W59" s="1"/>
      <c r="X59" s="1">
        <f t="shared" si="46"/>
        <v>-2118.0200000000004</v>
      </c>
      <c r="Y59" s="1"/>
      <c r="Z59" s="5">
        <f t="shared" si="47"/>
        <v>-0.31255690680786202</v>
      </c>
    </row>
    <row r="60" spans="1:26" s="24" customFormat="1" hidden="1" outlineLevel="2" x14ac:dyDescent="0.25">
      <c r="A60" s="26"/>
      <c r="B60" s="11" t="str">
        <f>CONCATENATE("          ", "6336", " - ", "PROFESSIONAL SERVICES")</f>
        <v xml:space="preserve">          6336 - PROFESSIONAL SERVICES</v>
      </c>
      <c r="C60" s="11"/>
      <c r="D60" s="6"/>
      <c r="E60" s="2"/>
      <c r="F60" s="7">
        <f t="shared" si="40"/>
        <v>0</v>
      </c>
      <c r="G60" s="2"/>
      <c r="H60" s="6"/>
      <c r="I60" s="2"/>
      <c r="J60" s="7">
        <f t="shared" si="41"/>
        <v>0</v>
      </c>
      <c r="K60" s="2"/>
      <c r="L60" s="6">
        <f t="shared" si="42"/>
        <v>0</v>
      </c>
      <c r="M60" s="2"/>
      <c r="N60" s="7">
        <f t="shared" si="43"/>
        <v>0</v>
      </c>
      <c r="O60" s="11"/>
      <c r="P60" s="6">
        <v>4658.41</v>
      </c>
      <c r="Q60" s="2"/>
      <c r="R60" s="7">
        <f t="shared" si="44"/>
        <v>0</v>
      </c>
      <c r="S60" s="2"/>
      <c r="T60" s="6">
        <v>6776.43</v>
      </c>
      <c r="U60" s="2"/>
      <c r="V60" s="7">
        <f t="shared" si="45"/>
        <v>0</v>
      </c>
      <c r="W60" s="2"/>
      <c r="X60" s="6">
        <f t="shared" si="46"/>
        <v>-2118.0200000000004</v>
      </c>
      <c r="Y60" s="2"/>
      <c r="Z60" s="7">
        <f t="shared" si="47"/>
        <v>-0.31255690680786202</v>
      </c>
    </row>
    <row r="61" spans="1:26" s="25" customFormat="1" outlineLevel="1" collapsed="1" x14ac:dyDescent="0.25">
      <c r="A61" s="27"/>
      <c r="B61" s="13" t="str">
        <f>CONCATENATE("     ","Rent                                              ")</f>
        <v xml:space="preserve">     Rent                                              </v>
      </c>
      <c r="C61" s="13"/>
      <c r="D61" s="1">
        <f>SUM(OSRRefD22_13x_0)</f>
        <v>-800</v>
      </c>
      <c r="E61" s="1"/>
      <c r="F61" s="5">
        <f t="shared" si="40"/>
        <v>0</v>
      </c>
      <c r="G61" s="1"/>
      <c r="H61" s="1">
        <f>SUM(OSRRefH22_13x_0)</f>
        <v>-800</v>
      </c>
      <c r="I61" s="1"/>
      <c r="J61" s="5">
        <f t="shared" si="41"/>
        <v>0</v>
      </c>
      <c r="K61" s="1"/>
      <c r="L61" s="1">
        <f t="shared" si="42"/>
        <v>0</v>
      </c>
      <c r="M61" s="1"/>
      <c r="N61" s="5">
        <f t="shared" si="43"/>
        <v>0</v>
      </c>
      <c r="O61" s="13"/>
      <c r="P61" s="1">
        <f>SUM(OSRRefP22_13x_0)</f>
        <v>-4000</v>
      </c>
      <c r="Q61" s="1"/>
      <c r="R61" s="5">
        <f t="shared" si="44"/>
        <v>0</v>
      </c>
      <c r="S61" s="1"/>
      <c r="T61" s="1">
        <f>SUM(OSRRefT22_13x_0)</f>
        <v>-3098.92</v>
      </c>
      <c r="U61" s="1"/>
      <c r="V61" s="5">
        <f t="shared" si="45"/>
        <v>0</v>
      </c>
      <c r="W61" s="1"/>
      <c r="X61" s="1">
        <f t="shared" si="46"/>
        <v>-901.07999999999993</v>
      </c>
      <c r="Y61" s="1"/>
      <c r="Z61" s="5">
        <f t="shared" si="47"/>
        <v>0.29077226904857173</v>
      </c>
    </row>
    <row r="62" spans="1:26" s="24" customFormat="1" hidden="1" outlineLevel="2" x14ac:dyDescent="0.25">
      <c r="A62" s="26"/>
      <c r="B62" s="11" t="str">
        <f>CONCATENATE("          ", "6273", " - ", "RENT")</f>
        <v xml:space="preserve">          6273 - RENT</v>
      </c>
      <c r="C62" s="11"/>
      <c r="D62" s="6">
        <v>-800</v>
      </c>
      <c r="E62" s="2"/>
      <c r="F62" s="7">
        <f t="shared" si="40"/>
        <v>0</v>
      </c>
      <c r="G62" s="2"/>
      <c r="H62" s="6">
        <v>-800</v>
      </c>
      <c r="I62" s="2"/>
      <c r="J62" s="7">
        <f t="shared" si="41"/>
        <v>0</v>
      </c>
      <c r="K62" s="2"/>
      <c r="L62" s="6">
        <f t="shared" si="42"/>
        <v>0</v>
      </c>
      <c r="M62" s="2"/>
      <c r="N62" s="7">
        <f t="shared" si="43"/>
        <v>0</v>
      </c>
      <c r="O62" s="11"/>
      <c r="P62" s="6">
        <v>-4000</v>
      </c>
      <c r="Q62" s="2"/>
      <c r="R62" s="7">
        <f t="shared" si="44"/>
        <v>0</v>
      </c>
      <c r="S62" s="2"/>
      <c r="T62" s="6">
        <v>-3098.92</v>
      </c>
      <c r="U62" s="2"/>
      <c r="V62" s="7">
        <f t="shared" si="45"/>
        <v>0</v>
      </c>
      <c r="W62" s="2"/>
      <c r="X62" s="6">
        <f t="shared" si="46"/>
        <v>-901.07999999999993</v>
      </c>
      <c r="Y62" s="2"/>
      <c r="Z62" s="7">
        <f t="shared" si="47"/>
        <v>0.29077226904857173</v>
      </c>
    </row>
    <row r="63" spans="1:26" s="25" customFormat="1" outlineLevel="1" collapsed="1" x14ac:dyDescent="0.25">
      <c r="A63" s="27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SUM(OSRRefD22_14x_0)</f>
        <v>3798.71</v>
      </c>
      <c r="E63" s="1"/>
      <c r="F63" s="5">
        <f t="shared" si="40"/>
        <v>0</v>
      </c>
      <c r="G63" s="1"/>
      <c r="H63" s="1">
        <f>SUM(OSRRefH22_14x_0)</f>
        <v>4783.6899999999996</v>
      </c>
      <c r="I63" s="1"/>
      <c r="J63" s="5">
        <f t="shared" si="41"/>
        <v>0</v>
      </c>
      <c r="K63" s="1"/>
      <c r="L63" s="1">
        <f t="shared" si="42"/>
        <v>-984.97999999999956</v>
      </c>
      <c r="M63" s="1"/>
      <c r="N63" s="5">
        <f t="shared" si="43"/>
        <v>-0.20590381065662691</v>
      </c>
      <c r="O63" s="13"/>
      <c r="P63" s="1">
        <f>SUM(OSRRefP22_14x_0)</f>
        <v>40217.11</v>
      </c>
      <c r="Q63" s="1"/>
      <c r="R63" s="5">
        <f t="shared" si="44"/>
        <v>0</v>
      </c>
      <c r="S63" s="1"/>
      <c r="T63" s="1">
        <f>SUM(OSRRefT22_14x_0)</f>
        <v>72435.259999999995</v>
      </c>
      <c r="U63" s="1"/>
      <c r="V63" s="5">
        <f t="shared" si="45"/>
        <v>0</v>
      </c>
      <c r="W63" s="1"/>
      <c r="X63" s="1">
        <f t="shared" si="46"/>
        <v>-32218.149999999994</v>
      </c>
      <c r="Y63" s="1"/>
      <c r="Z63" s="5">
        <f t="shared" si="47"/>
        <v>-0.44478545393500341</v>
      </c>
    </row>
    <row r="64" spans="1:26" s="24" customFormat="1" hidden="1" outlineLevel="2" x14ac:dyDescent="0.25">
      <c r="A64" s="26"/>
      <c r="B64" s="11" t="str">
        <f>CONCATENATE("          ", "6371", " - ", "COMPUTER SOFTWARE MAINTENANCE")</f>
        <v xml:space="preserve">          6371 - COMPUTER SOFTWARE MAINTENANCE</v>
      </c>
      <c r="C64" s="11"/>
      <c r="D64" s="6">
        <v>601</v>
      </c>
      <c r="E64" s="2"/>
      <c r="F64" s="7">
        <f t="shared" si="40"/>
        <v>0</v>
      </c>
      <c r="G64" s="2"/>
      <c r="H64" s="6">
        <v>601</v>
      </c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1"/>
      <c r="P64" s="6">
        <v>13352.4</v>
      </c>
      <c r="Q64" s="2"/>
      <c r="R64" s="7">
        <f t="shared" si="44"/>
        <v>0</v>
      </c>
      <c r="S64" s="2"/>
      <c r="T64" s="6">
        <v>49250.25</v>
      </c>
      <c r="U64" s="2"/>
      <c r="V64" s="7">
        <f t="shared" si="45"/>
        <v>0</v>
      </c>
      <c r="W64" s="2"/>
      <c r="X64" s="6">
        <f t="shared" si="46"/>
        <v>-35897.85</v>
      </c>
      <c r="Y64" s="2"/>
      <c r="Z64" s="7">
        <f t="shared" si="47"/>
        <v>-0.72888665539768827</v>
      </c>
    </row>
    <row r="65" spans="1:26" s="24" customFormat="1" hidden="1" outlineLevel="2" x14ac:dyDescent="0.25">
      <c r="A65" s="26"/>
      <c r="B65" s="11" t="str">
        <f>CONCATENATE("          ", "6373", " - ", "MAINTENANCE CONTRACTS")</f>
        <v xml:space="preserve">          6373 - MAINTENANCE CONTRACTS</v>
      </c>
      <c r="C65" s="11"/>
      <c r="D65" s="6"/>
      <c r="E65" s="2"/>
      <c r="F65" s="7">
        <f t="shared" si="40"/>
        <v>0</v>
      </c>
      <c r="G65" s="2"/>
      <c r="H65" s="6">
        <v>1257.55</v>
      </c>
      <c r="I65" s="2"/>
      <c r="J65" s="7">
        <f t="shared" si="41"/>
        <v>0</v>
      </c>
      <c r="K65" s="2"/>
      <c r="L65" s="6">
        <f t="shared" si="42"/>
        <v>-1257.55</v>
      </c>
      <c r="M65" s="2"/>
      <c r="N65" s="7">
        <f t="shared" si="43"/>
        <v>-1</v>
      </c>
      <c r="O65" s="11"/>
      <c r="P65" s="6">
        <v>2114.0500000000002</v>
      </c>
      <c r="Q65" s="2"/>
      <c r="R65" s="7">
        <f t="shared" si="44"/>
        <v>0</v>
      </c>
      <c r="S65" s="2"/>
      <c r="T65" s="6">
        <v>7521.45</v>
      </c>
      <c r="U65" s="2"/>
      <c r="V65" s="7">
        <f t="shared" si="45"/>
        <v>0</v>
      </c>
      <c r="W65" s="2"/>
      <c r="X65" s="6">
        <f t="shared" si="46"/>
        <v>-5407.4</v>
      </c>
      <c r="Y65" s="2"/>
      <c r="Z65" s="7">
        <f t="shared" si="47"/>
        <v>-0.71893052536412527</v>
      </c>
    </row>
    <row r="66" spans="1:26" s="24" customFormat="1" hidden="1" outlineLevel="2" x14ac:dyDescent="0.25">
      <c r="A66" s="26"/>
      <c r="B66" s="11" t="str">
        <f>CONCATENATE("          ", "6375", " - ", "OUTSIDE REPAIRS &amp; MAINTENANCE")</f>
        <v xml:space="preserve">          6375 - OUTSIDE REPAIRS &amp; MAINTENANCE</v>
      </c>
      <c r="C66" s="11"/>
      <c r="D66" s="6">
        <v>3197.71</v>
      </c>
      <c r="E66" s="2"/>
      <c r="F66" s="7">
        <f t="shared" si="40"/>
        <v>0</v>
      </c>
      <c r="G66" s="2"/>
      <c r="H66" s="6">
        <v>2925.14</v>
      </c>
      <c r="I66" s="2"/>
      <c r="J66" s="7">
        <f t="shared" si="41"/>
        <v>0</v>
      </c>
      <c r="K66" s="2"/>
      <c r="L66" s="6">
        <f t="shared" si="42"/>
        <v>272.57000000000016</v>
      </c>
      <c r="M66" s="2"/>
      <c r="N66" s="7">
        <f t="shared" si="43"/>
        <v>9.3181864799633585E-2</v>
      </c>
      <c r="O66" s="11"/>
      <c r="P66" s="6">
        <v>24750.66</v>
      </c>
      <c r="Q66" s="2"/>
      <c r="R66" s="7">
        <f t="shared" si="44"/>
        <v>0</v>
      </c>
      <c r="S66" s="2"/>
      <c r="T66" s="6">
        <v>15663.56</v>
      </c>
      <c r="U66" s="2"/>
      <c r="V66" s="7">
        <f t="shared" si="45"/>
        <v>0</v>
      </c>
      <c r="W66" s="2"/>
      <c r="X66" s="6">
        <f t="shared" si="46"/>
        <v>9087.1</v>
      </c>
      <c r="Y66" s="2"/>
      <c r="Z66" s="7">
        <f t="shared" si="47"/>
        <v>0.58014270063765838</v>
      </c>
    </row>
    <row r="67" spans="1:26" s="25" customFormat="1" outlineLevel="1" collapsed="1" x14ac:dyDescent="0.25">
      <c r="A67" s="27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SUM(OSRRefD22_15x_0)</f>
        <v>4058.93</v>
      </c>
      <c r="E67" s="1"/>
      <c r="F67" s="5">
        <f t="shared" ref="F67:F70" si="48">IF(D$12=0,0,D67/D$12)</f>
        <v>0</v>
      </c>
      <c r="G67" s="1"/>
      <c r="H67" s="1">
        <f>SUM(OSRRefH22_15x_0)</f>
        <v>327.5</v>
      </c>
      <c r="I67" s="1"/>
      <c r="J67" s="5">
        <f t="shared" ref="J67:J70" si="49">IF(H$12=0,0,H67/H$12)</f>
        <v>0</v>
      </c>
      <c r="K67" s="1"/>
      <c r="L67" s="1">
        <f t="shared" ref="L67:L70" si="50">+D67-H67</f>
        <v>3731.43</v>
      </c>
      <c r="M67" s="1"/>
      <c r="N67" s="5">
        <f t="shared" ref="N67:N70" si="51">IF(H67=0,0,L67/H67)</f>
        <v>11.393679389312977</v>
      </c>
      <c r="O67" s="13"/>
      <c r="P67" s="1">
        <f>SUM(OSRRefP22_15x_0)</f>
        <v>19924.980000000003</v>
      </c>
      <c r="Q67" s="1"/>
      <c r="R67" s="5">
        <f t="shared" ref="R67:R70" si="52">IF(P$12=0,0,P67/P$12)</f>
        <v>0</v>
      </c>
      <c r="S67" s="1"/>
      <c r="T67" s="1">
        <f>SUM(OSRRefT22_15x_0)</f>
        <v>16073.34</v>
      </c>
      <c r="U67" s="1"/>
      <c r="V67" s="5">
        <f t="shared" ref="V67:V70" si="53">IF(T$12=0,0,T67/T$12)</f>
        <v>0</v>
      </c>
      <c r="W67" s="1"/>
      <c r="X67" s="1">
        <f t="shared" ref="X67:X70" si="54">+P67-T67</f>
        <v>3851.6400000000031</v>
      </c>
      <c r="Y67" s="1"/>
      <c r="Z67" s="5">
        <f t="shared" ref="Z67:Z70" si="55">IF(T67=0,0,X67/T67)</f>
        <v>0.23962910011236016</v>
      </c>
    </row>
    <row r="68" spans="1:26" s="24" customFormat="1" hidden="1" outlineLevel="2" x14ac:dyDescent="0.25">
      <c r="A68" s="26"/>
      <c r="B68" s="11" t="str">
        <f>CONCATENATE("          ", "6282", " - ", "JANITORIAL/EXTERMINATOR EXPENS")</f>
        <v xml:space="preserve">          6282 - JANITORIAL/EXTERMINATOR EXPENS</v>
      </c>
      <c r="C68" s="11"/>
      <c r="D68" s="6">
        <v>222.5</v>
      </c>
      <c r="E68" s="2"/>
      <c r="F68" s="7">
        <f t="shared" si="48"/>
        <v>0</v>
      </c>
      <c r="G68" s="2"/>
      <c r="H68" s="6">
        <v>210.5</v>
      </c>
      <c r="I68" s="2"/>
      <c r="J68" s="7">
        <f t="shared" si="49"/>
        <v>0</v>
      </c>
      <c r="K68" s="2"/>
      <c r="L68" s="6">
        <f t="shared" si="50"/>
        <v>12</v>
      </c>
      <c r="M68" s="2"/>
      <c r="N68" s="7">
        <f t="shared" si="51"/>
        <v>5.7007125890736345E-2</v>
      </c>
      <c r="O68" s="11"/>
      <c r="P68" s="6">
        <v>1112.5</v>
      </c>
      <c r="Q68" s="2"/>
      <c r="R68" s="7">
        <f t="shared" si="52"/>
        <v>0</v>
      </c>
      <c r="S68" s="2"/>
      <c r="T68" s="6">
        <v>946</v>
      </c>
      <c r="U68" s="2"/>
      <c r="V68" s="7">
        <f t="shared" si="53"/>
        <v>0</v>
      </c>
      <c r="W68" s="2"/>
      <c r="X68" s="6">
        <f t="shared" si="54"/>
        <v>166.5</v>
      </c>
      <c r="Y68" s="2"/>
      <c r="Z68" s="7">
        <f t="shared" si="55"/>
        <v>0.17600422832980972</v>
      </c>
    </row>
    <row r="69" spans="1:26" s="24" customFormat="1" hidden="1" outlineLevel="2" x14ac:dyDescent="0.25">
      <c r="A69" s="26"/>
      <c r="B69" s="11" t="str">
        <f>CONCATENATE("          ", "6283", " - ", "PLANT SERVICE")</f>
        <v xml:space="preserve">          6283 - PLANT SERVICE</v>
      </c>
      <c r="C69" s="11"/>
      <c r="D69" s="6"/>
      <c r="E69" s="2"/>
      <c r="F69" s="7">
        <f t="shared" si="48"/>
        <v>0</v>
      </c>
      <c r="G69" s="2"/>
      <c r="H69" s="6">
        <v>117</v>
      </c>
      <c r="I69" s="2"/>
      <c r="J69" s="7">
        <f t="shared" si="49"/>
        <v>0</v>
      </c>
      <c r="K69" s="2"/>
      <c r="L69" s="6">
        <f t="shared" si="50"/>
        <v>-117</v>
      </c>
      <c r="M69" s="2"/>
      <c r="N69" s="7">
        <f t="shared" si="51"/>
        <v>-1</v>
      </c>
      <c r="O69" s="11"/>
      <c r="P69" s="6">
        <v>363.33</v>
      </c>
      <c r="Q69" s="2"/>
      <c r="R69" s="7">
        <f t="shared" si="52"/>
        <v>0</v>
      </c>
      <c r="S69" s="2"/>
      <c r="T69" s="6">
        <v>707.5</v>
      </c>
      <c r="U69" s="2"/>
      <c r="V69" s="7">
        <f t="shared" si="53"/>
        <v>0</v>
      </c>
      <c r="W69" s="2"/>
      <c r="X69" s="6">
        <f t="shared" si="54"/>
        <v>-344.17</v>
      </c>
      <c r="Y69" s="2"/>
      <c r="Z69" s="7">
        <f t="shared" si="55"/>
        <v>-0.4864593639575972</v>
      </c>
    </row>
    <row r="70" spans="1:26" s="24" customFormat="1" hidden="1" outlineLevel="2" x14ac:dyDescent="0.25">
      <c r="A70" s="26"/>
      <c r="B70" s="11" t="str">
        <f>CONCATENATE("          ", "6285", " - ", "JANITORIAL SERVICES")</f>
        <v xml:space="preserve">          6285 - JANITORIAL SERVICES</v>
      </c>
      <c r="C70" s="11"/>
      <c r="D70" s="6">
        <v>3836.43</v>
      </c>
      <c r="E70" s="2"/>
      <c r="F70" s="7">
        <f t="shared" si="48"/>
        <v>0</v>
      </c>
      <c r="G70" s="2"/>
      <c r="H70" s="6"/>
      <c r="I70" s="2"/>
      <c r="J70" s="7">
        <f t="shared" si="49"/>
        <v>0</v>
      </c>
      <c r="K70" s="2"/>
      <c r="L70" s="6">
        <f t="shared" si="50"/>
        <v>3836.43</v>
      </c>
      <c r="M70" s="2"/>
      <c r="N70" s="7">
        <f t="shared" si="51"/>
        <v>0</v>
      </c>
      <c r="O70" s="11"/>
      <c r="P70" s="6">
        <v>18449.150000000001</v>
      </c>
      <c r="Q70" s="2"/>
      <c r="R70" s="7">
        <f t="shared" si="52"/>
        <v>0</v>
      </c>
      <c r="S70" s="2"/>
      <c r="T70" s="6">
        <v>14419.84</v>
      </c>
      <c r="U70" s="2"/>
      <c r="V70" s="7">
        <f t="shared" si="53"/>
        <v>0</v>
      </c>
      <c r="W70" s="2"/>
      <c r="X70" s="6">
        <f t="shared" si="54"/>
        <v>4029.3100000000013</v>
      </c>
      <c r="Y70" s="2"/>
      <c r="Z70" s="7">
        <f t="shared" si="55"/>
        <v>0.27942820447383615</v>
      </c>
    </row>
    <row r="71" spans="1:26" s="25" customFormat="1" outlineLevel="1" collapsed="1" x14ac:dyDescent="0.25">
      <c r="A71" s="27"/>
      <c r="B71" s="13" t="str">
        <f>CONCATENATE("     ","Subscriptions &amp; Dues                              ")</f>
        <v xml:space="preserve">     Subscriptions &amp; Dues                              </v>
      </c>
      <c r="C71" s="13"/>
      <c r="D71" s="1">
        <f>SUM(OSRRefD22_16x_0)</f>
        <v>-74.64</v>
      </c>
      <c r="E71" s="1"/>
      <c r="F71" s="5">
        <f t="shared" ref="F71:F78" si="56">IF(D$12=0,0,D71/D$12)</f>
        <v>0</v>
      </c>
      <c r="G71" s="1"/>
      <c r="H71" s="1">
        <f>SUM(OSRRefH22_16x_0)</f>
        <v>144.97999999999999</v>
      </c>
      <c r="I71" s="1"/>
      <c r="J71" s="5">
        <f t="shared" ref="J71:J78" si="57">IF(H$12=0,0,H71/H$12)</f>
        <v>0</v>
      </c>
      <c r="K71" s="1"/>
      <c r="L71" s="1">
        <f t="shared" ref="L71:L78" si="58">+D71-H71</f>
        <v>-219.62</v>
      </c>
      <c r="M71" s="1"/>
      <c r="N71" s="5">
        <f t="shared" ref="N71:N78" si="59">IF(H71=0,0,L71/H71)</f>
        <v>-1.5148296316733343</v>
      </c>
      <c r="O71" s="13"/>
      <c r="P71" s="1">
        <f>SUM(OSRRefP22_16x_0)</f>
        <v>405.3</v>
      </c>
      <c r="Q71" s="1"/>
      <c r="R71" s="5">
        <f t="shared" ref="R71:R78" si="60">IF(P$12=0,0,P71/P$12)</f>
        <v>0</v>
      </c>
      <c r="S71" s="1"/>
      <c r="T71" s="1">
        <f>SUM(OSRRefT22_16x_0)</f>
        <v>729.15</v>
      </c>
      <c r="U71" s="1"/>
      <c r="V71" s="5">
        <f t="shared" ref="V71:V78" si="61">IF(T$12=0,0,T71/T$12)</f>
        <v>0</v>
      </c>
      <c r="W71" s="1"/>
      <c r="X71" s="1">
        <f t="shared" ref="X71:X78" si="62">+P71-T71</f>
        <v>-323.84999999999997</v>
      </c>
      <c r="Y71" s="1"/>
      <c r="Z71" s="5">
        <f t="shared" ref="Z71:Z78" si="63">IF(T71=0,0,X71/T71)</f>
        <v>-0.44414729479530957</v>
      </c>
    </row>
    <row r="72" spans="1:26" s="24" customFormat="1" hidden="1" outlineLevel="2" x14ac:dyDescent="0.25">
      <c r="A72" s="26"/>
      <c r="B72" s="11" t="str">
        <f>CONCATENATE("          ", "6275", " - ", "SUBSCRIPTIONS")</f>
        <v xml:space="preserve">          6275 - SUBSCRIPTIONS</v>
      </c>
      <c r="C72" s="11"/>
      <c r="D72" s="6">
        <v>-74.64</v>
      </c>
      <c r="E72" s="2"/>
      <c r="F72" s="7">
        <f t="shared" si="56"/>
        <v>0</v>
      </c>
      <c r="G72" s="2"/>
      <c r="H72" s="6">
        <v>144.97999999999999</v>
      </c>
      <c r="I72" s="2"/>
      <c r="J72" s="7">
        <f t="shared" si="57"/>
        <v>0</v>
      </c>
      <c r="K72" s="2"/>
      <c r="L72" s="6">
        <f t="shared" si="58"/>
        <v>-219.62</v>
      </c>
      <c r="M72" s="2"/>
      <c r="N72" s="7">
        <f t="shared" si="59"/>
        <v>-1.5148296316733343</v>
      </c>
      <c r="O72" s="11"/>
      <c r="P72" s="6">
        <v>405.3</v>
      </c>
      <c r="Q72" s="2"/>
      <c r="R72" s="7">
        <f t="shared" si="60"/>
        <v>0</v>
      </c>
      <c r="S72" s="2"/>
      <c r="T72" s="6">
        <v>729.15</v>
      </c>
      <c r="U72" s="2"/>
      <c r="V72" s="7">
        <f t="shared" si="61"/>
        <v>0</v>
      </c>
      <c r="W72" s="2"/>
      <c r="X72" s="6">
        <f t="shared" si="62"/>
        <v>-323.84999999999997</v>
      </c>
      <c r="Y72" s="2"/>
      <c r="Z72" s="7">
        <f t="shared" si="63"/>
        <v>-0.44414729479530957</v>
      </c>
    </row>
    <row r="73" spans="1:26" s="25" customFormat="1" outlineLevel="1" collapsed="1" x14ac:dyDescent="0.25">
      <c r="A73" s="27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SUM(OSRRefD22_17x_0)</f>
        <v>1662.8100000000002</v>
      </c>
      <c r="E73" s="1"/>
      <c r="F73" s="5">
        <f t="shared" si="56"/>
        <v>0</v>
      </c>
      <c r="G73" s="1"/>
      <c r="H73" s="1">
        <f>SUM(OSRRefH22_17x_0)</f>
        <v>1883.3600000000001</v>
      </c>
      <c r="I73" s="1"/>
      <c r="J73" s="5">
        <f t="shared" si="57"/>
        <v>0</v>
      </c>
      <c r="K73" s="1"/>
      <c r="L73" s="1">
        <f t="shared" si="58"/>
        <v>-220.54999999999995</v>
      </c>
      <c r="M73" s="1"/>
      <c r="N73" s="5">
        <f t="shared" si="59"/>
        <v>-0.11710453657293345</v>
      </c>
      <c r="O73" s="13"/>
      <c r="P73" s="1">
        <f>SUM(OSRRefP22_17x_0)</f>
        <v>9463.8899999999976</v>
      </c>
      <c r="Q73" s="1"/>
      <c r="R73" s="5">
        <f t="shared" si="60"/>
        <v>0</v>
      </c>
      <c r="S73" s="1"/>
      <c r="T73" s="1">
        <f>SUM(OSRRefT22_17x_0)</f>
        <v>32999.94</v>
      </c>
      <c r="U73" s="1"/>
      <c r="V73" s="5">
        <f t="shared" si="61"/>
        <v>0</v>
      </c>
      <c r="W73" s="1"/>
      <c r="X73" s="1">
        <f t="shared" si="62"/>
        <v>-23536.050000000003</v>
      </c>
      <c r="Y73" s="1"/>
      <c r="Z73" s="5">
        <f t="shared" si="63"/>
        <v>-0.71321493311806028</v>
      </c>
    </row>
    <row r="74" spans="1:26" s="24" customFormat="1" hidden="1" outlineLevel="2" x14ac:dyDescent="0.25">
      <c r="A74" s="26"/>
      <c r="B74" s="11" t="str">
        <f>CONCATENATE("          ", "6234", " - ", "EXPENDABLE SUPPLIES &amp; EQUIPMEN")</f>
        <v xml:space="preserve">          6234 - EXPENDABLE SUPPLIES &amp; EQUIPMEN</v>
      </c>
      <c r="C74" s="11"/>
      <c r="D74" s="6">
        <v>70.34</v>
      </c>
      <c r="E74" s="2"/>
      <c r="F74" s="7">
        <f t="shared" si="56"/>
        <v>0</v>
      </c>
      <c r="G74" s="2"/>
      <c r="H74" s="6"/>
      <c r="I74" s="2"/>
      <c r="J74" s="7">
        <f t="shared" si="57"/>
        <v>0</v>
      </c>
      <c r="K74" s="2"/>
      <c r="L74" s="6">
        <f t="shared" si="58"/>
        <v>70.34</v>
      </c>
      <c r="M74" s="2"/>
      <c r="N74" s="7">
        <f t="shared" si="59"/>
        <v>0</v>
      </c>
      <c r="O74" s="11"/>
      <c r="P74" s="6">
        <v>785.12</v>
      </c>
      <c r="Q74" s="2"/>
      <c r="R74" s="7">
        <f t="shared" si="60"/>
        <v>0</v>
      </c>
      <c r="S74" s="2"/>
      <c r="T74" s="6">
        <v>1164.48</v>
      </c>
      <c r="U74" s="2"/>
      <c r="V74" s="7">
        <f t="shared" si="61"/>
        <v>0</v>
      </c>
      <c r="W74" s="2"/>
      <c r="X74" s="6">
        <f t="shared" si="62"/>
        <v>-379.36</v>
      </c>
      <c r="Y74" s="2"/>
      <c r="Z74" s="7">
        <f t="shared" si="63"/>
        <v>-0.32577631217367409</v>
      </c>
    </row>
    <row r="75" spans="1:26" s="24" customFormat="1" hidden="1" outlineLevel="2" x14ac:dyDescent="0.25">
      <c r="A75" s="26"/>
      <c r="B75" s="11" t="str">
        <f>CONCATENATE("          ", "6237", " - ", "JANITORIAL SUPPLIES")</f>
        <v xml:space="preserve">          6237 - JANITORIAL SUPPLIES</v>
      </c>
      <c r="C75" s="11"/>
      <c r="D75" s="6">
        <v>464.58</v>
      </c>
      <c r="E75" s="2"/>
      <c r="F75" s="7">
        <f t="shared" si="56"/>
        <v>0</v>
      </c>
      <c r="G75" s="2"/>
      <c r="H75" s="6">
        <v>696.71</v>
      </c>
      <c r="I75" s="2"/>
      <c r="J75" s="7">
        <f t="shared" si="57"/>
        <v>0</v>
      </c>
      <c r="K75" s="2"/>
      <c r="L75" s="6">
        <f t="shared" si="58"/>
        <v>-232.13000000000005</v>
      </c>
      <c r="M75" s="2"/>
      <c r="N75" s="7">
        <f t="shared" si="59"/>
        <v>-0.33318023280848563</v>
      </c>
      <c r="O75" s="11"/>
      <c r="P75" s="6">
        <v>2343.08</v>
      </c>
      <c r="Q75" s="2"/>
      <c r="R75" s="7">
        <f t="shared" si="60"/>
        <v>0</v>
      </c>
      <c r="S75" s="2"/>
      <c r="T75" s="6">
        <v>3043.03</v>
      </c>
      <c r="U75" s="2"/>
      <c r="V75" s="7">
        <f t="shared" si="61"/>
        <v>0</v>
      </c>
      <c r="W75" s="2"/>
      <c r="X75" s="6">
        <f t="shared" si="62"/>
        <v>-699.95000000000027</v>
      </c>
      <c r="Y75" s="2"/>
      <c r="Z75" s="7">
        <f t="shared" si="63"/>
        <v>-0.23001744971295066</v>
      </c>
    </row>
    <row r="76" spans="1:26" s="24" customFormat="1" hidden="1" outlineLevel="2" x14ac:dyDescent="0.25">
      <c r="A76" s="26"/>
      <c r="B76" s="11" t="str">
        <f>CONCATENATE("          ", "6241", " - ", "OFFICE EXPENSE")</f>
        <v xml:space="preserve">          6241 - OFFICE EXPENSE</v>
      </c>
      <c r="C76" s="11"/>
      <c r="D76" s="6">
        <v>1341.69</v>
      </c>
      <c r="E76" s="2"/>
      <c r="F76" s="7">
        <f t="shared" si="56"/>
        <v>0</v>
      </c>
      <c r="G76" s="2"/>
      <c r="H76" s="6">
        <v>1140.42</v>
      </c>
      <c r="I76" s="2"/>
      <c r="J76" s="7">
        <f t="shared" si="57"/>
        <v>0</v>
      </c>
      <c r="K76" s="2"/>
      <c r="L76" s="6">
        <f t="shared" si="58"/>
        <v>201.26999999999998</v>
      </c>
      <c r="M76" s="2"/>
      <c r="N76" s="7">
        <f t="shared" si="59"/>
        <v>0.17648760982795808</v>
      </c>
      <c r="O76" s="11"/>
      <c r="P76" s="6">
        <v>6433.15</v>
      </c>
      <c r="Q76" s="2"/>
      <c r="R76" s="7">
        <f t="shared" si="60"/>
        <v>0</v>
      </c>
      <c r="S76" s="2"/>
      <c r="T76" s="6">
        <v>6067.83</v>
      </c>
      <c r="U76" s="2"/>
      <c r="V76" s="7">
        <f t="shared" si="61"/>
        <v>0</v>
      </c>
      <c r="W76" s="2"/>
      <c r="X76" s="6">
        <f t="shared" si="62"/>
        <v>365.31999999999971</v>
      </c>
      <c r="Y76" s="2"/>
      <c r="Z76" s="7">
        <f t="shared" si="63"/>
        <v>6.0206037413704686E-2</v>
      </c>
    </row>
    <row r="77" spans="1:26" s="24" customFormat="1" hidden="1" outlineLevel="2" x14ac:dyDescent="0.25">
      <c r="A77" s="26"/>
      <c r="B77" s="11" t="str">
        <f>CONCATENATE("          ", "6245", " - ", "PRINTING")</f>
        <v xml:space="preserve">          6245 - PRINTING</v>
      </c>
      <c r="C77" s="11"/>
      <c r="D77" s="6"/>
      <c r="E77" s="2"/>
      <c r="F77" s="7">
        <f t="shared" si="56"/>
        <v>0</v>
      </c>
      <c r="G77" s="2"/>
      <c r="H77" s="6"/>
      <c r="I77" s="2"/>
      <c r="J77" s="7">
        <f t="shared" si="57"/>
        <v>0</v>
      </c>
      <c r="K77" s="2"/>
      <c r="L77" s="6">
        <f t="shared" si="58"/>
        <v>0</v>
      </c>
      <c r="M77" s="2"/>
      <c r="N77" s="7">
        <f t="shared" si="59"/>
        <v>0</v>
      </c>
      <c r="O77" s="11"/>
      <c r="P77" s="6">
        <v>19.73</v>
      </c>
      <c r="Q77" s="2"/>
      <c r="R77" s="7">
        <f t="shared" si="60"/>
        <v>0</v>
      </c>
      <c r="S77" s="2"/>
      <c r="T77" s="6">
        <v>565.12</v>
      </c>
      <c r="U77" s="2"/>
      <c r="V77" s="7">
        <f t="shared" si="61"/>
        <v>0</v>
      </c>
      <c r="W77" s="2"/>
      <c r="X77" s="6">
        <f t="shared" si="62"/>
        <v>-545.39</v>
      </c>
      <c r="Y77" s="2"/>
      <c r="Z77" s="7">
        <f t="shared" si="63"/>
        <v>-0.96508706115515286</v>
      </c>
    </row>
    <row r="78" spans="1:26" s="24" customFormat="1" hidden="1" outlineLevel="2" x14ac:dyDescent="0.25">
      <c r="A78" s="26"/>
      <c r="B78" s="11" t="str">
        <f>CONCATENATE("          ", "6247", " - ", "STORE SUPPLIES")</f>
        <v xml:space="preserve">          6247 - STORE SUPPLIES</v>
      </c>
      <c r="C78" s="11"/>
      <c r="D78" s="6">
        <v>-213.8</v>
      </c>
      <c r="E78" s="2"/>
      <c r="F78" s="7">
        <f t="shared" si="56"/>
        <v>0</v>
      </c>
      <c r="G78" s="2"/>
      <c r="H78" s="6">
        <v>46.23</v>
      </c>
      <c r="I78" s="2"/>
      <c r="J78" s="7">
        <f t="shared" si="57"/>
        <v>0</v>
      </c>
      <c r="K78" s="2"/>
      <c r="L78" s="6">
        <f t="shared" si="58"/>
        <v>-260.03000000000003</v>
      </c>
      <c r="M78" s="2"/>
      <c r="N78" s="7">
        <f t="shared" si="59"/>
        <v>-5.6247025740860925</v>
      </c>
      <c r="O78" s="11"/>
      <c r="P78" s="6">
        <v>-117.19</v>
      </c>
      <c r="Q78" s="2"/>
      <c r="R78" s="7">
        <f t="shared" si="60"/>
        <v>0</v>
      </c>
      <c r="S78" s="2"/>
      <c r="T78" s="6">
        <v>22159.48</v>
      </c>
      <c r="U78" s="2"/>
      <c r="V78" s="7">
        <f t="shared" si="61"/>
        <v>0</v>
      </c>
      <c r="W78" s="2"/>
      <c r="X78" s="6">
        <f t="shared" si="62"/>
        <v>-22276.67</v>
      </c>
      <c r="Y78" s="2"/>
      <c r="Z78" s="7">
        <f t="shared" si="63"/>
        <v>-1.0052884814986633</v>
      </c>
    </row>
    <row r="79" spans="1:26" s="25" customFormat="1" outlineLevel="1" collapsed="1" x14ac:dyDescent="0.25">
      <c r="A79" s="27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SUM(OSRRefD22_18x_0)</f>
        <v>502.91</v>
      </c>
      <c r="E79" s="1"/>
      <c r="F79" s="5">
        <f t="shared" ref="F79:F86" si="64">IF(D$12=0,0,D79/D$12)</f>
        <v>0</v>
      </c>
      <c r="G79" s="1"/>
      <c r="H79" s="1">
        <f>SUM(OSRRefH22_18x_0)</f>
        <v>415.21</v>
      </c>
      <c r="I79" s="1"/>
      <c r="J79" s="5">
        <f t="shared" ref="J79:J86" si="65">IF(H$12=0,0,H79/H$12)</f>
        <v>0</v>
      </c>
      <c r="K79" s="1"/>
      <c r="L79" s="1">
        <f t="shared" ref="L79:L86" si="66">+D79-H79</f>
        <v>87.700000000000045</v>
      </c>
      <c r="M79" s="1"/>
      <c r="N79" s="5">
        <f t="shared" ref="N79:N86" si="67">IF(H79=0,0,L79/H79)</f>
        <v>0.21121841959490389</v>
      </c>
      <c r="O79" s="13"/>
      <c r="P79" s="1">
        <f>SUM(OSRRefP22_18x_0)</f>
        <v>2635.7</v>
      </c>
      <c r="Q79" s="1"/>
      <c r="R79" s="5">
        <f t="shared" ref="R79:R86" si="68">IF(P$12=0,0,P79/P$12)</f>
        <v>0</v>
      </c>
      <c r="S79" s="1"/>
      <c r="T79" s="1">
        <f>SUM(OSRRefT22_18x_0)</f>
        <v>2365.3000000000002</v>
      </c>
      <c r="U79" s="1"/>
      <c r="V79" s="5">
        <f t="shared" ref="V79:V86" si="69">IF(T$12=0,0,T79/T$12)</f>
        <v>0</v>
      </c>
      <c r="W79" s="1"/>
      <c r="X79" s="1">
        <f t="shared" ref="X79:X86" si="70">+P79-T79</f>
        <v>270.39999999999964</v>
      </c>
      <c r="Y79" s="1"/>
      <c r="Z79" s="5">
        <f t="shared" ref="Z79:Z86" si="71">IF(T79=0,0,X79/T79)</f>
        <v>0.11431953663383064</v>
      </c>
    </row>
    <row r="80" spans="1:26" s="24" customFormat="1" hidden="1" outlineLevel="2" x14ac:dyDescent="0.25">
      <c r="A80" s="26"/>
      <c r="B80" s="11" t="str">
        <f>CONCATENATE("          ", "6309", " - ", "TELEPHONE")</f>
        <v xml:space="preserve">          6309 - TELEPHONE</v>
      </c>
      <c r="C80" s="11"/>
      <c r="D80" s="6">
        <v>502.91</v>
      </c>
      <c r="E80" s="2"/>
      <c r="F80" s="7">
        <f t="shared" si="64"/>
        <v>0</v>
      </c>
      <c r="G80" s="2"/>
      <c r="H80" s="6">
        <v>415.21</v>
      </c>
      <c r="I80" s="2"/>
      <c r="J80" s="7">
        <f t="shared" si="65"/>
        <v>0</v>
      </c>
      <c r="K80" s="2"/>
      <c r="L80" s="6">
        <f t="shared" si="66"/>
        <v>87.700000000000045</v>
      </c>
      <c r="M80" s="2"/>
      <c r="N80" s="7">
        <f t="shared" si="67"/>
        <v>0.21121841959490389</v>
      </c>
      <c r="O80" s="11"/>
      <c r="P80" s="6">
        <v>2635.7</v>
      </c>
      <c r="Q80" s="2"/>
      <c r="R80" s="7">
        <f t="shared" si="68"/>
        <v>0</v>
      </c>
      <c r="S80" s="2"/>
      <c r="T80" s="6">
        <v>2365.3000000000002</v>
      </c>
      <c r="U80" s="2"/>
      <c r="V80" s="7">
        <f t="shared" si="69"/>
        <v>0</v>
      </c>
      <c r="W80" s="2"/>
      <c r="X80" s="6">
        <f t="shared" si="70"/>
        <v>270.39999999999964</v>
      </c>
      <c r="Y80" s="2"/>
      <c r="Z80" s="7">
        <f t="shared" si="71"/>
        <v>0.11431953663383064</v>
      </c>
    </row>
    <row r="81" spans="1:26" s="25" customFormat="1" outlineLevel="1" collapsed="1" x14ac:dyDescent="0.25">
      <c r="A81" s="27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SUM(OSRRefD22_19x_0)</f>
        <v>1909.92</v>
      </c>
      <c r="E81" s="1"/>
      <c r="F81" s="5">
        <f t="shared" si="64"/>
        <v>0</v>
      </c>
      <c r="G81" s="1"/>
      <c r="H81" s="1">
        <f>SUM(OSRRefH22_19x_0)</f>
        <v>1039.81</v>
      </c>
      <c r="I81" s="1"/>
      <c r="J81" s="5">
        <f t="shared" si="65"/>
        <v>0</v>
      </c>
      <c r="K81" s="1"/>
      <c r="L81" s="1">
        <f t="shared" si="66"/>
        <v>870.11000000000013</v>
      </c>
      <c r="M81" s="1"/>
      <c r="N81" s="5">
        <f t="shared" si="67"/>
        <v>0.83679710716380895</v>
      </c>
      <c r="O81" s="13"/>
      <c r="P81" s="1">
        <f>SUM(OSRRefP22_19x_0)</f>
        <v>5379.44</v>
      </c>
      <c r="Q81" s="1"/>
      <c r="R81" s="5">
        <f t="shared" si="68"/>
        <v>0</v>
      </c>
      <c r="S81" s="1"/>
      <c r="T81" s="1">
        <f>SUM(OSRRefT22_19x_0)</f>
        <v>3083.97</v>
      </c>
      <c r="U81" s="1"/>
      <c r="V81" s="5">
        <f t="shared" si="69"/>
        <v>0</v>
      </c>
      <c r="W81" s="1"/>
      <c r="X81" s="1">
        <f t="shared" si="70"/>
        <v>2295.4699999999998</v>
      </c>
      <c r="Y81" s="1"/>
      <c r="Z81" s="5">
        <f t="shared" si="71"/>
        <v>0.74432306410243942</v>
      </c>
    </row>
    <row r="82" spans="1:26" s="24" customFormat="1" hidden="1" outlineLevel="2" x14ac:dyDescent="0.25">
      <c r="A82" s="26"/>
      <c r="B82" s="11" t="str">
        <f>CONCATENATE("          ", "6376", " - ", "TRAINING")</f>
        <v xml:space="preserve">          6376 - TRAINING</v>
      </c>
      <c r="C82" s="11"/>
      <c r="D82" s="6">
        <v>1909.92</v>
      </c>
      <c r="E82" s="2"/>
      <c r="F82" s="7">
        <f t="shared" si="64"/>
        <v>0</v>
      </c>
      <c r="G82" s="2"/>
      <c r="H82" s="6">
        <v>1039.81</v>
      </c>
      <c r="I82" s="2"/>
      <c r="J82" s="7">
        <f t="shared" si="65"/>
        <v>0</v>
      </c>
      <c r="K82" s="2"/>
      <c r="L82" s="6">
        <f t="shared" si="66"/>
        <v>870.11000000000013</v>
      </c>
      <c r="M82" s="2"/>
      <c r="N82" s="7">
        <f t="shared" si="67"/>
        <v>0.83679710716380895</v>
      </c>
      <c r="O82" s="11"/>
      <c r="P82" s="6">
        <v>5379.44</v>
      </c>
      <c r="Q82" s="2"/>
      <c r="R82" s="7">
        <f t="shared" si="68"/>
        <v>0</v>
      </c>
      <c r="S82" s="2"/>
      <c r="T82" s="6">
        <v>3083.97</v>
      </c>
      <c r="U82" s="2"/>
      <c r="V82" s="7">
        <f t="shared" si="69"/>
        <v>0</v>
      </c>
      <c r="W82" s="2"/>
      <c r="X82" s="6">
        <f t="shared" si="70"/>
        <v>2295.4699999999998</v>
      </c>
      <c r="Y82" s="2"/>
      <c r="Z82" s="7">
        <f t="shared" si="71"/>
        <v>0.74432306410243942</v>
      </c>
    </row>
    <row r="83" spans="1:26" s="25" customFormat="1" outlineLevel="1" collapsed="1" x14ac:dyDescent="0.25">
      <c r="A83" s="27"/>
      <c r="B83" s="13" t="str">
        <f>CONCATENATE("     ","Travel                                            ")</f>
        <v xml:space="preserve">     Travel                                            </v>
      </c>
      <c r="C83" s="13"/>
      <c r="D83" s="1">
        <f>SUM(OSRRefD22_20x_0)</f>
        <v>112.98</v>
      </c>
      <c r="E83" s="1"/>
      <c r="F83" s="5">
        <f t="shared" si="64"/>
        <v>0</v>
      </c>
      <c r="G83" s="1"/>
      <c r="H83" s="1">
        <f>SUM(OSRRefH22_20x_0)</f>
        <v>156.55000000000001</v>
      </c>
      <c r="I83" s="1"/>
      <c r="J83" s="5">
        <f t="shared" si="65"/>
        <v>0</v>
      </c>
      <c r="K83" s="1"/>
      <c r="L83" s="1">
        <f t="shared" si="66"/>
        <v>-43.570000000000007</v>
      </c>
      <c r="M83" s="1"/>
      <c r="N83" s="5">
        <f t="shared" si="67"/>
        <v>-0.27831363781539448</v>
      </c>
      <c r="O83" s="13"/>
      <c r="P83" s="1">
        <f>SUM(OSRRefP22_20x_0)</f>
        <v>732.65</v>
      </c>
      <c r="Q83" s="1"/>
      <c r="R83" s="5">
        <f t="shared" si="68"/>
        <v>0</v>
      </c>
      <c r="S83" s="1"/>
      <c r="T83" s="1">
        <f>SUM(OSRRefT22_20x_0)</f>
        <v>721.95</v>
      </c>
      <c r="U83" s="1"/>
      <c r="V83" s="5">
        <f t="shared" si="69"/>
        <v>0</v>
      </c>
      <c r="W83" s="1"/>
      <c r="X83" s="1">
        <f t="shared" si="70"/>
        <v>10.699999999999932</v>
      </c>
      <c r="Y83" s="1"/>
      <c r="Z83" s="5">
        <f t="shared" si="71"/>
        <v>1.4820970981369806E-2</v>
      </c>
    </row>
    <row r="84" spans="1:26" s="24" customFormat="1" hidden="1" outlineLevel="2" x14ac:dyDescent="0.25">
      <c r="A84" s="26"/>
      <c r="B84" s="11" t="str">
        <f>CONCATENATE("          ", "6292", " - ", "TRAVEL/CONFERENCE")</f>
        <v xml:space="preserve">          6292 - TRAVEL/CONFERENCE</v>
      </c>
      <c r="C84" s="11"/>
      <c r="D84" s="6">
        <v>47.96</v>
      </c>
      <c r="E84" s="2"/>
      <c r="F84" s="7">
        <f t="shared" si="64"/>
        <v>0</v>
      </c>
      <c r="G84" s="2"/>
      <c r="H84" s="6">
        <v>110.31</v>
      </c>
      <c r="I84" s="2"/>
      <c r="J84" s="7">
        <f t="shared" si="65"/>
        <v>0</v>
      </c>
      <c r="K84" s="2"/>
      <c r="L84" s="6">
        <f t="shared" si="66"/>
        <v>-62.35</v>
      </c>
      <c r="M84" s="2"/>
      <c r="N84" s="7">
        <f t="shared" si="67"/>
        <v>-0.56522527422717794</v>
      </c>
      <c r="O84" s="11"/>
      <c r="P84" s="6">
        <v>497.64</v>
      </c>
      <c r="Q84" s="2"/>
      <c r="R84" s="7">
        <f t="shared" si="68"/>
        <v>0</v>
      </c>
      <c r="S84" s="2"/>
      <c r="T84" s="6">
        <v>560.47</v>
      </c>
      <c r="U84" s="2"/>
      <c r="V84" s="7">
        <f t="shared" si="69"/>
        <v>0</v>
      </c>
      <c r="W84" s="2"/>
      <c r="X84" s="6">
        <f t="shared" si="70"/>
        <v>-62.830000000000041</v>
      </c>
      <c r="Y84" s="2"/>
      <c r="Z84" s="7">
        <f t="shared" si="71"/>
        <v>-0.11210234267668213</v>
      </c>
    </row>
    <row r="85" spans="1:26" s="24" customFormat="1" hidden="1" outlineLevel="2" x14ac:dyDescent="0.25">
      <c r="A85" s="26"/>
      <c r="B85" s="11" t="str">
        <f>CONCATENATE("          ", "6294", " - ", "TRAVEL OPERATIONAL")</f>
        <v xml:space="preserve">          6294 - TRAVEL OPERATIONAL</v>
      </c>
      <c r="C85" s="11"/>
      <c r="D85" s="6">
        <v>15.67</v>
      </c>
      <c r="E85" s="2"/>
      <c r="F85" s="7">
        <f t="shared" si="64"/>
        <v>0</v>
      </c>
      <c r="G85" s="2"/>
      <c r="H85" s="6"/>
      <c r="I85" s="2"/>
      <c r="J85" s="7">
        <f t="shared" si="65"/>
        <v>0</v>
      </c>
      <c r="K85" s="2"/>
      <c r="L85" s="6">
        <f t="shared" si="66"/>
        <v>15.67</v>
      </c>
      <c r="M85" s="2"/>
      <c r="N85" s="7">
        <f t="shared" si="67"/>
        <v>0</v>
      </c>
      <c r="O85" s="11"/>
      <c r="P85" s="6">
        <v>15.67</v>
      </c>
      <c r="Q85" s="2"/>
      <c r="R85" s="7">
        <f t="shared" si="68"/>
        <v>0</v>
      </c>
      <c r="S85" s="2"/>
      <c r="T85" s="6"/>
      <c r="U85" s="2"/>
      <c r="V85" s="7">
        <f t="shared" si="69"/>
        <v>0</v>
      </c>
      <c r="W85" s="2"/>
      <c r="X85" s="6">
        <f t="shared" si="70"/>
        <v>15.67</v>
      </c>
      <c r="Y85" s="2"/>
      <c r="Z85" s="7">
        <f t="shared" si="71"/>
        <v>0</v>
      </c>
    </row>
    <row r="86" spans="1:26" s="24" customFormat="1" hidden="1" outlineLevel="2" x14ac:dyDescent="0.25">
      <c r="A86" s="26"/>
      <c r="B86" s="11" t="str">
        <f>CONCATENATE("          ", "6298", " - ", "VEHICLE MILEAGE")</f>
        <v xml:space="preserve">          6298 - VEHICLE MILEAGE</v>
      </c>
      <c r="C86" s="11"/>
      <c r="D86" s="6">
        <v>49.35</v>
      </c>
      <c r="E86" s="2"/>
      <c r="F86" s="7">
        <f t="shared" si="64"/>
        <v>0</v>
      </c>
      <c r="G86" s="2"/>
      <c r="H86" s="6">
        <v>46.24</v>
      </c>
      <c r="I86" s="2"/>
      <c r="J86" s="7">
        <f t="shared" si="65"/>
        <v>0</v>
      </c>
      <c r="K86" s="2"/>
      <c r="L86" s="6">
        <f t="shared" si="66"/>
        <v>3.1099999999999994</v>
      </c>
      <c r="M86" s="2"/>
      <c r="N86" s="7">
        <f t="shared" si="67"/>
        <v>6.7257785467128017E-2</v>
      </c>
      <c r="O86" s="11"/>
      <c r="P86" s="6">
        <v>219.34</v>
      </c>
      <c r="Q86" s="2"/>
      <c r="R86" s="7">
        <f t="shared" si="68"/>
        <v>0</v>
      </c>
      <c r="S86" s="2"/>
      <c r="T86" s="6">
        <v>161.47999999999999</v>
      </c>
      <c r="U86" s="2"/>
      <c r="V86" s="7">
        <f t="shared" si="69"/>
        <v>0</v>
      </c>
      <c r="W86" s="2"/>
      <c r="X86" s="6">
        <f t="shared" si="70"/>
        <v>57.860000000000014</v>
      </c>
      <c r="Y86" s="2"/>
      <c r="Z86" s="7">
        <f t="shared" si="71"/>
        <v>0.3583106267029974</v>
      </c>
    </row>
    <row r="87" spans="1:26" s="25" customFormat="1" outlineLevel="1" collapsed="1" x14ac:dyDescent="0.25">
      <c r="A87" s="27"/>
      <c r="B87" s="13" t="str">
        <f>CONCATENATE("     ","Utilities                                         ")</f>
        <v xml:space="preserve">     Utilities                                         </v>
      </c>
      <c r="C87" s="13"/>
      <c r="D87" s="1">
        <f>SUM(OSRRefD22_21x_0)</f>
        <v>5593</v>
      </c>
      <c r="E87" s="1"/>
      <c r="F87" s="5">
        <f t="shared" ref="F87:F88" si="72">IF(D$12=0,0,D87/D$12)</f>
        <v>0</v>
      </c>
      <c r="G87" s="1"/>
      <c r="H87" s="1">
        <f>SUM(OSRRefH22_21x_0)</f>
        <v>5593</v>
      </c>
      <c r="I87" s="1"/>
      <c r="J87" s="5">
        <f t="shared" ref="J87:J88" si="73">IF(H$12=0,0,H87/H$12)</f>
        <v>0</v>
      </c>
      <c r="K87" s="1"/>
      <c r="L87" s="1">
        <f t="shared" ref="L87:L88" si="74">+D87-H87</f>
        <v>0</v>
      </c>
      <c r="M87" s="1"/>
      <c r="N87" s="5">
        <f t="shared" ref="N87:N88" si="75">IF(H87=0,0,L87/H87)</f>
        <v>0</v>
      </c>
      <c r="O87" s="13"/>
      <c r="P87" s="1">
        <f>SUM(OSRRefP22_21x_0)</f>
        <v>22372</v>
      </c>
      <c r="Q87" s="1"/>
      <c r="R87" s="5">
        <f t="shared" ref="R87:R88" si="76">IF(P$12=0,0,P87/P$12)</f>
        <v>0</v>
      </c>
      <c r="S87" s="1"/>
      <c r="T87" s="1">
        <f>SUM(OSRRefT22_21x_0)</f>
        <v>20605</v>
      </c>
      <c r="U87" s="1"/>
      <c r="V87" s="5">
        <f t="shared" ref="V87:V88" si="77">IF(T$12=0,0,T87/T$12)</f>
        <v>0</v>
      </c>
      <c r="W87" s="1"/>
      <c r="X87" s="1">
        <f t="shared" ref="X87:X88" si="78">+P87-T87</f>
        <v>1767</v>
      </c>
      <c r="Y87" s="1"/>
      <c r="Z87" s="5">
        <f t="shared" ref="Z87:Z88" si="79">IF(T87=0,0,X87/T87)</f>
        <v>8.5755884494054843E-2</v>
      </c>
    </row>
    <row r="88" spans="1:26" s="24" customFormat="1" hidden="1" outlineLevel="2" x14ac:dyDescent="0.25">
      <c r="A88" s="26"/>
      <c r="B88" s="11" t="str">
        <f>CONCATENATE("          ", "6274", " - ", "UTILITIES")</f>
        <v xml:space="preserve">          6274 - UTILITIES</v>
      </c>
      <c r="C88" s="11"/>
      <c r="D88" s="6">
        <v>5593</v>
      </c>
      <c r="E88" s="2"/>
      <c r="F88" s="7">
        <f t="shared" si="72"/>
        <v>0</v>
      </c>
      <c r="G88" s="2"/>
      <c r="H88" s="6">
        <v>5593</v>
      </c>
      <c r="I88" s="2"/>
      <c r="J88" s="7">
        <f t="shared" si="73"/>
        <v>0</v>
      </c>
      <c r="K88" s="2"/>
      <c r="L88" s="6">
        <f t="shared" si="74"/>
        <v>0</v>
      </c>
      <c r="M88" s="2"/>
      <c r="N88" s="7">
        <f t="shared" si="75"/>
        <v>0</v>
      </c>
      <c r="O88" s="11"/>
      <c r="P88" s="6">
        <v>22372</v>
      </c>
      <c r="Q88" s="2"/>
      <c r="R88" s="7">
        <f t="shared" si="76"/>
        <v>0</v>
      </c>
      <c r="S88" s="2"/>
      <c r="T88" s="6">
        <v>20605</v>
      </c>
      <c r="U88" s="2"/>
      <c r="V88" s="7">
        <f t="shared" si="77"/>
        <v>0</v>
      </c>
      <c r="W88" s="2"/>
      <c r="X88" s="6">
        <f t="shared" si="78"/>
        <v>1767</v>
      </c>
      <c r="Y88" s="2"/>
      <c r="Z88" s="7">
        <f t="shared" si="79"/>
        <v>8.5755884494054843E-2</v>
      </c>
    </row>
    <row r="89" spans="1:26" s="53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collapsed="1" x14ac:dyDescent="0.25">
      <c r="A90" s="10"/>
      <c r="B90" s="28" t="s">
        <v>0</v>
      </c>
      <c r="C90" s="10"/>
      <c r="D90" s="4">
        <f>SUM(OSRRefD25x_0)</f>
        <v>6198.91</v>
      </c>
      <c r="E90" s="4"/>
      <c r="F90" s="12">
        <f t="shared" ref="F90:F93" si="80">IF(D$12=0,0,D90/D$12)</f>
        <v>0</v>
      </c>
      <c r="G90" s="4"/>
      <c r="H90" s="4">
        <f>SUM(OSRRefH25x_0)</f>
        <v>33284.339999999997</v>
      </c>
      <c r="I90" s="4"/>
      <c r="J90" s="12">
        <f t="shared" ref="J90:J93" si="81">IF(H$12=0,0,H90/H$12)</f>
        <v>0</v>
      </c>
      <c r="K90" s="4"/>
      <c r="L90" s="4">
        <f t="shared" ref="L90:L93" si="82">+D90-H90</f>
        <v>-27085.429999999997</v>
      </c>
      <c r="M90" s="4"/>
      <c r="N90" s="12">
        <f t="shared" ref="N90:N93" si="83">IF(H90=0,0,L90/H90)</f>
        <v>-0.8137589629237052</v>
      </c>
      <c r="O90" s="10"/>
      <c r="P90" s="4">
        <f>SUM(OSRRefP25x_0)</f>
        <v>91050.140000000014</v>
      </c>
      <c r="Q90" s="4"/>
      <c r="R90" s="12">
        <f t="shared" ref="R90:R93" si="84">IF(P$12=0,0,P90/P$12)</f>
        <v>0</v>
      </c>
      <c r="S90" s="4"/>
      <c r="T90" s="4">
        <f>SUM(OSRRefT25x_0)</f>
        <v>213130.36</v>
      </c>
      <c r="U90" s="4"/>
      <c r="V90" s="12">
        <f t="shared" ref="V90:V93" si="85">IF(T$12=0,0,T90/T$12)</f>
        <v>0</v>
      </c>
      <c r="W90" s="4"/>
      <c r="X90" s="4">
        <f t="shared" ref="X90:X93" si="86">+P90-T90</f>
        <v>-122080.21999999997</v>
      </c>
      <c r="Y90" s="4"/>
      <c r="Z90" s="12">
        <f t="shared" ref="Z90:Z93" si="87">IF(T90=0,0,X90/T90)</f>
        <v>-0.57279601085457732</v>
      </c>
    </row>
    <row r="91" spans="1:26" s="24" customFormat="1" hidden="1" outlineLevel="1" x14ac:dyDescent="0.25">
      <c r="A91" s="44"/>
      <c r="B91" s="11" t="str">
        <f>CONCATENATE("          ", "9150", " - ", "MISC. INCOME")</f>
        <v xml:space="preserve">          9150 - MISC. INCOME</v>
      </c>
      <c r="C91" s="11"/>
      <c r="D91" s="2">
        <f>--5748.91</f>
        <v>5748.91</v>
      </c>
      <c r="E91" s="2"/>
      <c r="F91" s="19">
        <f t="shared" si="80"/>
        <v>0</v>
      </c>
      <c r="G91" s="2"/>
      <c r="H91" s="2">
        <f>--33284.34</f>
        <v>33284.339999999997</v>
      </c>
      <c r="I91" s="2"/>
      <c r="J91" s="19">
        <f t="shared" si="81"/>
        <v>0</v>
      </c>
      <c r="K91" s="2"/>
      <c r="L91" s="2">
        <f t="shared" si="82"/>
        <v>-27535.429999999997</v>
      </c>
      <c r="M91" s="2"/>
      <c r="N91" s="19">
        <f t="shared" si="83"/>
        <v>-0.82727883443084649</v>
      </c>
      <c r="O91" s="11"/>
      <c r="P91" s="2">
        <f>--91052.07</f>
        <v>91052.07</v>
      </c>
      <c r="Q91" s="2"/>
      <c r="R91" s="19">
        <f t="shared" si="84"/>
        <v>0</v>
      </c>
      <c r="S91" s="2"/>
      <c r="T91" s="2">
        <f>--212480.59</f>
        <v>212480.59</v>
      </c>
      <c r="U91" s="2"/>
      <c r="V91" s="19">
        <f t="shared" si="85"/>
        <v>0</v>
      </c>
      <c r="W91" s="2"/>
      <c r="X91" s="2">
        <f t="shared" si="86"/>
        <v>-121428.51999999999</v>
      </c>
      <c r="Y91" s="2"/>
      <c r="Z91" s="19">
        <f t="shared" si="87"/>
        <v>-0.57148052911562408</v>
      </c>
    </row>
    <row r="92" spans="1:26" s="24" customFormat="1" hidden="1" outlineLevel="1" x14ac:dyDescent="0.25">
      <c r="A92" s="44"/>
      <c r="B92" s="11" t="str">
        <f>CONCATENATE("          ", "9151", " - ", "MISC. INCOME")</f>
        <v xml:space="preserve">          9151 - MISC. INCOME</v>
      </c>
      <c r="C92" s="11"/>
      <c r="D92" s="2">
        <f>0</f>
        <v>0</v>
      </c>
      <c r="E92" s="2"/>
      <c r="F92" s="19">
        <f t="shared" si="80"/>
        <v>0</v>
      </c>
      <c r="G92" s="2"/>
      <c r="H92" s="2">
        <f t="shared" ref="H92:H93" si="88">0</f>
        <v>0</v>
      </c>
      <c r="I92" s="2"/>
      <c r="J92" s="19">
        <f t="shared" si="81"/>
        <v>0</v>
      </c>
      <c r="K92" s="2"/>
      <c r="L92" s="2">
        <f t="shared" si="82"/>
        <v>0</v>
      </c>
      <c r="M92" s="2"/>
      <c r="N92" s="19">
        <f t="shared" si="83"/>
        <v>0</v>
      </c>
      <c r="O92" s="11"/>
      <c r="P92" s="2">
        <f>-451.93</f>
        <v>-451.93</v>
      </c>
      <c r="Q92" s="2"/>
      <c r="R92" s="19">
        <f t="shared" si="84"/>
        <v>0</v>
      </c>
      <c r="S92" s="2"/>
      <c r="T92" s="2">
        <f>--649.77</f>
        <v>649.77</v>
      </c>
      <c r="U92" s="2"/>
      <c r="V92" s="19">
        <f t="shared" si="85"/>
        <v>0</v>
      </c>
      <c r="W92" s="2"/>
      <c r="X92" s="2">
        <f t="shared" si="86"/>
        <v>-1101.7</v>
      </c>
      <c r="Y92" s="2"/>
      <c r="Z92" s="19">
        <f t="shared" si="87"/>
        <v>-1.695523031226434</v>
      </c>
    </row>
    <row r="93" spans="1:26" s="24" customFormat="1" hidden="1" outlineLevel="1" x14ac:dyDescent="0.25">
      <c r="A93" s="44"/>
      <c r="B93" s="11" t="str">
        <f>CONCATENATE("          ", "9153", " - ", "MISC. INCOME")</f>
        <v xml:space="preserve">          9153 - MISC. INCOME</v>
      </c>
      <c r="C93" s="11"/>
      <c r="D93" s="2">
        <f>--450</f>
        <v>450</v>
      </c>
      <c r="E93" s="2"/>
      <c r="F93" s="19">
        <f t="shared" si="80"/>
        <v>0</v>
      </c>
      <c r="G93" s="2"/>
      <c r="H93" s="2">
        <f t="shared" si="88"/>
        <v>0</v>
      </c>
      <c r="I93" s="2"/>
      <c r="J93" s="19">
        <f t="shared" si="81"/>
        <v>0</v>
      </c>
      <c r="K93" s="2"/>
      <c r="L93" s="2">
        <f t="shared" si="82"/>
        <v>450</v>
      </c>
      <c r="M93" s="2"/>
      <c r="N93" s="19">
        <f t="shared" si="83"/>
        <v>0</v>
      </c>
      <c r="O93" s="11"/>
      <c r="P93" s="2">
        <f>--450</f>
        <v>450</v>
      </c>
      <c r="Q93" s="2"/>
      <c r="R93" s="19">
        <f t="shared" si="84"/>
        <v>0</v>
      </c>
      <c r="S93" s="2"/>
      <c r="T93" s="2">
        <f>0</f>
        <v>0</v>
      </c>
      <c r="U93" s="2"/>
      <c r="V93" s="19">
        <f t="shared" si="85"/>
        <v>0</v>
      </c>
      <c r="W93" s="2"/>
      <c r="X93" s="2">
        <f t="shared" si="86"/>
        <v>450</v>
      </c>
      <c r="Y93" s="2"/>
      <c r="Z93" s="19">
        <f t="shared" si="87"/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9" t="s">
        <v>3</v>
      </c>
      <c r="C95" s="29"/>
      <c r="D95" s="21">
        <f>+D16-D18+D90</f>
        <v>-112282.32000000002</v>
      </c>
      <c r="E95" s="14"/>
      <c r="F95" s="20">
        <f>IF(D$12=0,0,D95/D$12)</f>
        <v>0</v>
      </c>
      <c r="G95" s="14"/>
      <c r="H95" s="21">
        <f>+H16-H18+H90</f>
        <v>-84257.150000000023</v>
      </c>
      <c r="I95" s="14"/>
      <c r="J95" s="20">
        <f>IF(H$12=0,0,H95/H$12)</f>
        <v>0</v>
      </c>
      <c r="K95" s="15"/>
      <c r="L95" s="21">
        <f>+D95-H95</f>
        <v>-28025.17</v>
      </c>
      <c r="M95" s="15"/>
      <c r="N95" s="20">
        <f>IF(H95=0,0,L95/H95)</f>
        <v>0.33261473952062215</v>
      </c>
      <c r="O95" s="28"/>
      <c r="P95" s="21">
        <f>+P16-P18+P90</f>
        <v>-587438.26000000013</v>
      </c>
      <c r="Q95" s="14"/>
      <c r="R95" s="20">
        <f>IF(P$12=0,0,P95/P$12)</f>
        <v>0</v>
      </c>
      <c r="S95" s="14"/>
      <c r="T95" s="21">
        <f>+T16-T18+T90</f>
        <v>-503870.89999999979</v>
      </c>
      <c r="U95" s="14"/>
      <c r="V95" s="20">
        <f>IF(T$12=0,0,T95/T$12)</f>
        <v>0</v>
      </c>
      <c r="W95" s="15"/>
      <c r="X95" s="21">
        <f>+P95-T95</f>
        <v>-83567.360000000335</v>
      </c>
      <c r="Y95" s="15"/>
      <c r="Z95" s="20">
        <f>IF(T95=0,0,X95/T95)</f>
        <v>0.1658507367661049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1"/>
      <c r="B97" s="10" t="s">
        <v>13</v>
      </c>
      <c r="C97" s="10"/>
      <c r="D97" s="4"/>
      <c r="E97" s="4"/>
      <c r="F97" s="12">
        <f>IF(D$12=0,0,D97/D$12)</f>
        <v>0</v>
      </c>
      <c r="G97" s="4"/>
      <c r="H97" s="4"/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/>
      <c r="Q97" s="4"/>
      <c r="R97" s="12">
        <f>IF(P$12=0,0,P97/P$12)</f>
        <v>0</v>
      </c>
      <c r="S97" s="4"/>
      <c r="T97" s="4"/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4</v>
      </c>
      <c r="C99" s="29"/>
      <c r="D99" s="31">
        <f>+D95-D97</f>
        <v>-112282.32000000002</v>
      </c>
      <c r="E99" s="14"/>
      <c r="F99" s="32">
        <f>IF(D$12=0,0,D99/D$12)</f>
        <v>0</v>
      </c>
      <c r="G99" s="14"/>
      <c r="H99" s="31">
        <f>+H95-H97</f>
        <v>-84257.150000000023</v>
      </c>
      <c r="I99" s="14"/>
      <c r="J99" s="32">
        <f>IF(H$12=0,0,H99/H$12)</f>
        <v>0</v>
      </c>
      <c r="K99" s="15"/>
      <c r="L99" s="31">
        <f>D99-H99</f>
        <v>-28025.17</v>
      </c>
      <c r="M99" s="15"/>
      <c r="N99" s="32">
        <f>IF(H99=0,0,L99/H99)</f>
        <v>0.33261473952062215</v>
      </c>
      <c r="O99" s="28"/>
      <c r="P99" s="31">
        <f>+P95-P97</f>
        <v>-587438.26000000013</v>
      </c>
      <c r="Q99" s="14"/>
      <c r="R99" s="32">
        <f>IF(P$12=0,0,P99/P$12)</f>
        <v>0</v>
      </c>
      <c r="S99" s="14"/>
      <c r="T99" s="31">
        <f>+T95-T97</f>
        <v>-503870.89999999979</v>
      </c>
      <c r="U99" s="14"/>
      <c r="V99" s="32">
        <f>IF(T$12=0,0,T99/T$12)</f>
        <v>0</v>
      </c>
      <c r="W99" s="15"/>
      <c r="X99" s="31">
        <f>P99-T99</f>
        <v>-83567.360000000335</v>
      </c>
      <c r="Y99" s="15"/>
      <c r="Z99" s="32">
        <f>IF(T99=0,0,X99/T99)</f>
        <v>0.1658507367661049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9" t="s">
        <v>5</v>
      </c>
      <c r="C102" s="29"/>
      <c r="D102" s="34">
        <f>SUM(D99:D101)</f>
        <v>-112282.32000000002</v>
      </c>
      <c r="E102" s="14"/>
      <c r="F102" s="30">
        <f>IF(D$12=0,0,D102/D$12)</f>
        <v>0</v>
      </c>
      <c r="G102" s="14"/>
      <c r="H102" s="34">
        <f>SUM(H99:H101)</f>
        <v>-84257.150000000023</v>
      </c>
      <c r="I102" s="14"/>
      <c r="J102" s="30">
        <f>IF(H$12=0,0,H102/H$12)</f>
        <v>0</v>
      </c>
      <c r="K102" s="15"/>
      <c r="L102" s="34">
        <f>+D102-H102</f>
        <v>-28025.17</v>
      </c>
      <c r="M102" s="15"/>
      <c r="N102" s="30">
        <f>IF(H102=0,0,L102/H102)</f>
        <v>0.33261473952062215</v>
      </c>
      <c r="O102" s="28"/>
      <c r="P102" s="34">
        <f>SUM(P99:P101)</f>
        <v>-587438.26000000013</v>
      </c>
      <c r="Q102" s="14"/>
      <c r="R102" s="30">
        <f>IF(P$12=0,0,P102/P$12)</f>
        <v>0</v>
      </c>
      <c r="S102" s="14"/>
      <c r="T102" s="34">
        <f>SUM(T99:T101)</f>
        <v>-503870.89999999979</v>
      </c>
      <c r="U102" s="14"/>
      <c r="V102" s="30">
        <f>IF(T$12=0,0,T102/T$12)</f>
        <v>0</v>
      </c>
      <c r="W102" s="15"/>
      <c r="X102" s="34">
        <f>+P102-T102</f>
        <v>-83567.360000000335</v>
      </c>
      <c r="Y102" s="15"/>
      <c r="Z102" s="30">
        <f>IF(T102=0,0,X102/T102)</f>
        <v>0.1658507367661049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A104" s="9"/>
      <c r="B104" s="59">
        <v>43815.491638576386</v>
      </c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62" t="s">
        <v>313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61"/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","306", " - ", "Warehouse")</f>
        <v>Department 306 - Warehouse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26699.5</v>
      </c>
      <c r="E18" s="22"/>
      <c r="F18" s="33">
        <f t="shared" ref="F18:F28" si="0">IF(D$12=0,0,D18/D$12)</f>
        <v>0</v>
      </c>
      <c r="G18" s="22"/>
      <c r="H18" s="22">
        <f>SUM(OSRRefH22x_0)</f>
        <v>24688.470000000005</v>
      </c>
      <c r="I18" s="22"/>
      <c r="J18" s="33">
        <f t="shared" ref="J18:J28" si="1">IF(H$12=0,0,H18/H$12)</f>
        <v>0</v>
      </c>
      <c r="K18" s="4"/>
      <c r="L18" s="22">
        <f t="shared" ref="L18:L28" si="2">+D18-H18</f>
        <v>2011.0299999999952</v>
      </c>
      <c r="M18" s="4"/>
      <c r="N18" s="33">
        <f t="shared" ref="N18:N28" si="3">IF(H18=0,0,L18/H18)</f>
        <v>8.1456242529407238E-2</v>
      </c>
      <c r="O18" s="10"/>
      <c r="P18" s="22">
        <f>SUM(OSRRefP22x_0)</f>
        <v>212465.28</v>
      </c>
      <c r="Q18" s="22"/>
      <c r="R18" s="33">
        <f t="shared" ref="R18:R28" si="4">IF(P$12=0,0,P18/P$12)</f>
        <v>0</v>
      </c>
      <c r="S18" s="22"/>
      <c r="T18" s="22">
        <f>SUM(OSRRefT22x_0)</f>
        <v>231053.72</v>
      </c>
      <c r="U18" s="22"/>
      <c r="V18" s="33">
        <f t="shared" ref="V18:V28" si="5">IF(T$12=0,0,T18/T$12)</f>
        <v>0</v>
      </c>
      <c r="W18" s="4"/>
      <c r="X18" s="22">
        <f t="shared" ref="X18:X28" si="6">+P18-T18</f>
        <v>-18588.440000000002</v>
      </c>
      <c r="Y18" s="4"/>
      <c r="Z18" s="33">
        <f t="shared" ref="Z18:Z28" si="7">IF(T18=0,0,X18/T18)</f>
        <v>-8.0450728081763859E-2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4919.03</v>
      </c>
      <c r="E19" s="1"/>
      <c r="F19" s="5">
        <f t="shared" si="0"/>
        <v>0</v>
      </c>
      <c r="G19" s="1"/>
      <c r="H19" s="1">
        <f>SUM(OSRRefH22_0x_0)</f>
        <v>4955.4500000000007</v>
      </c>
      <c r="I19" s="1"/>
      <c r="J19" s="5">
        <f t="shared" si="1"/>
        <v>0</v>
      </c>
      <c r="K19" s="1"/>
      <c r="L19" s="1">
        <f t="shared" si="2"/>
        <v>-36.420000000000982</v>
      </c>
      <c r="M19" s="1"/>
      <c r="N19" s="5">
        <f t="shared" si="3"/>
        <v>-7.3494839015631232E-3</v>
      </c>
      <c r="O19" s="13"/>
      <c r="P19" s="1">
        <f>SUM(OSRRefP22_0x_0)</f>
        <v>32342.26</v>
      </c>
      <c r="Q19" s="1"/>
      <c r="R19" s="5">
        <f t="shared" si="4"/>
        <v>0</v>
      </c>
      <c r="S19" s="1"/>
      <c r="T19" s="1">
        <f>SUM(OSRRefT22_0x_0)</f>
        <v>34214.1</v>
      </c>
      <c r="U19" s="1"/>
      <c r="V19" s="5">
        <f t="shared" si="5"/>
        <v>0</v>
      </c>
      <c r="W19" s="1"/>
      <c r="X19" s="1">
        <f t="shared" si="6"/>
        <v>-1871.8400000000001</v>
      </c>
      <c r="Y19" s="1"/>
      <c r="Z19" s="5">
        <f t="shared" si="7"/>
        <v>-5.4709608027099947E-2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708.91</v>
      </c>
      <c r="E20" s="2"/>
      <c r="F20" s="7">
        <f t="shared" si="0"/>
        <v>0</v>
      </c>
      <c r="G20" s="2"/>
      <c r="H20" s="6">
        <v>799.77</v>
      </c>
      <c r="I20" s="2"/>
      <c r="J20" s="7">
        <f t="shared" si="1"/>
        <v>0</v>
      </c>
      <c r="K20" s="2"/>
      <c r="L20" s="6">
        <f t="shared" si="2"/>
        <v>-90.860000000000014</v>
      </c>
      <c r="M20" s="2"/>
      <c r="N20" s="7">
        <f t="shared" si="3"/>
        <v>-0.11360766220288335</v>
      </c>
      <c r="O20" s="11"/>
      <c r="P20" s="6">
        <v>9244.34</v>
      </c>
      <c r="Q20" s="2"/>
      <c r="R20" s="7">
        <f t="shared" si="4"/>
        <v>0</v>
      </c>
      <c r="S20" s="2"/>
      <c r="T20" s="6">
        <v>10635.28</v>
      </c>
      <c r="U20" s="2"/>
      <c r="V20" s="7">
        <f t="shared" si="5"/>
        <v>0</v>
      </c>
      <c r="W20" s="2"/>
      <c r="X20" s="6">
        <f t="shared" si="6"/>
        <v>-1390.9400000000005</v>
      </c>
      <c r="Y20" s="2"/>
      <c r="Z20" s="7">
        <f t="shared" si="7"/>
        <v>-0.13078546121963883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417.94</v>
      </c>
      <c r="E21" s="2"/>
      <c r="F21" s="7">
        <f t="shared" si="0"/>
        <v>0</v>
      </c>
      <c r="G21" s="2"/>
      <c r="H21" s="6">
        <v>258.23</v>
      </c>
      <c r="I21" s="2"/>
      <c r="J21" s="7">
        <f t="shared" si="1"/>
        <v>0</v>
      </c>
      <c r="K21" s="2"/>
      <c r="L21" s="6">
        <f t="shared" si="2"/>
        <v>159.70999999999998</v>
      </c>
      <c r="M21" s="2"/>
      <c r="N21" s="7">
        <f t="shared" si="3"/>
        <v>0.61847964992448579</v>
      </c>
      <c r="O21" s="11"/>
      <c r="P21" s="6">
        <v>2640.9</v>
      </c>
      <c r="Q21" s="2"/>
      <c r="R21" s="7">
        <f t="shared" si="4"/>
        <v>0</v>
      </c>
      <c r="S21" s="2"/>
      <c r="T21" s="6">
        <v>2322.77</v>
      </c>
      <c r="U21" s="2"/>
      <c r="V21" s="7">
        <f t="shared" si="5"/>
        <v>0</v>
      </c>
      <c r="W21" s="2"/>
      <c r="X21" s="6">
        <f t="shared" si="6"/>
        <v>318.13000000000011</v>
      </c>
      <c r="Y21" s="2"/>
      <c r="Z21" s="7">
        <f t="shared" si="7"/>
        <v>0.13696147272437656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1949.27</v>
      </c>
      <c r="E22" s="2"/>
      <c r="F22" s="7">
        <f t="shared" si="0"/>
        <v>0</v>
      </c>
      <c r="G22" s="2"/>
      <c r="H22" s="6">
        <v>2104.1999999999998</v>
      </c>
      <c r="I22" s="2"/>
      <c r="J22" s="7">
        <f t="shared" si="1"/>
        <v>0</v>
      </c>
      <c r="K22" s="2"/>
      <c r="L22" s="6">
        <f t="shared" si="2"/>
        <v>-154.92999999999984</v>
      </c>
      <c r="M22" s="2"/>
      <c r="N22" s="7">
        <f t="shared" si="3"/>
        <v>-7.3628932610968464E-2</v>
      </c>
      <c r="O22" s="11"/>
      <c r="P22" s="6">
        <v>9746.35</v>
      </c>
      <c r="Q22" s="2"/>
      <c r="R22" s="7">
        <f t="shared" si="4"/>
        <v>0</v>
      </c>
      <c r="S22" s="2"/>
      <c r="T22" s="6">
        <v>9207.77</v>
      </c>
      <c r="U22" s="2"/>
      <c r="V22" s="7">
        <f t="shared" si="5"/>
        <v>0</v>
      </c>
      <c r="W22" s="2"/>
      <c r="X22" s="6">
        <f t="shared" si="6"/>
        <v>538.57999999999993</v>
      </c>
      <c r="Y22" s="2"/>
      <c r="Z22" s="7">
        <f t="shared" si="7"/>
        <v>5.8491904120107248E-2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57.19</v>
      </c>
      <c r="E23" s="2"/>
      <c r="F23" s="7">
        <f t="shared" si="0"/>
        <v>0</v>
      </c>
      <c r="G23" s="2"/>
      <c r="H23" s="6">
        <v>56.42</v>
      </c>
      <c r="I23" s="2"/>
      <c r="J23" s="7">
        <f t="shared" si="1"/>
        <v>0</v>
      </c>
      <c r="K23" s="2"/>
      <c r="L23" s="6">
        <f t="shared" si="2"/>
        <v>0.76999999999999602</v>
      </c>
      <c r="M23" s="2"/>
      <c r="N23" s="7">
        <f t="shared" si="3"/>
        <v>1.3647642679900674E-2</v>
      </c>
      <c r="O23" s="11"/>
      <c r="P23" s="6">
        <v>457.25</v>
      </c>
      <c r="Q23" s="2"/>
      <c r="R23" s="7">
        <f t="shared" si="4"/>
        <v>0</v>
      </c>
      <c r="S23" s="2"/>
      <c r="T23" s="6">
        <v>527.35</v>
      </c>
      <c r="U23" s="2"/>
      <c r="V23" s="7">
        <f t="shared" si="5"/>
        <v>0</v>
      </c>
      <c r="W23" s="2"/>
      <c r="X23" s="6">
        <f t="shared" si="6"/>
        <v>-70.100000000000023</v>
      </c>
      <c r="Y23" s="2"/>
      <c r="Z23" s="7">
        <f t="shared" si="7"/>
        <v>-0.1329287949179862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691.3</v>
      </c>
      <c r="E24" s="2"/>
      <c r="F24" s="7">
        <f t="shared" si="0"/>
        <v>0</v>
      </c>
      <c r="G24" s="2"/>
      <c r="H24" s="6">
        <v>616.78</v>
      </c>
      <c r="I24" s="2"/>
      <c r="J24" s="7">
        <f t="shared" si="1"/>
        <v>0</v>
      </c>
      <c r="K24" s="2"/>
      <c r="L24" s="6">
        <f t="shared" si="2"/>
        <v>74.519999999999982</v>
      </c>
      <c r="M24" s="2"/>
      <c r="N24" s="7">
        <f t="shared" si="3"/>
        <v>0.12082103829566455</v>
      </c>
      <c r="O24" s="11"/>
      <c r="P24" s="6">
        <v>3737.12</v>
      </c>
      <c r="Q24" s="2"/>
      <c r="R24" s="7">
        <f t="shared" si="4"/>
        <v>0</v>
      </c>
      <c r="S24" s="2"/>
      <c r="T24" s="6">
        <v>3693.74</v>
      </c>
      <c r="U24" s="2"/>
      <c r="V24" s="7">
        <f t="shared" si="5"/>
        <v>0</v>
      </c>
      <c r="W24" s="2"/>
      <c r="X24" s="6">
        <f t="shared" si="6"/>
        <v>43.380000000000109</v>
      </c>
      <c r="Y24" s="2"/>
      <c r="Z24" s="7">
        <f t="shared" si="7"/>
        <v>1.174419423132113E-2</v>
      </c>
    </row>
    <row r="25" spans="1:26" s="24" customFormat="1" hidden="1" outlineLevel="2" x14ac:dyDescent="0.25">
      <c r="A25" s="26"/>
      <c r="B25" s="11" t="str">
        <f>CONCATENATE("          ", "6117", " - ", "RETIREMENT STAFF HOURLY")</f>
        <v xml:space="preserve">          6117 - RETIREMENT STAFF HOURLY</v>
      </c>
      <c r="C25" s="11"/>
      <c r="D25" s="6"/>
      <c r="E25" s="2"/>
      <c r="F25" s="7">
        <f t="shared" si="0"/>
        <v>0</v>
      </c>
      <c r="G25" s="2"/>
      <c r="H25" s="6"/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302.08</v>
      </c>
      <c r="U25" s="2"/>
      <c r="V25" s="7">
        <f t="shared" si="5"/>
        <v>0</v>
      </c>
      <c r="W25" s="2"/>
      <c r="X25" s="6">
        <f t="shared" si="6"/>
        <v>-302.08</v>
      </c>
      <c r="Y25" s="2"/>
      <c r="Z25" s="7">
        <f t="shared" si="7"/>
        <v>-1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400.01</v>
      </c>
      <c r="E26" s="2"/>
      <c r="F26" s="7">
        <f t="shared" si="0"/>
        <v>0</v>
      </c>
      <c r="G26" s="2"/>
      <c r="H26" s="6">
        <v>559.72</v>
      </c>
      <c r="I26" s="2"/>
      <c r="J26" s="7">
        <f t="shared" si="1"/>
        <v>0</v>
      </c>
      <c r="K26" s="2"/>
      <c r="L26" s="6">
        <f t="shared" si="2"/>
        <v>-159.71000000000004</v>
      </c>
      <c r="M26" s="2"/>
      <c r="N26" s="7">
        <f t="shared" si="3"/>
        <v>-0.28533909812048885</v>
      </c>
      <c r="O26" s="11"/>
      <c r="P26" s="6">
        <v>2019.99</v>
      </c>
      <c r="Q26" s="2"/>
      <c r="R26" s="7">
        <f t="shared" si="4"/>
        <v>0</v>
      </c>
      <c r="S26" s="2"/>
      <c r="T26" s="6">
        <v>3196.07</v>
      </c>
      <c r="U26" s="2"/>
      <c r="V26" s="7">
        <f t="shared" si="5"/>
        <v>0</v>
      </c>
      <c r="W26" s="2"/>
      <c r="X26" s="6">
        <f t="shared" si="6"/>
        <v>-1176.0800000000002</v>
      </c>
      <c r="Y26" s="2"/>
      <c r="Z26" s="7">
        <f t="shared" si="7"/>
        <v>-0.36797692165690993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374.44</v>
      </c>
      <c r="E27" s="2"/>
      <c r="F27" s="7">
        <f t="shared" si="0"/>
        <v>0</v>
      </c>
      <c r="G27" s="2"/>
      <c r="H27" s="6">
        <v>353.06</v>
      </c>
      <c r="I27" s="2"/>
      <c r="J27" s="7">
        <f t="shared" si="1"/>
        <v>0</v>
      </c>
      <c r="K27" s="2"/>
      <c r="L27" s="6">
        <f t="shared" si="2"/>
        <v>21.379999999999995</v>
      </c>
      <c r="M27" s="2"/>
      <c r="N27" s="7">
        <f t="shared" si="3"/>
        <v>6.0556279385940055E-2</v>
      </c>
      <c r="O27" s="11"/>
      <c r="P27" s="6">
        <v>2938.05</v>
      </c>
      <c r="Q27" s="2"/>
      <c r="R27" s="7">
        <f t="shared" si="4"/>
        <v>0</v>
      </c>
      <c r="S27" s="2"/>
      <c r="T27" s="6">
        <v>3114.63</v>
      </c>
      <c r="U27" s="2"/>
      <c r="V27" s="7">
        <f t="shared" si="5"/>
        <v>0</v>
      </c>
      <c r="W27" s="2"/>
      <c r="X27" s="6">
        <f t="shared" si="6"/>
        <v>-176.57999999999993</v>
      </c>
      <c r="Y27" s="2"/>
      <c r="Z27" s="7">
        <f t="shared" si="7"/>
        <v>-5.6693732481867806E-2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319.97000000000003</v>
      </c>
      <c r="E28" s="2"/>
      <c r="F28" s="7">
        <f t="shared" si="0"/>
        <v>0</v>
      </c>
      <c r="G28" s="2"/>
      <c r="H28" s="6">
        <v>207.27</v>
      </c>
      <c r="I28" s="2"/>
      <c r="J28" s="7">
        <f t="shared" si="1"/>
        <v>0</v>
      </c>
      <c r="K28" s="2"/>
      <c r="L28" s="6">
        <f t="shared" si="2"/>
        <v>112.70000000000002</v>
      </c>
      <c r="M28" s="2"/>
      <c r="N28" s="7">
        <f t="shared" si="3"/>
        <v>0.54373522458628842</v>
      </c>
      <c r="O28" s="11"/>
      <c r="P28" s="6">
        <v>1558.26</v>
      </c>
      <c r="Q28" s="2"/>
      <c r="R28" s="7">
        <f t="shared" si="4"/>
        <v>0</v>
      </c>
      <c r="S28" s="2"/>
      <c r="T28" s="6">
        <v>1214.4100000000001</v>
      </c>
      <c r="U28" s="2"/>
      <c r="V28" s="7">
        <f t="shared" si="5"/>
        <v>0</v>
      </c>
      <c r="W28" s="2"/>
      <c r="X28" s="6">
        <f t="shared" si="6"/>
        <v>343.84999999999991</v>
      </c>
      <c r="Y28" s="2"/>
      <c r="Z28" s="7">
        <f t="shared" si="7"/>
        <v>0.2831416078589602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20438.61</v>
      </c>
      <c r="E29" s="1"/>
      <c r="F29" s="5">
        <f t="shared" ref="F29:F34" si="8">IF(D$12=0,0,D29/D$12)</f>
        <v>0</v>
      </c>
      <c r="G29" s="1"/>
      <c r="H29" s="1">
        <f>SUM(OSRRefH22_1x_0)</f>
        <v>19518.239999999998</v>
      </c>
      <c r="I29" s="1"/>
      <c r="J29" s="5">
        <f t="shared" ref="J29:J34" si="9">IF(H$12=0,0,H29/H$12)</f>
        <v>0</v>
      </c>
      <c r="K29" s="1"/>
      <c r="L29" s="1">
        <f t="shared" ref="L29:L34" si="10">+D29-H29</f>
        <v>920.37000000000262</v>
      </c>
      <c r="M29" s="1"/>
      <c r="N29" s="5">
        <f t="shared" ref="N29:N34" si="11">IF(H29=0,0,L29/H29)</f>
        <v>4.7154354081105812E-2</v>
      </c>
      <c r="O29" s="13"/>
      <c r="P29" s="1">
        <f>SUM(OSRRefP22_1x_0)</f>
        <v>176790.59</v>
      </c>
      <c r="Q29" s="1"/>
      <c r="R29" s="5">
        <f t="shared" ref="R29:R34" si="12">IF(P$12=0,0,P29/P$12)</f>
        <v>0</v>
      </c>
      <c r="S29" s="1"/>
      <c r="T29" s="1">
        <f>SUM(OSRRefT22_1x_0)</f>
        <v>191392.02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-14601.429999999993</v>
      </c>
      <c r="Y29" s="1"/>
      <c r="Z29" s="5">
        <f t="shared" ref="Z29:Z34" si="15">IF(T29=0,0,X29/T29)</f>
        <v>-7.6290693833525519E-2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7519.95</v>
      </c>
      <c r="E30" s="2"/>
      <c r="F30" s="7">
        <f t="shared" si="8"/>
        <v>0</v>
      </c>
      <c r="G30" s="2"/>
      <c r="H30" s="6">
        <v>6868.82</v>
      </c>
      <c r="I30" s="2"/>
      <c r="J30" s="7">
        <f t="shared" si="9"/>
        <v>0</v>
      </c>
      <c r="K30" s="2"/>
      <c r="L30" s="6">
        <f t="shared" si="10"/>
        <v>651.13000000000011</v>
      </c>
      <c r="M30" s="2"/>
      <c r="N30" s="7">
        <f t="shared" si="11"/>
        <v>9.4795030296324564E-2</v>
      </c>
      <c r="O30" s="11"/>
      <c r="P30" s="6">
        <v>42684.34</v>
      </c>
      <c r="Q30" s="2"/>
      <c r="R30" s="7">
        <f t="shared" si="12"/>
        <v>0</v>
      </c>
      <c r="S30" s="2"/>
      <c r="T30" s="6">
        <v>37990.11</v>
      </c>
      <c r="U30" s="2"/>
      <c r="V30" s="7">
        <f t="shared" si="13"/>
        <v>0</v>
      </c>
      <c r="W30" s="2"/>
      <c r="X30" s="6">
        <f t="shared" si="14"/>
        <v>4694.2299999999959</v>
      </c>
      <c r="Y30" s="2"/>
      <c r="Z30" s="7">
        <f t="shared" si="15"/>
        <v>0.12356452771523946</v>
      </c>
    </row>
    <row r="31" spans="1:26" s="24" customFormat="1" hidden="1" outlineLevel="2" x14ac:dyDescent="0.25">
      <c r="A31" s="26"/>
      <c r="B31" s="11" t="str">
        <f>CONCATENATE("          ", "6005", " - ", "TEMPORARY WAGES-HOURLY")</f>
        <v xml:space="preserve">          6005 - TEMPORARY WAGES-HOURLY</v>
      </c>
      <c r="C31" s="11"/>
      <c r="D31" s="6">
        <v>957.13</v>
      </c>
      <c r="E31" s="2"/>
      <c r="F31" s="7">
        <f t="shared" si="8"/>
        <v>0</v>
      </c>
      <c r="G31" s="2"/>
      <c r="H31" s="6">
        <v>2384.33</v>
      </c>
      <c r="I31" s="2"/>
      <c r="J31" s="7">
        <f t="shared" si="9"/>
        <v>0</v>
      </c>
      <c r="K31" s="2"/>
      <c r="L31" s="6">
        <f t="shared" si="10"/>
        <v>-1427.1999999999998</v>
      </c>
      <c r="M31" s="2"/>
      <c r="N31" s="7">
        <f t="shared" si="11"/>
        <v>-0.59857486170119067</v>
      </c>
      <c r="O31" s="11"/>
      <c r="P31" s="6">
        <v>10039.59</v>
      </c>
      <c r="Q31" s="2"/>
      <c r="R31" s="7">
        <f t="shared" si="12"/>
        <v>0</v>
      </c>
      <c r="S31" s="2"/>
      <c r="T31" s="6">
        <v>17106.3</v>
      </c>
      <c r="U31" s="2"/>
      <c r="V31" s="7">
        <f t="shared" si="13"/>
        <v>0</v>
      </c>
      <c r="W31" s="2"/>
      <c r="X31" s="6">
        <f t="shared" si="14"/>
        <v>-7066.7099999999991</v>
      </c>
      <c r="Y31" s="2"/>
      <c r="Z31" s="7">
        <f t="shared" si="15"/>
        <v>-0.41310569790077334</v>
      </c>
    </row>
    <row r="32" spans="1:26" s="24" customFormat="1" hidden="1" outlineLevel="2" x14ac:dyDescent="0.25">
      <c r="A32" s="26"/>
      <c r="B32" s="11" t="str">
        <f>CONCATENATE("          ", "6006", " - ", "TEMPORARY PART TIME")</f>
        <v xml:space="preserve">          6006 - TEMPORARY PART TIME</v>
      </c>
      <c r="C32" s="11"/>
      <c r="D32" s="6">
        <v>192</v>
      </c>
      <c r="E32" s="2"/>
      <c r="F32" s="7">
        <f t="shared" si="8"/>
        <v>0</v>
      </c>
      <c r="G32" s="2"/>
      <c r="H32" s="6">
        <v>440</v>
      </c>
      <c r="I32" s="2"/>
      <c r="J32" s="7">
        <f t="shared" si="9"/>
        <v>0</v>
      </c>
      <c r="K32" s="2"/>
      <c r="L32" s="6">
        <f t="shared" si="10"/>
        <v>-248</v>
      </c>
      <c r="M32" s="2"/>
      <c r="N32" s="7">
        <f t="shared" si="11"/>
        <v>-0.5636363636363636</v>
      </c>
      <c r="O32" s="11"/>
      <c r="P32" s="6">
        <v>9085.3700000000008</v>
      </c>
      <c r="Q32" s="2"/>
      <c r="R32" s="7">
        <f t="shared" si="12"/>
        <v>0</v>
      </c>
      <c r="S32" s="2"/>
      <c r="T32" s="6">
        <v>16734.89</v>
      </c>
      <c r="U32" s="2"/>
      <c r="V32" s="7">
        <f t="shared" si="13"/>
        <v>0</v>
      </c>
      <c r="W32" s="2"/>
      <c r="X32" s="6">
        <f t="shared" si="14"/>
        <v>-7649.5199999999986</v>
      </c>
      <c r="Y32" s="2"/>
      <c r="Z32" s="7">
        <f t="shared" si="15"/>
        <v>-0.45710010642436244</v>
      </c>
    </row>
    <row r="33" spans="1:26" s="24" customFormat="1" hidden="1" outlineLevel="2" x14ac:dyDescent="0.25">
      <c r="A33" s="26"/>
      <c r="B33" s="11" t="str">
        <f>CONCATENATE("          ", "6007", " - ", "STUDENT HOURLY")</f>
        <v xml:space="preserve">          6007 - STUDENT HOURLY</v>
      </c>
      <c r="C33" s="11"/>
      <c r="D33" s="6">
        <v>11217.53</v>
      </c>
      <c r="E33" s="2"/>
      <c r="F33" s="7">
        <f t="shared" si="8"/>
        <v>0</v>
      </c>
      <c r="G33" s="2"/>
      <c r="H33" s="6">
        <v>8804.84</v>
      </c>
      <c r="I33" s="2"/>
      <c r="J33" s="7">
        <f t="shared" si="9"/>
        <v>0</v>
      </c>
      <c r="K33" s="2"/>
      <c r="L33" s="6">
        <f t="shared" si="10"/>
        <v>2412.6900000000005</v>
      </c>
      <c r="M33" s="2"/>
      <c r="N33" s="7">
        <f t="shared" si="11"/>
        <v>0.27401860794744715</v>
      </c>
      <c r="O33" s="11"/>
      <c r="P33" s="6">
        <v>110445.29</v>
      </c>
      <c r="Q33" s="2"/>
      <c r="R33" s="7">
        <f t="shared" si="12"/>
        <v>0</v>
      </c>
      <c r="S33" s="2"/>
      <c r="T33" s="6">
        <v>109407.71999999999</v>
      </c>
      <c r="U33" s="2"/>
      <c r="V33" s="7">
        <f t="shared" si="13"/>
        <v>0</v>
      </c>
      <c r="W33" s="2"/>
      <c r="X33" s="6">
        <f t="shared" si="14"/>
        <v>1037.570000000007</v>
      </c>
      <c r="Y33" s="2"/>
      <c r="Z33" s="7">
        <f t="shared" si="15"/>
        <v>9.483517250885103E-3</v>
      </c>
    </row>
    <row r="34" spans="1:26" s="24" customFormat="1" hidden="1" outlineLevel="2" x14ac:dyDescent="0.25">
      <c r="A34" s="26"/>
      <c r="B34" s="11" t="str">
        <f>CONCATENATE("          ", "6008", " - ", "STUDENT HOURLY-FICA EXEMPT")</f>
        <v xml:space="preserve">          6008 - STUDENT HOURLY-FICA EXEMPT</v>
      </c>
      <c r="C34" s="11"/>
      <c r="D34" s="6">
        <v>552</v>
      </c>
      <c r="E34" s="2"/>
      <c r="F34" s="7">
        <f t="shared" si="8"/>
        <v>0</v>
      </c>
      <c r="G34" s="2"/>
      <c r="H34" s="6">
        <v>1020.25</v>
      </c>
      <c r="I34" s="2"/>
      <c r="J34" s="7">
        <f t="shared" si="9"/>
        <v>0</v>
      </c>
      <c r="K34" s="2"/>
      <c r="L34" s="6">
        <f t="shared" si="10"/>
        <v>-468.25</v>
      </c>
      <c r="M34" s="2"/>
      <c r="N34" s="7">
        <f t="shared" si="11"/>
        <v>-0.45895613820142123</v>
      </c>
      <c r="O34" s="11"/>
      <c r="P34" s="6">
        <v>4536</v>
      </c>
      <c r="Q34" s="2"/>
      <c r="R34" s="7">
        <f t="shared" si="12"/>
        <v>0</v>
      </c>
      <c r="S34" s="2"/>
      <c r="T34" s="6">
        <v>10153</v>
      </c>
      <c r="U34" s="2"/>
      <c r="V34" s="7">
        <f t="shared" si="13"/>
        <v>0</v>
      </c>
      <c r="W34" s="2"/>
      <c r="X34" s="6">
        <f t="shared" si="14"/>
        <v>-5617</v>
      </c>
      <c r="Y34" s="2"/>
      <c r="Z34" s="7">
        <f t="shared" si="15"/>
        <v>-0.55323549689746876</v>
      </c>
    </row>
    <row r="35" spans="1:26" s="25" customFormat="1" outlineLevel="1" collapsed="1" x14ac:dyDescent="0.25">
      <c r="A35" s="27"/>
      <c r="B35" s="13" t="str">
        <f>CONCATENATE("     ","Advertising/Promo                                 ")</f>
        <v xml:space="preserve">     Advertising/Promo                                 </v>
      </c>
      <c r="C35" s="13"/>
      <c r="D35" s="1">
        <f>SUM(OSRRefD22_2x_0)</f>
        <v>0</v>
      </c>
      <c r="E35" s="1"/>
      <c r="F35" s="5">
        <f t="shared" ref="F35:F47" si="16">IF(D$12=0,0,D35/D$12)</f>
        <v>0</v>
      </c>
      <c r="G35" s="1"/>
      <c r="H35" s="1">
        <f>SUM(OSRRefH22_2x_0)</f>
        <v>0</v>
      </c>
      <c r="I35" s="1"/>
      <c r="J35" s="5">
        <f t="shared" ref="J35:J47" si="17">IF(H$12=0,0,H35/H$12)</f>
        <v>0</v>
      </c>
      <c r="K35" s="1"/>
      <c r="L35" s="1">
        <f t="shared" ref="L35:L47" si="18">+D35-H35</f>
        <v>0</v>
      </c>
      <c r="M35" s="1"/>
      <c r="N35" s="5">
        <f t="shared" ref="N35:N47" si="19">IF(H35=0,0,L35/H35)</f>
        <v>0</v>
      </c>
      <c r="O35" s="13"/>
      <c r="P35" s="1">
        <f>SUM(OSRRefP22_2x_0)</f>
        <v>150</v>
      </c>
      <c r="Q35" s="1"/>
      <c r="R35" s="5">
        <f t="shared" ref="R35:R47" si="20">IF(P$12=0,0,P35/P$12)</f>
        <v>0</v>
      </c>
      <c r="S35" s="1"/>
      <c r="T35" s="1">
        <f>SUM(OSRRefT22_2x_0)</f>
        <v>426</v>
      </c>
      <c r="U35" s="1"/>
      <c r="V35" s="5">
        <f t="shared" ref="V35:V47" si="21">IF(T$12=0,0,T35/T$12)</f>
        <v>0</v>
      </c>
      <c r="W35" s="1"/>
      <c r="X35" s="1">
        <f t="shared" ref="X35:X47" si="22">+P35-T35</f>
        <v>-276</v>
      </c>
      <c r="Y35" s="1"/>
      <c r="Z35" s="5">
        <f t="shared" ref="Z35:Z47" si="23">IF(T35=0,0,X35/T35)</f>
        <v>-0.647887323943662</v>
      </c>
    </row>
    <row r="36" spans="1:26" s="24" customFormat="1" hidden="1" outlineLevel="2" x14ac:dyDescent="0.25">
      <c r="A36" s="26"/>
      <c r="B36" s="11" t="str">
        <f>CONCATENATE("          ", "6362", " - ", "ADVERTISING EXPENSE")</f>
        <v xml:space="preserve">          6362 - ADVERTISING EXPENSE</v>
      </c>
      <c r="C36" s="11"/>
      <c r="D36" s="6"/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150</v>
      </c>
      <c r="Q36" s="2"/>
      <c r="R36" s="7">
        <f t="shared" si="20"/>
        <v>0</v>
      </c>
      <c r="S36" s="2"/>
      <c r="T36" s="6">
        <v>426</v>
      </c>
      <c r="U36" s="2"/>
      <c r="V36" s="7">
        <f t="shared" si="21"/>
        <v>0</v>
      </c>
      <c r="W36" s="2"/>
      <c r="X36" s="6">
        <f t="shared" si="22"/>
        <v>-276</v>
      </c>
      <c r="Y36" s="2"/>
      <c r="Z36" s="7">
        <f t="shared" si="23"/>
        <v>-0.647887323943662</v>
      </c>
    </row>
    <row r="37" spans="1:26" s="25" customFormat="1" outlineLevel="1" collapsed="1" x14ac:dyDescent="0.25">
      <c r="A37" s="27"/>
      <c r="B37" s="13" t="str">
        <f>CONCATENATE("     ","Employees' Appreciation                           ")</f>
        <v xml:space="preserve">     Employees' Appreciation                           </v>
      </c>
      <c r="C37" s="13"/>
      <c r="D37" s="1">
        <f>SUM(OSRRefD22_3x_0)</f>
        <v>0</v>
      </c>
      <c r="E37" s="1"/>
      <c r="F37" s="5">
        <f t="shared" si="16"/>
        <v>0</v>
      </c>
      <c r="G37" s="1"/>
      <c r="H37" s="1">
        <f>SUM(OSRRefH22_3x_0)</f>
        <v>0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3"/>
      <c r="P37" s="1">
        <f>SUM(OSRRefP22_3x_0)</f>
        <v>0</v>
      </c>
      <c r="Q37" s="1"/>
      <c r="R37" s="5">
        <f t="shared" si="20"/>
        <v>0</v>
      </c>
      <c r="S37" s="1"/>
      <c r="T37" s="1">
        <f>SUM(OSRRefT22_3x_0)</f>
        <v>19.07</v>
      </c>
      <c r="U37" s="1"/>
      <c r="V37" s="5">
        <f t="shared" si="21"/>
        <v>0</v>
      </c>
      <c r="W37" s="1"/>
      <c r="X37" s="1">
        <f t="shared" si="22"/>
        <v>-19.07</v>
      </c>
      <c r="Y37" s="1"/>
      <c r="Z37" s="5">
        <f t="shared" si="23"/>
        <v>-1</v>
      </c>
    </row>
    <row r="38" spans="1:26" s="24" customFormat="1" hidden="1" outlineLevel="2" x14ac:dyDescent="0.25">
      <c r="A38" s="26"/>
      <c r="B38" s="11" t="str">
        <f>CONCATENATE("          ", "6277", " - ", "EMPLOYEE APPRECIATION")</f>
        <v xml:space="preserve">          6277 - EMPLOYEE APPRECIATION</v>
      </c>
      <c r="C38" s="11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19.07</v>
      </c>
      <c r="U38" s="2"/>
      <c r="V38" s="7">
        <f t="shared" si="21"/>
        <v>0</v>
      </c>
      <c r="W38" s="2"/>
      <c r="X38" s="6">
        <f t="shared" si="22"/>
        <v>-19.07</v>
      </c>
      <c r="Y38" s="2"/>
      <c r="Z38" s="7">
        <f t="shared" si="23"/>
        <v>-1</v>
      </c>
    </row>
    <row r="39" spans="1:26" s="25" customFormat="1" outlineLevel="1" collapsed="1" x14ac:dyDescent="0.25">
      <c r="A39" s="27"/>
      <c r="B39" s="13" t="str">
        <f>CONCATENATE("     ","Equipment Rental                                  ")</f>
        <v xml:space="preserve">     Equipment Rental                                  </v>
      </c>
      <c r="C39" s="13"/>
      <c r="D39" s="1">
        <f>SUM(OSRRefD22_4x_0)</f>
        <v>427.9</v>
      </c>
      <c r="E39" s="1"/>
      <c r="F39" s="5">
        <f t="shared" si="16"/>
        <v>0</v>
      </c>
      <c r="G39" s="1"/>
      <c r="H39" s="1">
        <f>SUM(OSRRefH22_4x_0)</f>
        <v>0</v>
      </c>
      <c r="I39" s="1"/>
      <c r="J39" s="5">
        <f t="shared" si="17"/>
        <v>0</v>
      </c>
      <c r="K39" s="1"/>
      <c r="L39" s="1">
        <f t="shared" si="18"/>
        <v>427.9</v>
      </c>
      <c r="M39" s="1"/>
      <c r="N39" s="5">
        <f t="shared" si="19"/>
        <v>0</v>
      </c>
      <c r="O39" s="13"/>
      <c r="P39" s="1">
        <f>SUM(OSRRefP22_4x_0)</f>
        <v>610.41999999999996</v>
      </c>
      <c r="Q39" s="1"/>
      <c r="R39" s="5">
        <f t="shared" si="20"/>
        <v>0</v>
      </c>
      <c r="S39" s="1"/>
      <c r="T39" s="1">
        <f>SUM(OSRRefT22_4x_0)</f>
        <v>664.96</v>
      </c>
      <c r="U39" s="1"/>
      <c r="V39" s="5">
        <f t="shared" si="21"/>
        <v>0</v>
      </c>
      <c r="W39" s="1"/>
      <c r="X39" s="1">
        <f t="shared" si="22"/>
        <v>-54.540000000000077</v>
      </c>
      <c r="Y39" s="1"/>
      <c r="Z39" s="5">
        <f t="shared" si="23"/>
        <v>-8.2019971126082877E-2</v>
      </c>
    </row>
    <row r="40" spans="1:26" s="24" customFormat="1" hidden="1" outlineLevel="2" x14ac:dyDescent="0.25">
      <c r="A40" s="26"/>
      <c r="B40" s="11" t="str">
        <f>CONCATENATE("          ", "6351", " - ", "EQUIPMENT RENTAL")</f>
        <v xml:space="preserve">          6351 - EQUIPMENT RENTAL</v>
      </c>
      <c r="C40" s="11"/>
      <c r="D40" s="6">
        <v>427.9</v>
      </c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427.9</v>
      </c>
      <c r="M40" s="2"/>
      <c r="N40" s="7">
        <f t="shared" si="19"/>
        <v>0</v>
      </c>
      <c r="O40" s="11"/>
      <c r="P40" s="6">
        <v>610.41999999999996</v>
      </c>
      <c r="Q40" s="2"/>
      <c r="R40" s="7">
        <f t="shared" si="20"/>
        <v>0</v>
      </c>
      <c r="S40" s="2"/>
      <c r="T40" s="6">
        <v>664.96</v>
      </c>
      <c r="U40" s="2"/>
      <c r="V40" s="7">
        <f t="shared" si="21"/>
        <v>0</v>
      </c>
      <c r="W40" s="2"/>
      <c r="X40" s="6">
        <f t="shared" si="22"/>
        <v>-54.540000000000077</v>
      </c>
      <c r="Y40" s="2"/>
      <c r="Z40" s="7">
        <f t="shared" si="23"/>
        <v>-8.2019971126082877E-2</v>
      </c>
    </row>
    <row r="41" spans="1:26" s="25" customFormat="1" outlineLevel="1" collapsed="1" x14ac:dyDescent="0.25">
      <c r="A41" s="27"/>
      <c r="B41" s="13" t="str">
        <f>CONCATENATE("     ","Freight out/Postage                               ")</f>
        <v xml:space="preserve">     Freight out/Postage                               </v>
      </c>
      <c r="C41" s="13"/>
      <c r="D41" s="1">
        <f>SUM(OSRRefD22_5x_0)</f>
        <v>400</v>
      </c>
      <c r="E41" s="1"/>
      <c r="F41" s="5">
        <f t="shared" si="16"/>
        <v>0</v>
      </c>
      <c r="G41" s="1"/>
      <c r="H41" s="1">
        <f>SUM(OSRRefH22_5x_0)</f>
        <v>0</v>
      </c>
      <c r="I41" s="1"/>
      <c r="J41" s="5">
        <f t="shared" si="17"/>
        <v>0</v>
      </c>
      <c r="K41" s="1"/>
      <c r="L41" s="1">
        <f t="shared" si="18"/>
        <v>400</v>
      </c>
      <c r="M41" s="1"/>
      <c r="N41" s="5">
        <f t="shared" si="19"/>
        <v>0</v>
      </c>
      <c r="O41" s="13"/>
      <c r="P41" s="1">
        <f>SUM(OSRRefP22_5x_0)</f>
        <v>400</v>
      </c>
      <c r="Q41" s="1"/>
      <c r="R41" s="5">
        <f t="shared" si="20"/>
        <v>0</v>
      </c>
      <c r="S41" s="1"/>
      <c r="T41" s="1">
        <f>SUM(OSRRefT22_5x_0)</f>
        <v>0</v>
      </c>
      <c r="U41" s="1"/>
      <c r="V41" s="5">
        <f t="shared" si="21"/>
        <v>0</v>
      </c>
      <c r="W41" s="1"/>
      <c r="X41" s="1">
        <f t="shared" si="22"/>
        <v>400</v>
      </c>
      <c r="Y41" s="1"/>
      <c r="Z41" s="5">
        <f t="shared" si="23"/>
        <v>0</v>
      </c>
    </row>
    <row r="42" spans="1:26" s="24" customFormat="1" hidden="1" outlineLevel="2" x14ac:dyDescent="0.25">
      <c r="A42" s="26"/>
      <c r="B42" s="11" t="str">
        <f>CONCATENATE("          ", "6307", " - ", "POSTAGE")</f>
        <v xml:space="preserve">          6307 - POSTAGE</v>
      </c>
      <c r="C42" s="11"/>
      <c r="D42" s="6">
        <v>400</v>
      </c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400</v>
      </c>
      <c r="M42" s="2"/>
      <c r="N42" s="7">
        <f t="shared" si="19"/>
        <v>0</v>
      </c>
      <c r="O42" s="11"/>
      <c r="P42" s="6">
        <v>400</v>
      </c>
      <c r="Q42" s="2"/>
      <c r="R42" s="7">
        <f t="shared" si="20"/>
        <v>0</v>
      </c>
      <c r="S42" s="2"/>
      <c r="T42" s="6"/>
      <c r="U42" s="2"/>
      <c r="V42" s="7">
        <f t="shared" si="21"/>
        <v>0</v>
      </c>
      <c r="W42" s="2"/>
      <c r="X42" s="6">
        <f t="shared" si="22"/>
        <v>400</v>
      </c>
      <c r="Y42" s="2"/>
      <c r="Z42" s="7">
        <f t="shared" si="23"/>
        <v>0</v>
      </c>
    </row>
    <row r="43" spans="1:26" s="25" customFormat="1" outlineLevel="1" collapsed="1" x14ac:dyDescent="0.25">
      <c r="A43" s="27"/>
      <c r="B43" s="13" t="str">
        <f>CONCATENATE("     ","General                                           ")</f>
        <v xml:space="preserve">     General                                           </v>
      </c>
      <c r="C43" s="13"/>
      <c r="D43" s="1">
        <f>SUM(OSRRefD22_6x_0)</f>
        <v>0</v>
      </c>
      <c r="E43" s="1"/>
      <c r="F43" s="5">
        <f t="shared" si="16"/>
        <v>0</v>
      </c>
      <c r="G43" s="1"/>
      <c r="H43" s="1">
        <f>SUM(OSRRefH22_6x_0)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3"/>
      <c r="P43" s="1">
        <f>SUM(OSRRefP22_6x_0)</f>
        <v>89.45</v>
      </c>
      <c r="Q43" s="1"/>
      <c r="R43" s="5">
        <f t="shared" si="20"/>
        <v>0</v>
      </c>
      <c r="S43" s="1"/>
      <c r="T43" s="1">
        <f>SUM(OSRRefT22_6x_0)</f>
        <v>0</v>
      </c>
      <c r="U43" s="1"/>
      <c r="V43" s="5">
        <f t="shared" si="21"/>
        <v>0</v>
      </c>
      <c r="W43" s="1"/>
      <c r="X43" s="1">
        <f t="shared" si="22"/>
        <v>89.45</v>
      </c>
      <c r="Y43" s="1"/>
      <c r="Z43" s="5">
        <f t="shared" si="23"/>
        <v>0</v>
      </c>
    </row>
    <row r="44" spans="1:26" s="24" customFormat="1" hidden="1" outlineLevel="2" x14ac:dyDescent="0.25">
      <c r="A44" s="26"/>
      <c r="B44" s="11" t="str">
        <f>CONCATENATE("          ", "6279", " - ", "GENERAL EXPENSE")</f>
        <v xml:space="preserve">          6279 - GENERAL EXPENSE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89.45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89.45</v>
      </c>
      <c r="Y44" s="2"/>
      <c r="Z44" s="7">
        <f t="shared" si="23"/>
        <v>0</v>
      </c>
    </row>
    <row r="45" spans="1:26" s="25" customFormat="1" outlineLevel="1" collapsed="1" x14ac:dyDescent="0.25">
      <c r="A45" s="27"/>
      <c r="B45" s="13" t="str">
        <f>CONCATENATE("     ","Repair and Maintenance                            ")</f>
        <v xml:space="preserve">     Repair and Maintenance                            </v>
      </c>
      <c r="C45" s="13"/>
      <c r="D45" s="1">
        <f>SUM(OSRRefD22_7x_0)</f>
        <v>35.119999999999997</v>
      </c>
      <c r="E45" s="1"/>
      <c r="F45" s="5">
        <f t="shared" si="16"/>
        <v>0</v>
      </c>
      <c r="G45" s="1"/>
      <c r="H45" s="1">
        <f>SUM(OSRRefH22_7x_0)</f>
        <v>0</v>
      </c>
      <c r="I45" s="1"/>
      <c r="J45" s="5">
        <f t="shared" si="17"/>
        <v>0</v>
      </c>
      <c r="K45" s="1"/>
      <c r="L45" s="1">
        <f t="shared" si="18"/>
        <v>35.119999999999997</v>
      </c>
      <c r="M45" s="1"/>
      <c r="N45" s="5">
        <f t="shared" si="19"/>
        <v>0</v>
      </c>
      <c r="O45" s="13"/>
      <c r="P45" s="1">
        <f>SUM(OSRRefP22_7x_0)</f>
        <v>242.41000000000003</v>
      </c>
      <c r="Q45" s="1"/>
      <c r="R45" s="5">
        <f t="shared" si="20"/>
        <v>0</v>
      </c>
      <c r="S45" s="1"/>
      <c r="T45" s="1">
        <f>SUM(OSRRefT22_7x_0)</f>
        <v>390.78</v>
      </c>
      <c r="U45" s="1"/>
      <c r="V45" s="5">
        <f t="shared" si="21"/>
        <v>0</v>
      </c>
      <c r="W45" s="1"/>
      <c r="X45" s="1">
        <f t="shared" si="22"/>
        <v>-148.36999999999995</v>
      </c>
      <c r="Y45" s="1"/>
      <c r="Z45" s="5">
        <f t="shared" si="23"/>
        <v>-0.37967654434720294</v>
      </c>
    </row>
    <row r="46" spans="1:26" s="24" customFormat="1" hidden="1" outlineLevel="2" x14ac:dyDescent="0.25">
      <c r="A46" s="26"/>
      <c r="B46" s="11" t="str">
        <f>CONCATENATE("          ", "6373", " - ", "MAINTENANCE CONTRACTS")</f>
        <v xml:space="preserve">          6373 - MAINTENANCE CONTRACTS</v>
      </c>
      <c r="C46" s="11"/>
      <c r="D46" s="6">
        <v>35.119999999999997</v>
      </c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35.119999999999997</v>
      </c>
      <c r="M46" s="2"/>
      <c r="N46" s="7">
        <f t="shared" si="19"/>
        <v>0</v>
      </c>
      <c r="O46" s="11"/>
      <c r="P46" s="6">
        <v>50.08</v>
      </c>
      <c r="Q46" s="2"/>
      <c r="R46" s="7">
        <f t="shared" si="20"/>
        <v>0</v>
      </c>
      <c r="S46" s="2"/>
      <c r="T46" s="6">
        <v>390.78</v>
      </c>
      <c r="U46" s="2"/>
      <c r="V46" s="7">
        <f t="shared" si="21"/>
        <v>0</v>
      </c>
      <c r="W46" s="2"/>
      <c r="X46" s="6">
        <f t="shared" si="22"/>
        <v>-340.7</v>
      </c>
      <c r="Y46" s="2"/>
      <c r="Z46" s="7">
        <f t="shared" si="23"/>
        <v>-0.87184605148677008</v>
      </c>
    </row>
    <row r="47" spans="1:26" s="24" customFormat="1" hidden="1" outlineLevel="2" x14ac:dyDescent="0.25">
      <c r="A47" s="26"/>
      <c r="B47" s="11" t="str">
        <f>CONCATENATE("          ", "6375", " - ", "OUTSIDE REPAIRS &amp; MAINTENANCE")</f>
        <v xml:space="preserve">          6375 - OUTSIDE REPAIRS &amp; MAINTENANCE</v>
      </c>
      <c r="C47" s="11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>
        <v>192.33</v>
      </c>
      <c r="Q47" s="2"/>
      <c r="R47" s="7">
        <f t="shared" si="20"/>
        <v>0</v>
      </c>
      <c r="S47" s="2"/>
      <c r="T47" s="6"/>
      <c r="U47" s="2"/>
      <c r="V47" s="7">
        <f t="shared" si="21"/>
        <v>0</v>
      </c>
      <c r="W47" s="2"/>
      <c r="X47" s="6">
        <f t="shared" si="22"/>
        <v>192.33</v>
      </c>
      <c r="Y47" s="2"/>
      <c r="Z47" s="7">
        <f t="shared" si="23"/>
        <v>0</v>
      </c>
    </row>
    <row r="48" spans="1:26" s="25" customFormat="1" outlineLevel="1" collapsed="1" x14ac:dyDescent="0.25">
      <c r="A48" s="27"/>
      <c r="B48" s="13" t="str">
        <f>CONCATENATE("     ","Supplies                                          ")</f>
        <v xml:space="preserve">     Supplies                                          </v>
      </c>
      <c r="C48" s="13"/>
      <c r="D48" s="1">
        <f>SUM(OSRRefD22_8x_0)</f>
        <v>319.49</v>
      </c>
      <c r="E48" s="1"/>
      <c r="F48" s="5">
        <f t="shared" ref="F48:F53" si="24">IF(D$12=0,0,D48/D$12)</f>
        <v>0</v>
      </c>
      <c r="G48" s="1"/>
      <c r="H48" s="1">
        <f>SUM(OSRRefH22_8x_0)</f>
        <v>48.13</v>
      </c>
      <c r="I48" s="1"/>
      <c r="J48" s="5">
        <f t="shared" ref="J48:J53" si="25">IF(H$12=0,0,H48/H$12)</f>
        <v>0</v>
      </c>
      <c r="K48" s="1"/>
      <c r="L48" s="1">
        <f t="shared" ref="L48:L53" si="26">+D48-H48</f>
        <v>271.36</v>
      </c>
      <c r="M48" s="1"/>
      <c r="N48" s="5">
        <f t="shared" ref="N48:N53" si="27">IF(H48=0,0,L48/H48)</f>
        <v>5.6380635778100974</v>
      </c>
      <c r="O48" s="13"/>
      <c r="P48" s="1">
        <f>SUM(OSRRefP22_8x_0)</f>
        <v>987.94999999999993</v>
      </c>
      <c r="Q48" s="1"/>
      <c r="R48" s="5">
        <f t="shared" ref="R48:R53" si="28">IF(P$12=0,0,P48/P$12)</f>
        <v>0</v>
      </c>
      <c r="S48" s="1"/>
      <c r="T48" s="1">
        <f>SUM(OSRRefT22_8x_0)</f>
        <v>2716.19</v>
      </c>
      <c r="U48" s="1"/>
      <c r="V48" s="5">
        <f t="shared" ref="V48:V53" si="29">IF(T$12=0,0,T48/T$12)</f>
        <v>0</v>
      </c>
      <c r="W48" s="1"/>
      <c r="X48" s="1">
        <f t="shared" ref="X48:X53" si="30">+P48-T48</f>
        <v>-1728.2400000000002</v>
      </c>
      <c r="Y48" s="1"/>
      <c r="Z48" s="5">
        <f t="shared" ref="Z48:Z53" si="31">IF(T48=0,0,X48/T48)</f>
        <v>-0.63627360383478337</v>
      </c>
    </row>
    <row r="49" spans="1:26" s="24" customFormat="1" hidden="1" outlineLevel="2" x14ac:dyDescent="0.25">
      <c r="A49" s="26"/>
      <c r="B49" s="11" t="str">
        <f>CONCATENATE("          ", "6234", " - ", "EXPENDABLE SUPPLIES &amp; EQUIPMEN")</f>
        <v xml:space="preserve">          6234 - EXPENDABLE SUPPLIES &amp; EQUIPMEN</v>
      </c>
      <c r="C49" s="11"/>
      <c r="D49" s="6"/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/>
      <c r="Q49" s="2"/>
      <c r="R49" s="7">
        <f t="shared" si="28"/>
        <v>0</v>
      </c>
      <c r="S49" s="2"/>
      <c r="T49" s="6">
        <v>858</v>
      </c>
      <c r="U49" s="2"/>
      <c r="V49" s="7">
        <f t="shared" si="29"/>
        <v>0</v>
      </c>
      <c r="W49" s="2"/>
      <c r="X49" s="6">
        <f t="shared" si="30"/>
        <v>-858</v>
      </c>
      <c r="Y49" s="2"/>
      <c r="Z49" s="7">
        <f t="shared" si="31"/>
        <v>-1</v>
      </c>
    </row>
    <row r="50" spans="1:26" s="24" customFormat="1" hidden="1" outlineLevel="2" x14ac:dyDescent="0.25">
      <c r="A50" s="26"/>
      <c r="B50" s="11" t="str">
        <f>CONCATENATE("          ", "6237", " - ", "JANITORIAL SUPPLIES")</f>
        <v xml:space="preserve">          6237 - JANITORIAL SUPPLIES</v>
      </c>
      <c r="C50" s="11"/>
      <c r="D50" s="6">
        <v>226.95</v>
      </c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226.95</v>
      </c>
      <c r="M50" s="2"/>
      <c r="N50" s="7">
        <f t="shared" si="27"/>
        <v>0</v>
      </c>
      <c r="O50" s="11"/>
      <c r="P50" s="6">
        <v>226.95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226.95</v>
      </c>
      <c r="Y50" s="2"/>
      <c r="Z50" s="7">
        <f t="shared" si="31"/>
        <v>0</v>
      </c>
    </row>
    <row r="51" spans="1:26" s="24" customFormat="1" hidden="1" outlineLevel="2" x14ac:dyDescent="0.25">
      <c r="A51" s="26"/>
      <c r="B51" s="11" t="str">
        <f>CONCATENATE("          ", "6241", " - ", "OFFICE EXPENSE")</f>
        <v xml:space="preserve">          6241 - OFFICE EXPENSE</v>
      </c>
      <c r="C51" s="11"/>
      <c r="D51" s="6">
        <v>92.54</v>
      </c>
      <c r="E51" s="2"/>
      <c r="F51" s="7">
        <f t="shared" si="24"/>
        <v>0</v>
      </c>
      <c r="G51" s="2"/>
      <c r="H51" s="6">
        <v>48.13</v>
      </c>
      <c r="I51" s="2"/>
      <c r="J51" s="7">
        <f t="shared" si="25"/>
        <v>0</v>
      </c>
      <c r="K51" s="2"/>
      <c r="L51" s="6">
        <f t="shared" si="26"/>
        <v>44.410000000000004</v>
      </c>
      <c r="M51" s="2"/>
      <c r="N51" s="7">
        <f t="shared" si="27"/>
        <v>0.92270932890089341</v>
      </c>
      <c r="O51" s="11"/>
      <c r="P51" s="6">
        <v>313.87</v>
      </c>
      <c r="Q51" s="2"/>
      <c r="R51" s="7">
        <f t="shared" si="28"/>
        <v>0</v>
      </c>
      <c r="S51" s="2"/>
      <c r="T51" s="6">
        <v>1068.21</v>
      </c>
      <c r="U51" s="2"/>
      <c r="V51" s="7">
        <f t="shared" si="29"/>
        <v>0</v>
      </c>
      <c r="W51" s="2"/>
      <c r="X51" s="6">
        <f t="shared" si="30"/>
        <v>-754.34</v>
      </c>
      <c r="Y51" s="2"/>
      <c r="Z51" s="7">
        <f t="shared" si="31"/>
        <v>-0.70617200737682662</v>
      </c>
    </row>
    <row r="52" spans="1:26" s="24" customFormat="1" hidden="1" outlineLevel="2" x14ac:dyDescent="0.25">
      <c r="A52" s="26"/>
      <c r="B52" s="11" t="str">
        <f>CONCATENATE("          ", "6245", " - ", "PRINTING")</f>
        <v xml:space="preserve">          6245 - PRINTING</v>
      </c>
      <c r="C52" s="11"/>
      <c r="D52" s="6"/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/>
      <c r="Q52" s="2"/>
      <c r="R52" s="7">
        <f t="shared" si="28"/>
        <v>0</v>
      </c>
      <c r="S52" s="2"/>
      <c r="T52" s="6">
        <v>4.0599999999999996</v>
      </c>
      <c r="U52" s="2"/>
      <c r="V52" s="7">
        <f t="shared" si="29"/>
        <v>0</v>
      </c>
      <c r="W52" s="2"/>
      <c r="X52" s="6">
        <f t="shared" si="30"/>
        <v>-4.0599999999999996</v>
      </c>
      <c r="Y52" s="2"/>
      <c r="Z52" s="7">
        <f t="shared" si="31"/>
        <v>-1</v>
      </c>
    </row>
    <row r="53" spans="1:26" s="24" customFormat="1" hidden="1" outlineLevel="2" x14ac:dyDescent="0.25">
      <c r="A53" s="26"/>
      <c r="B53" s="11" t="str">
        <f>CONCATENATE("          ", "6247", " - ", "STORE SUPPLIES")</f>
        <v xml:space="preserve">          6247 - STORE SUPPLIES</v>
      </c>
      <c r="C53" s="11"/>
      <c r="D53" s="6"/>
      <c r="E53" s="2"/>
      <c r="F53" s="7">
        <f t="shared" si="24"/>
        <v>0</v>
      </c>
      <c r="G53" s="2"/>
      <c r="H53" s="6"/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1"/>
      <c r="P53" s="6">
        <v>447.13</v>
      </c>
      <c r="Q53" s="2"/>
      <c r="R53" s="7">
        <f t="shared" si="28"/>
        <v>0</v>
      </c>
      <c r="S53" s="2"/>
      <c r="T53" s="6">
        <v>785.92</v>
      </c>
      <c r="U53" s="2"/>
      <c r="V53" s="7">
        <f t="shared" si="29"/>
        <v>0</v>
      </c>
      <c r="W53" s="2"/>
      <c r="X53" s="6">
        <f t="shared" si="30"/>
        <v>-338.78999999999996</v>
      </c>
      <c r="Y53" s="2"/>
      <c r="Z53" s="7">
        <f t="shared" si="31"/>
        <v>-0.43107440960912052</v>
      </c>
    </row>
    <row r="54" spans="1:26" s="25" customFormat="1" outlineLevel="1" collapsed="1" x14ac:dyDescent="0.25">
      <c r="A54" s="27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SUM(OSRRefD22_9x_0)</f>
        <v>159.35</v>
      </c>
      <c r="E54" s="1"/>
      <c r="F54" s="5">
        <f t="shared" ref="F54:F57" si="32">IF(D$12=0,0,D54/D$12)</f>
        <v>0</v>
      </c>
      <c r="G54" s="1"/>
      <c r="H54" s="1">
        <f>SUM(OSRRefH22_9x_0)</f>
        <v>166.65</v>
      </c>
      <c r="I54" s="1"/>
      <c r="J54" s="5">
        <f t="shared" ref="J54:J57" si="33">IF(H$12=0,0,H54/H$12)</f>
        <v>0</v>
      </c>
      <c r="K54" s="1"/>
      <c r="L54" s="1">
        <f t="shared" ref="L54:L57" si="34">+D54-H54</f>
        <v>-7.3000000000000114</v>
      </c>
      <c r="M54" s="1"/>
      <c r="N54" s="5">
        <f t="shared" ref="N54:N57" si="35">IF(H54=0,0,L54/H54)</f>
        <v>-4.3804380438043869E-2</v>
      </c>
      <c r="O54" s="13"/>
      <c r="P54" s="1">
        <f>SUM(OSRRefP22_9x_0)</f>
        <v>772.2</v>
      </c>
      <c r="Q54" s="1"/>
      <c r="R54" s="5">
        <f t="shared" ref="R54:R57" si="36">IF(P$12=0,0,P54/P$12)</f>
        <v>0</v>
      </c>
      <c r="S54" s="1"/>
      <c r="T54" s="1">
        <f>SUM(OSRRefT22_9x_0)</f>
        <v>760.6</v>
      </c>
      <c r="U54" s="1"/>
      <c r="V54" s="5">
        <f t="shared" ref="V54:V57" si="37">IF(T$12=0,0,T54/T$12)</f>
        <v>0</v>
      </c>
      <c r="W54" s="1"/>
      <c r="X54" s="1">
        <f t="shared" ref="X54:X57" si="38">+P54-T54</f>
        <v>11.600000000000023</v>
      </c>
      <c r="Y54" s="1"/>
      <c r="Z54" s="5">
        <f t="shared" ref="Z54:Z57" si="39">IF(T54=0,0,X54/T54)</f>
        <v>1.5251117538785199E-2</v>
      </c>
    </row>
    <row r="55" spans="1:26" s="24" customFormat="1" hidden="1" outlineLevel="2" x14ac:dyDescent="0.25">
      <c r="A55" s="26"/>
      <c r="B55" s="11" t="str">
        <f>CONCATENATE("          ", "6309", " - ", "TELEPHONE")</f>
        <v xml:space="preserve">          6309 - TELEPHONE</v>
      </c>
      <c r="C55" s="11"/>
      <c r="D55" s="6">
        <v>159.35</v>
      </c>
      <c r="E55" s="2"/>
      <c r="F55" s="7">
        <f t="shared" si="32"/>
        <v>0</v>
      </c>
      <c r="G55" s="2"/>
      <c r="H55" s="6">
        <v>166.65</v>
      </c>
      <c r="I55" s="2"/>
      <c r="J55" s="7">
        <f t="shared" si="33"/>
        <v>0</v>
      </c>
      <c r="K55" s="2"/>
      <c r="L55" s="6">
        <f t="shared" si="34"/>
        <v>-7.3000000000000114</v>
      </c>
      <c r="M55" s="2"/>
      <c r="N55" s="7">
        <f t="shared" si="35"/>
        <v>-4.3804380438043869E-2</v>
      </c>
      <c r="O55" s="11"/>
      <c r="P55" s="6">
        <v>772.2</v>
      </c>
      <c r="Q55" s="2"/>
      <c r="R55" s="7">
        <f t="shared" si="36"/>
        <v>0</v>
      </c>
      <c r="S55" s="2"/>
      <c r="T55" s="6">
        <v>760.6</v>
      </c>
      <c r="U55" s="2"/>
      <c r="V55" s="7">
        <f t="shared" si="37"/>
        <v>0</v>
      </c>
      <c r="W55" s="2"/>
      <c r="X55" s="6">
        <f t="shared" si="38"/>
        <v>11.600000000000023</v>
      </c>
      <c r="Y55" s="2"/>
      <c r="Z55" s="7">
        <f t="shared" si="39"/>
        <v>1.5251117538785199E-2</v>
      </c>
    </row>
    <row r="56" spans="1:26" s="25" customFormat="1" outlineLevel="1" collapsed="1" x14ac:dyDescent="0.25">
      <c r="A56" s="27"/>
      <c r="B56" s="13" t="str">
        <f>CONCATENATE("     ","Training                                          ")</f>
        <v xml:space="preserve">     Training                                          </v>
      </c>
      <c r="C56" s="13"/>
      <c r="D56" s="1">
        <f>SUM(OSRRefD22_10x_0)</f>
        <v>0</v>
      </c>
      <c r="E56" s="1"/>
      <c r="F56" s="5">
        <f t="shared" si="32"/>
        <v>0</v>
      </c>
      <c r="G56" s="1"/>
      <c r="H56" s="1">
        <f>SUM(OSRRefH22_10x_0)</f>
        <v>0</v>
      </c>
      <c r="I56" s="1"/>
      <c r="J56" s="5">
        <f t="shared" si="33"/>
        <v>0</v>
      </c>
      <c r="K56" s="1"/>
      <c r="L56" s="1">
        <f t="shared" si="34"/>
        <v>0</v>
      </c>
      <c r="M56" s="1"/>
      <c r="N56" s="5">
        <f t="shared" si="35"/>
        <v>0</v>
      </c>
      <c r="O56" s="13"/>
      <c r="P56" s="1">
        <f>SUM(OSRRefP22_10x_0)</f>
        <v>80</v>
      </c>
      <c r="Q56" s="1"/>
      <c r="R56" s="5">
        <f t="shared" si="36"/>
        <v>0</v>
      </c>
      <c r="S56" s="1"/>
      <c r="T56" s="1">
        <f>SUM(OSRRefT22_10x_0)</f>
        <v>470</v>
      </c>
      <c r="U56" s="1"/>
      <c r="V56" s="5">
        <f t="shared" si="37"/>
        <v>0</v>
      </c>
      <c r="W56" s="1"/>
      <c r="X56" s="1">
        <f t="shared" si="38"/>
        <v>-390</v>
      </c>
      <c r="Y56" s="1"/>
      <c r="Z56" s="5">
        <f t="shared" si="39"/>
        <v>-0.82978723404255317</v>
      </c>
    </row>
    <row r="57" spans="1:26" s="24" customFormat="1" hidden="1" outlineLevel="2" x14ac:dyDescent="0.25">
      <c r="A57" s="26"/>
      <c r="B57" s="11" t="str">
        <f>CONCATENATE("          ", "6376", " - ", "TRAINING")</f>
        <v xml:space="preserve">          6376 - TRAINING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>
        <v>80</v>
      </c>
      <c r="Q57" s="2"/>
      <c r="R57" s="7">
        <f t="shared" si="36"/>
        <v>0</v>
      </c>
      <c r="S57" s="2"/>
      <c r="T57" s="6">
        <v>470</v>
      </c>
      <c r="U57" s="2"/>
      <c r="V57" s="7">
        <f t="shared" si="37"/>
        <v>0</v>
      </c>
      <c r="W57" s="2"/>
      <c r="X57" s="6">
        <f t="shared" si="38"/>
        <v>-390</v>
      </c>
      <c r="Y57" s="2"/>
      <c r="Z57" s="7">
        <f t="shared" si="39"/>
        <v>-0.82978723404255317</v>
      </c>
    </row>
    <row r="58" spans="1:26" s="53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8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9" t="s">
        <v>3</v>
      </c>
      <c r="C61" s="29"/>
      <c r="D61" s="21">
        <f>+D16-D18+D59</f>
        <v>-26699.5</v>
      </c>
      <c r="E61" s="14"/>
      <c r="F61" s="20">
        <f>IF(D$12=0,0,D61/D$12)</f>
        <v>0</v>
      </c>
      <c r="G61" s="14"/>
      <c r="H61" s="21">
        <f>+H16-H18+H59</f>
        <v>-24688.470000000005</v>
      </c>
      <c r="I61" s="14"/>
      <c r="J61" s="20">
        <f>IF(H$12=0,0,H61/H$12)</f>
        <v>0</v>
      </c>
      <c r="K61" s="15"/>
      <c r="L61" s="21">
        <f>+D61-H61</f>
        <v>-2011.0299999999952</v>
      </c>
      <c r="M61" s="15"/>
      <c r="N61" s="20">
        <f>IF(H61=0,0,L61/H61)</f>
        <v>8.1456242529407238E-2</v>
      </c>
      <c r="O61" s="28"/>
      <c r="P61" s="21">
        <f>+P16-P18+P59</f>
        <v>-212465.28</v>
      </c>
      <c r="Q61" s="14"/>
      <c r="R61" s="20">
        <f>IF(P$12=0,0,P61/P$12)</f>
        <v>0</v>
      </c>
      <c r="S61" s="14"/>
      <c r="T61" s="21">
        <f>+T16-T18+T59</f>
        <v>-231053.72</v>
      </c>
      <c r="U61" s="14"/>
      <c r="V61" s="20">
        <f>IF(T$12=0,0,T61/T$12)</f>
        <v>0</v>
      </c>
      <c r="W61" s="15"/>
      <c r="X61" s="21">
        <f>+P61-T61</f>
        <v>18588.440000000002</v>
      </c>
      <c r="Y61" s="15"/>
      <c r="Z61" s="20">
        <f>IF(T61=0,0,X61/T61)</f>
        <v>-8.0450728081763859E-2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1"/>
      <c r="B63" s="10" t="s">
        <v>13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/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9" t="s">
        <v>4</v>
      </c>
      <c r="C65" s="29"/>
      <c r="D65" s="31">
        <f>+D61-D63</f>
        <v>-26699.5</v>
      </c>
      <c r="E65" s="14"/>
      <c r="F65" s="32">
        <f>IF(D$12=0,0,D65/D$12)</f>
        <v>0</v>
      </c>
      <c r="G65" s="14"/>
      <c r="H65" s="31">
        <f>+H61-H63</f>
        <v>-24688.470000000005</v>
      </c>
      <c r="I65" s="14"/>
      <c r="J65" s="32">
        <f>IF(H$12=0,0,H65/H$12)</f>
        <v>0</v>
      </c>
      <c r="K65" s="15"/>
      <c r="L65" s="31">
        <f>D65-H65</f>
        <v>-2011.0299999999952</v>
      </c>
      <c r="M65" s="15"/>
      <c r="N65" s="32">
        <f>IF(H65=0,0,L65/H65)</f>
        <v>8.1456242529407238E-2</v>
      </c>
      <c r="O65" s="28"/>
      <c r="P65" s="31">
        <f>+P61-P63</f>
        <v>-212465.28</v>
      </c>
      <c r="Q65" s="14"/>
      <c r="R65" s="32">
        <f>IF(P$12=0,0,P65/P$12)</f>
        <v>0</v>
      </c>
      <c r="S65" s="14"/>
      <c r="T65" s="31">
        <f>+T61-T63</f>
        <v>-231053.72</v>
      </c>
      <c r="U65" s="14"/>
      <c r="V65" s="32">
        <f>IF(T$12=0,0,T65/T$12)</f>
        <v>0</v>
      </c>
      <c r="W65" s="15"/>
      <c r="X65" s="31">
        <f>P65-T65</f>
        <v>18588.440000000002</v>
      </c>
      <c r="Y65" s="15"/>
      <c r="Z65" s="32">
        <f>IF(T65=0,0,X65/T65)</f>
        <v>-8.0450728081763859E-2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9" t="s">
        <v>5</v>
      </c>
      <c r="C68" s="29"/>
      <c r="D68" s="34">
        <f>SUM(D65:D67)</f>
        <v>-26699.5</v>
      </c>
      <c r="E68" s="14"/>
      <c r="F68" s="30">
        <f>IF(D$12=0,0,D68/D$12)</f>
        <v>0</v>
      </c>
      <c r="G68" s="14"/>
      <c r="H68" s="34">
        <f>SUM(H65:H67)</f>
        <v>-24688.470000000005</v>
      </c>
      <c r="I68" s="14"/>
      <c r="J68" s="30">
        <f>IF(H$12=0,0,H68/H$12)</f>
        <v>0</v>
      </c>
      <c r="K68" s="15"/>
      <c r="L68" s="34">
        <f>+D68-H68</f>
        <v>-2011.0299999999952</v>
      </c>
      <c r="M68" s="15"/>
      <c r="N68" s="30">
        <f>IF(H68=0,0,L68/H68)</f>
        <v>8.1456242529407238E-2</v>
      </c>
      <c r="O68" s="28"/>
      <c r="P68" s="34">
        <f>SUM(P65:P67)</f>
        <v>-212465.28</v>
      </c>
      <c r="Q68" s="14"/>
      <c r="R68" s="30">
        <f>IF(P$12=0,0,P68/P$12)</f>
        <v>0</v>
      </c>
      <c r="S68" s="14"/>
      <c r="T68" s="34">
        <f>SUM(T65:T67)</f>
        <v>-231053.72</v>
      </c>
      <c r="U68" s="14"/>
      <c r="V68" s="30">
        <f>IF(T$12=0,0,T68/T$12)</f>
        <v>0</v>
      </c>
      <c r="W68" s="15"/>
      <c r="X68" s="34">
        <f>+P68-T68</f>
        <v>18588.440000000002</v>
      </c>
      <c r="Y68" s="15"/>
      <c r="Z68" s="30">
        <f>IF(T68=0,0,X68/T68)</f>
        <v>-8.0450728081763859E-2</v>
      </c>
    </row>
    <row r="69" spans="1:26" ht="15.75" thickTop="1" x14ac:dyDescent="0.25">
      <c r="A69" s="9"/>
      <c r="C69" s="9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9">
        <v>43815.491697025464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62" t="s">
        <v>313</v>
      </c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61"/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304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65247.899999999987</v>
      </c>
      <c r="E12" s="4"/>
      <c r="F12" s="12"/>
      <c r="G12" s="4"/>
      <c r="H12" s="4">
        <f>SUM(OSRRefH13x_0)</f>
        <v>55083.30999999999</v>
      </c>
      <c r="I12" s="4"/>
      <c r="J12" s="12"/>
      <c r="K12" s="4"/>
      <c r="L12" s="4">
        <f t="shared" ref="L12:L50" si="0">+D12-H12</f>
        <v>10164.589999999997</v>
      </c>
      <c r="M12" s="4"/>
      <c r="N12" s="12">
        <f t="shared" ref="N12:N50" si="1">IF(H12=0,0,L12/H12)</f>
        <v>0.18453121281201146</v>
      </c>
      <c r="O12" s="10"/>
      <c r="P12" s="4">
        <f>SUM(OSRRefP13x_0)</f>
        <v>471780.86000000004</v>
      </c>
      <c r="Q12" s="4"/>
      <c r="R12" s="12"/>
      <c r="S12" s="4"/>
      <c r="T12" s="4">
        <f>SUM(OSRRefT13x_0)</f>
        <v>457819.95</v>
      </c>
      <c r="U12" s="4"/>
      <c r="V12" s="12"/>
      <c r="W12" s="4"/>
      <c r="X12" s="4">
        <f t="shared" ref="X12:X50" si="2">+P12-T12</f>
        <v>13960.910000000033</v>
      </c>
      <c r="Y12" s="4"/>
      <c r="Z12" s="12">
        <f t="shared" ref="Z12:Z50" si="3">IF(T12=0,0,X12/T12)</f>
        <v>3.0494324242532532E-2</v>
      </c>
    </row>
    <row r="13" spans="1:26" s="24" customFormat="1" hidden="1" outlineLevel="1" x14ac:dyDescent="0.25">
      <c r="A13" s="44"/>
      <c r="B13" s="11" t="str">
        <f>CONCATENATE("          ", "4013", " - ", "TAXABLE SALES-TRADE BOOKS")</f>
        <v xml:space="preserve">          4013 - TAXABLE SALES-TRADE BOOKS</v>
      </c>
      <c r="C13" s="11"/>
      <c r="D13" s="2">
        <f>0</f>
        <v>0</v>
      </c>
      <c r="E13" s="2"/>
      <c r="F13" s="19"/>
      <c r="G13" s="2"/>
      <c r="H13" s="2">
        <f>--69.25</f>
        <v>69.25</v>
      </c>
      <c r="I13" s="2"/>
      <c r="J13" s="19"/>
      <c r="K13" s="2"/>
      <c r="L13" s="2">
        <f t="shared" si="0"/>
        <v>-69.25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--69.25</f>
        <v>69.25</v>
      </c>
      <c r="U13" s="2"/>
      <c r="V13" s="19"/>
      <c r="W13" s="2"/>
      <c r="X13" s="2">
        <f t="shared" si="2"/>
        <v>-69.25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--5.49</f>
        <v>5.49</v>
      </c>
      <c r="E14" s="2"/>
      <c r="F14" s="19"/>
      <c r="G14" s="2"/>
      <c r="H14" s="2">
        <f>--10.44</f>
        <v>10.44</v>
      </c>
      <c r="I14" s="2"/>
      <c r="J14" s="19"/>
      <c r="K14" s="2"/>
      <c r="L14" s="2">
        <f t="shared" si="0"/>
        <v>-4.9499999999999993</v>
      </c>
      <c r="M14" s="2"/>
      <c r="N14" s="19">
        <f t="shared" si="1"/>
        <v>-0.47413793103448271</v>
      </c>
      <c r="O14" s="11"/>
      <c r="P14" s="2">
        <f>--231.16</f>
        <v>231.16</v>
      </c>
      <c r="Q14" s="2"/>
      <c r="R14" s="19"/>
      <c r="S14" s="2"/>
      <c r="T14" s="2">
        <f>--643.57</f>
        <v>643.57000000000005</v>
      </c>
      <c r="U14" s="2"/>
      <c r="V14" s="19"/>
      <c r="W14" s="2"/>
      <c r="X14" s="2">
        <f t="shared" si="2"/>
        <v>-412.41000000000008</v>
      </c>
      <c r="Y14" s="2"/>
      <c r="Z14" s="19">
        <f t="shared" si="3"/>
        <v>-0.64081607284366904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--3.98</f>
        <v>3.98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3.98</v>
      </c>
      <c r="M15" s="2"/>
      <c r="N15" s="19">
        <f t="shared" si="1"/>
        <v>0</v>
      </c>
      <c r="O15" s="11"/>
      <c r="P15" s="2">
        <f>--33.88</f>
        <v>33.880000000000003</v>
      </c>
      <c r="Q15" s="2"/>
      <c r="R15" s="19"/>
      <c r="S15" s="2"/>
      <c r="T15" s="2">
        <f>--54.48</f>
        <v>54.48</v>
      </c>
      <c r="U15" s="2"/>
      <c r="V15" s="19"/>
      <c r="W15" s="2"/>
      <c r="X15" s="2">
        <f t="shared" si="2"/>
        <v>-20.599999999999994</v>
      </c>
      <c r="Y15" s="2"/>
      <c r="Z15" s="19">
        <f t="shared" si="3"/>
        <v>-0.37812041116005868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--3212.68</f>
        <v>3212.68</v>
      </c>
      <c r="E16" s="2"/>
      <c r="F16" s="19"/>
      <c r="G16" s="2"/>
      <c r="H16" s="2">
        <f>--2857.44</f>
        <v>2857.44</v>
      </c>
      <c r="I16" s="2"/>
      <c r="J16" s="19"/>
      <c r="K16" s="2"/>
      <c r="L16" s="2">
        <f t="shared" si="0"/>
        <v>355.23999999999978</v>
      </c>
      <c r="M16" s="2"/>
      <c r="N16" s="19">
        <f t="shared" si="1"/>
        <v>0.12432107060865662</v>
      </c>
      <c r="O16" s="11"/>
      <c r="P16" s="2">
        <f>--29544.72</f>
        <v>29544.720000000001</v>
      </c>
      <c r="Q16" s="2"/>
      <c r="R16" s="19"/>
      <c r="S16" s="2"/>
      <c r="T16" s="2">
        <f>--28052.68</f>
        <v>28052.68</v>
      </c>
      <c r="U16" s="2"/>
      <c r="V16" s="19"/>
      <c r="W16" s="2"/>
      <c r="X16" s="2">
        <f t="shared" si="2"/>
        <v>1492.0400000000009</v>
      </c>
      <c r="Y16" s="2"/>
      <c r="Z16" s="19">
        <f t="shared" si="3"/>
        <v>5.3187075174279279E-2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--6586.5</f>
        <v>6586.5</v>
      </c>
      <c r="E17" s="2"/>
      <c r="F17" s="19"/>
      <c r="G17" s="2"/>
      <c r="H17" s="2">
        <f>--4700.57</f>
        <v>4700.57</v>
      </c>
      <c r="I17" s="2"/>
      <c r="J17" s="19"/>
      <c r="K17" s="2"/>
      <c r="L17" s="2">
        <f t="shared" si="0"/>
        <v>1885.9300000000003</v>
      </c>
      <c r="M17" s="2"/>
      <c r="N17" s="19">
        <f t="shared" si="1"/>
        <v>0.40121304437546945</v>
      </c>
      <c r="O17" s="11"/>
      <c r="P17" s="2">
        <f>--43550.76</f>
        <v>43550.76</v>
      </c>
      <c r="Q17" s="2"/>
      <c r="R17" s="19"/>
      <c r="S17" s="2"/>
      <c r="T17" s="2">
        <f>--37166.68</f>
        <v>37166.68</v>
      </c>
      <c r="U17" s="2"/>
      <c r="V17" s="19"/>
      <c r="W17" s="2"/>
      <c r="X17" s="2">
        <f t="shared" si="2"/>
        <v>6384.0800000000017</v>
      </c>
      <c r="Y17" s="2"/>
      <c r="Z17" s="19">
        <f t="shared" si="3"/>
        <v>0.17176890698873296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--10515.54</f>
        <v>10515.54</v>
      </c>
      <c r="E18" s="2"/>
      <c r="F18" s="19"/>
      <c r="G18" s="2"/>
      <c r="H18" s="2">
        <f>--9293.82</f>
        <v>9293.82</v>
      </c>
      <c r="I18" s="2"/>
      <c r="J18" s="19"/>
      <c r="K18" s="2"/>
      <c r="L18" s="2">
        <f t="shared" si="0"/>
        <v>1221.7200000000012</v>
      </c>
      <c r="M18" s="2"/>
      <c r="N18" s="19">
        <f t="shared" si="1"/>
        <v>0.13145509596699756</v>
      </c>
      <c r="O18" s="11"/>
      <c r="P18" s="2">
        <f>--154741.17</f>
        <v>154741.17000000001</v>
      </c>
      <c r="Q18" s="2"/>
      <c r="R18" s="19"/>
      <c r="S18" s="2"/>
      <c r="T18" s="2">
        <f>--141897.61</f>
        <v>141897.60999999999</v>
      </c>
      <c r="U18" s="2"/>
      <c r="V18" s="19"/>
      <c r="W18" s="2"/>
      <c r="X18" s="2">
        <f t="shared" si="2"/>
        <v>12843.560000000027</v>
      </c>
      <c r="Y18" s="2"/>
      <c r="Z18" s="19">
        <f t="shared" si="3"/>
        <v>9.0512870512759358E-2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--29388.04</f>
        <v>29388.04</v>
      </c>
      <c r="E19" s="2"/>
      <c r="F19" s="19"/>
      <c r="G19" s="2"/>
      <c r="H19" s="2">
        <f>--23523.68</f>
        <v>23523.68</v>
      </c>
      <c r="I19" s="2"/>
      <c r="J19" s="19"/>
      <c r="K19" s="2"/>
      <c r="L19" s="2">
        <f t="shared" si="0"/>
        <v>5864.3600000000006</v>
      </c>
      <c r="M19" s="2"/>
      <c r="N19" s="19">
        <f t="shared" si="1"/>
        <v>0.24929602851254568</v>
      </c>
      <c r="O19" s="11"/>
      <c r="P19" s="2">
        <f>--175952.71</f>
        <v>175952.71</v>
      </c>
      <c r="Q19" s="2"/>
      <c r="R19" s="19"/>
      <c r="S19" s="2"/>
      <c r="T19" s="2">
        <f>--178368.48</f>
        <v>178368.48</v>
      </c>
      <c r="U19" s="2"/>
      <c r="V19" s="19"/>
      <c r="W19" s="2"/>
      <c r="X19" s="2">
        <f t="shared" si="2"/>
        <v>-2415.7700000000186</v>
      </c>
      <c r="Y19" s="2"/>
      <c r="Z19" s="19">
        <f t="shared" si="3"/>
        <v>-1.3543704582782892E-2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--58.77</f>
        <v>58.77</v>
      </c>
      <c r="E20" s="2"/>
      <c r="F20" s="19"/>
      <c r="G20" s="2"/>
      <c r="H20" s="2">
        <f>--42.39</f>
        <v>42.39</v>
      </c>
      <c r="I20" s="2"/>
      <c r="J20" s="19"/>
      <c r="K20" s="2"/>
      <c r="L20" s="2">
        <f t="shared" si="0"/>
        <v>16.380000000000003</v>
      </c>
      <c r="M20" s="2"/>
      <c r="N20" s="19">
        <f t="shared" si="1"/>
        <v>0.38641188959660305</v>
      </c>
      <c r="O20" s="11"/>
      <c r="P20" s="2">
        <f>--280.05</f>
        <v>280.05</v>
      </c>
      <c r="Q20" s="2"/>
      <c r="R20" s="19"/>
      <c r="S20" s="2"/>
      <c r="T20" s="2">
        <f>--288.29</f>
        <v>288.29000000000002</v>
      </c>
      <c r="U20" s="2"/>
      <c r="V20" s="19"/>
      <c r="W20" s="2"/>
      <c r="X20" s="2">
        <f t="shared" si="2"/>
        <v>-8.2400000000000091</v>
      </c>
      <c r="Y20" s="2"/>
      <c r="Z20" s="19">
        <f t="shared" si="3"/>
        <v>-2.8582330292413919E-2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>--609.66</f>
        <v>609.66</v>
      </c>
      <c r="E21" s="2"/>
      <c r="F21" s="19"/>
      <c r="G21" s="2"/>
      <c r="H21" s="2">
        <f>--32.64</f>
        <v>32.64</v>
      </c>
      <c r="I21" s="2"/>
      <c r="J21" s="19"/>
      <c r="K21" s="2"/>
      <c r="L21" s="2">
        <f t="shared" si="0"/>
        <v>577.02</v>
      </c>
      <c r="M21" s="2"/>
      <c r="N21" s="19">
        <f t="shared" si="1"/>
        <v>17.678308823529409</v>
      </c>
      <c r="O21" s="11"/>
      <c r="P21" s="2">
        <f>--663.08</f>
        <v>663.08</v>
      </c>
      <c r="Q21" s="2"/>
      <c r="R21" s="19"/>
      <c r="S21" s="2"/>
      <c r="T21" s="2">
        <f>--215.94</f>
        <v>215.94</v>
      </c>
      <c r="U21" s="2"/>
      <c r="V21" s="19"/>
      <c r="W21" s="2"/>
      <c r="X21" s="2">
        <f t="shared" si="2"/>
        <v>447.14000000000004</v>
      </c>
      <c r="Y21" s="2"/>
      <c r="Z21" s="19">
        <f t="shared" si="3"/>
        <v>2.0706677780865057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>--23.21</f>
        <v>23.21</v>
      </c>
      <c r="E22" s="2"/>
      <c r="F22" s="19"/>
      <c r="G22" s="2"/>
      <c r="H22" s="2">
        <f>--18.59</f>
        <v>18.59</v>
      </c>
      <c r="I22" s="2"/>
      <c r="J22" s="19"/>
      <c r="K22" s="2"/>
      <c r="L22" s="2">
        <f t="shared" si="0"/>
        <v>4.620000000000001</v>
      </c>
      <c r="M22" s="2"/>
      <c r="N22" s="19">
        <f t="shared" si="1"/>
        <v>0.24852071005917165</v>
      </c>
      <c r="O22" s="11"/>
      <c r="P22" s="2">
        <f>--108.61</f>
        <v>108.61</v>
      </c>
      <c r="Q22" s="2"/>
      <c r="R22" s="19"/>
      <c r="S22" s="2"/>
      <c r="T22" s="2">
        <f>--92.26</f>
        <v>92.26</v>
      </c>
      <c r="U22" s="2"/>
      <c r="V22" s="19"/>
      <c r="W22" s="2"/>
      <c r="X22" s="2">
        <f t="shared" si="2"/>
        <v>16.349999999999994</v>
      </c>
      <c r="Y22" s="2"/>
      <c r="Z22" s="19">
        <f t="shared" si="3"/>
        <v>0.17721656189030993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>--1010.01</f>
        <v>1010.01</v>
      </c>
      <c r="E23" s="2"/>
      <c r="F23" s="19"/>
      <c r="G23" s="2"/>
      <c r="H23" s="2">
        <f>--731.07</f>
        <v>731.07</v>
      </c>
      <c r="I23" s="2"/>
      <c r="J23" s="19"/>
      <c r="K23" s="2"/>
      <c r="L23" s="2">
        <f t="shared" si="0"/>
        <v>278.93999999999994</v>
      </c>
      <c r="M23" s="2"/>
      <c r="N23" s="19">
        <f t="shared" si="1"/>
        <v>0.38155033033772406</v>
      </c>
      <c r="O23" s="11"/>
      <c r="P23" s="2">
        <f>--4724.25</f>
        <v>4724.25</v>
      </c>
      <c r="Q23" s="2"/>
      <c r="R23" s="19"/>
      <c r="S23" s="2"/>
      <c r="T23" s="2">
        <f>--3697.94</f>
        <v>3697.94</v>
      </c>
      <c r="U23" s="2"/>
      <c r="V23" s="19"/>
      <c r="W23" s="2"/>
      <c r="X23" s="2">
        <f t="shared" si="2"/>
        <v>1026.31</v>
      </c>
      <c r="Y23" s="2"/>
      <c r="Z23" s="19">
        <f t="shared" si="3"/>
        <v>0.27753560090212387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--269.24</f>
        <v>269.24</v>
      </c>
      <c r="E24" s="2"/>
      <c r="F24" s="19"/>
      <c r="G24" s="2"/>
      <c r="H24" s="2">
        <f>--245.92</f>
        <v>245.92</v>
      </c>
      <c r="I24" s="2"/>
      <c r="J24" s="19"/>
      <c r="K24" s="2"/>
      <c r="L24" s="2">
        <f t="shared" si="0"/>
        <v>23.320000000000022</v>
      </c>
      <c r="M24" s="2"/>
      <c r="N24" s="19">
        <f t="shared" si="1"/>
        <v>9.4827586206896644E-2</v>
      </c>
      <c r="O24" s="11"/>
      <c r="P24" s="2">
        <f>--1133.6</f>
        <v>1133.5999999999999</v>
      </c>
      <c r="Q24" s="2"/>
      <c r="R24" s="19"/>
      <c r="S24" s="2"/>
      <c r="T24" s="2">
        <f>--1389.93</f>
        <v>1389.93</v>
      </c>
      <c r="U24" s="2"/>
      <c r="V24" s="19"/>
      <c r="W24" s="2"/>
      <c r="X24" s="2">
        <f t="shared" si="2"/>
        <v>-256.33000000000015</v>
      </c>
      <c r="Y24" s="2"/>
      <c r="Z24" s="19">
        <f t="shared" si="3"/>
        <v>-0.18441935924830757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>--74.6</f>
        <v>74.599999999999994</v>
      </c>
      <c r="E25" s="2"/>
      <c r="F25" s="19"/>
      <c r="G25" s="2"/>
      <c r="H25" s="2">
        <f>--78.77</f>
        <v>78.77</v>
      </c>
      <c r="I25" s="2"/>
      <c r="J25" s="19"/>
      <c r="K25" s="2"/>
      <c r="L25" s="2">
        <f t="shared" si="0"/>
        <v>-4.1700000000000017</v>
      </c>
      <c r="M25" s="2"/>
      <c r="N25" s="19">
        <f t="shared" si="1"/>
        <v>-5.2938936143201748E-2</v>
      </c>
      <c r="O25" s="11"/>
      <c r="P25" s="2">
        <f>--377.17</f>
        <v>377.17</v>
      </c>
      <c r="Q25" s="2"/>
      <c r="R25" s="19"/>
      <c r="S25" s="2"/>
      <c r="T25" s="2">
        <f>--381.85</f>
        <v>381.85</v>
      </c>
      <c r="U25" s="2"/>
      <c r="V25" s="19"/>
      <c r="W25" s="2"/>
      <c r="X25" s="2">
        <f t="shared" si="2"/>
        <v>-4.6800000000000068</v>
      </c>
      <c r="Y25" s="2"/>
      <c r="Z25" s="19">
        <f t="shared" si="3"/>
        <v>-1.2256121513683401E-2</v>
      </c>
    </row>
    <row r="26" spans="1:26" s="24" customFormat="1" hidden="1" outlineLevel="1" x14ac:dyDescent="0.25">
      <c r="A26" s="44"/>
      <c r="B26" s="11" t="str">
        <f>CONCATENATE("          ", "4042", " - ", "TAXABLE SALES-EVERYDAY GIFTS")</f>
        <v xml:space="preserve">          4042 - TAXABLE SALES-EVERYDAY GIFTS</v>
      </c>
      <c r="C26" s="11"/>
      <c r="D26" s="2">
        <f>0</f>
        <v>0</v>
      </c>
      <c r="E26" s="2"/>
      <c r="F26" s="19"/>
      <c r="G26" s="2"/>
      <c r="H26" s="2">
        <f>--39.95</f>
        <v>39.950000000000003</v>
      </c>
      <c r="I26" s="2"/>
      <c r="J26" s="19"/>
      <c r="K26" s="2"/>
      <c r="L26" s="2">
        <f t="shared" si="0"/>
        <v>-39.950000000000003</v>
      </c>
      <c r="M26" s="2"/>
      <c r="N26" s="19">
        <f t="shared" si="1"/>
        <v>-1</v>
      </c>
      <c r="O26" s="11"/>
      <c r="P26" s="2">
        <f>0</f>
        <v>0</v>
      </c>
      <c r="Q26" s="2"/>
      <c r="R26" s="19"/>
      <c r="S26" s="2"/>
      <c r="T26" s="2">
        <f>--504.33</f>
        <v>504.33</v>
      </c>
      <c r="U26" s="2"/>
      <c r="V26" s="19"/>
      <c r="W26" s="2"/>
      <c r="X26" s="2">
        <f t="shared" si="2"/>
        <v>-504.33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"4081", " - ", "TAXABLE SALES-ELECTRONICS")</f>
        <v xml:space="preserve">          4081 - TAXABLE SALES-ELECTRONICS</v>
      </c>
      <c r="C27" s="11"/>
      <c r="D27" s="2">
        <f>--430.76</f>
        <v>430.76</v>
      </c>
      <c r="E27" s="2"/>
      <c r="F27" s="19"/>
      <c r="G27" s="2"/>
      <c r="H27" s="2">
        <f>--382.68</f>
        <v>382.68</v>
      </c>
      <c r="I27" s="2"/>
      <c r="J27" s="19"/>
      <c r="K27" s="2"/>
      <c r="L27" s="2">
        <f t="shared" si="0"/>
        <v>48.079999999999984</v>
      </c>
      <c r="M27" s="2"/>
      <c r="N27" s="19">
        <f t="shared" si="1"/>
        <v>0.12564022159506633</v>
      </c>
      <c r="O27" s="11"/>
      <c r="P27" s="2">
        <f>--2223.67</f>
        <v>2223.67</v>
      </c>
      <c r="Q27" s="2"/>
      <c r="R27" s="19"/>
      <c r="S27" s="2"/>
      <c r="T27" s="2">
        <f>--2582.14</f>
        <v>2582.14</v>
      </c>
      <c r="U27" s="2"/>
      <c r="V27" s="19"/>
      <c r="W27" s="2"/>
      <c r="X27" s="2">
        <f t="shared" si="2"/>
        <v>-358.4699999999998</v>
      </c>
      <c r="Y27" s="2"/>
      <c r="Z27" s="19">
        <f t="shared" si="3"/>
        <v>-0.13882670962844765</v>
      </c>
    </row>
    <row r="28" spans="1:26" s="24" customFormat="1" hidden="1" outlineLevel="1" x14ac:dyDescent="0.25">
      <c r="A28" s="44"/>
      <c r="B28" s="11" t="str">
        <f>CONCATENATE("          ", "4082", " - ", "TAXABLE SALES-COMPUTER HARDWAR")</f>
        <v xml:space="preserve">          4082 - TAXABLE SALES-COMPUTER HARDWAR</v>
      </c>
      <c r="C28" s="11"/>
      <c r="D28" s="2">
        <f>0</f>
        <v>0</v>
      </c>
      <c r="E28" s="2"/>
      <c r="F28" s="19"/>
      <c r="G28" s="2"/>
      <c r="H28" s="2">
        <f>--58</f>
        <v>58</v>
      </c>
      <c r="I28" s="2"/>
      <c r="J28" s="19"/>
      <c r="K28" s="2"/>
      <c r="L28" s="2">
        <f t="shared" si="0"/>
        <v>-58</v>
      </c>
      <c r="M28" s="2"/>
      <c r="N28" s="19">
        <f t="shared" si="1"/>
        <v>-1</v>
      </c>
      <c r="O28" s="11"/>
      <c r="P28" s="2">
        <f>--162</f>
        <v>162</v>
      </c>
      <c r="Q28" s="2"/>
      <c r="R28" s="19"/>
      <c r="S28" s="2"/>
      <c r="T28" s="2">
        <f>--366</f>
        <v>366</v>
      </c>
      <c r="U28" s="2"/>
      <c r="V28" s="19"/>
      <c r="W28" s="2"/>
      <c r="X28" s="2">
        <f t="shared" si="2"/>
        <v>-204</v>
      </c>
      <c r="Y28" s="2"/>
      <c r="Z28" s="19">
        <f t="shared" si="3"/>
        <v>-0.55737704918032782</v>
      </c>
    </row>
    <row r="29" spans="1:26" s="24" customFormat="1" hidden="1" outlineLevel="1" x14ac:dyDescent="0.25">
      <c r="A29" s="44"/>
      <c r="B29" s="11" t="str">
        <f>CONCATENATE("          ", "4083", " - ", "TAXABLE SALES-COMPUTER EQUIPME")</f>
        <v xml:space="preserve">          4083 - TAXABLE SALES-COMPUTER EQUIPME</v>
      </c>
      <c r="C29" s="11"/>
      <c r="D29" s="2">
        <f>--139.91</f>
        <v>139.91</v>
      </c>
      <c r="E29" s="2"/>
      <c r="F29" s="19"/>
      <c r="G29" s="2"/>
      <c r="H29" s="2">
        <f>--49.95</f>
        <v>49.95</v>
      </c>
      <c r="I29" s="2"/>
      <c r="J29" s="19"/>
      <c r="K29" s="2"/>
      <c r="L29" s="2">
        <f t="shared" si="0"/>
        <v>89.96</v>
      </c>
      <c r="M29" s="2"/>
      <c r="N29" s="19">
        <f t="shared" si="1"/>
        <v>1.8010010010010007</v>
      </c>
      <c r="O29" s="11"/>
      <c r="P29" s="2">
        <f>--569.6</f>
        <v>569.6</v>
      </c>
      <c r="Q29" s="2"/>
      <c r="R29" s="19"/>
      <c r="S29" s="2"/>
      <c r="T29" s="2">
        <f>--689.44</f>
        <v>689.44</v>
      </c>
      <c r="U29" s="2"/>
      <c r="V29" s="19"/>
      <c r="W29" s="2"/>
      <c r="X29" s="2">
        <f t="shared" si="2"/>
        <v>-119.84000000000003</v>
      </c>
      <c r="Y29" s="2"/>
      <c r="Z29" s="19">
        <f t="shared" si="3"/>
        <v>-0.17382223253655144</v>
      </c>
    </row>
    <row r="30" spans="1:26" s="24" customFormat="1" hidden="1" outlineLevel="1" x14ac:dyDescent="0.25">
      <c r="A30" s="44"/>
      <c r="B30" s="11" t="str">
        <f>CONCATENATE("          ", "4086", " - ", "TAXABLE SALES-COMPUTER SUPPLIE")</f>
        <v xml:space="preserve">          4086 - TAXABLE SALES-COMPUTER SUPPLIE</v>
      </c>
      <c r="C30" s="11"/>
      <c r="D30" s="2">
        <f>--105</f>
        <v>105</v>
      </c>
      <c r="E30" s="2"/>
      <c r="F30" s="19"/>
      <c r="G30" s="2"/>
      <c r="H30" s="2">
        <f>--124.91</f>
        <v>124.91</v>
      </c>
      <c r="I30" s="2"/>
      <c r="J30" s="19"/>
      <c r="K30" s="2"/>
      <c r="L30" s="2">
        <f t="shared" si="0"/>
        <v>-19.909999999999997</v>
      </c>
      <c r="M30" s="2"/>
      <c r="N30" s="19">
        <f t="shared" si="1"/>
        <v>-0.15939476423024576</v>
      </c>
      <c r="O30" s="11"/>
      <c r="P30" s="2">
        <f>--639.79</f>
        <v>639.79</v>
      </c>
      <c r="Q30" s="2"/>
      <c r="R30" s="19"/>
      <c r="S30" s="2"/>
      <c r="T30" s="2">
        <f>--1095.4</f>
        <v>1095.4000000000001</v>
      </c>
      <c r="U30" s="2"/>
      <c r="V30" s="19"/>
      <c r="W30" s="2"/>
      <c r="X30" s="2">
        <f t="shared" si="2"/>
        <v>-455.61000000000013</v>
      </c>
      <c r="Y30" s="2"/>
      <c r="Z30" s="19">
        <f t="shared" si="3"/>
        <v>-0.41593025378857046</v>
      </c>
    </row>
    <row r="31" spans="1:26" s="24" customFormat="1" hidden="1" outlineLevel="1" x14ac:dyDescent="0.25">
      <c r="A31" s="44"/>
      <c r="B31" s="11" t="str">
        <f>CONCATENATE("          ", "4125", " - ", "NON-TAXABLE SALES-TEST FORMS")</f>
        <v xml:space="preserve">          4125 - NON-TAXABLE SALES-TEST FORMS</v>
      </c>
      <c r="C31" s="11"/>
      <c r="D31" s="2">
        <f>0</f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--124.18</f>
        <v>124.18</v>
      </c>
      <c r="Q31" s="2"/>
      <c r="R31" s="19"/>
      <c r="S31" s="2"/>
      <c r="T31" s="2">
        <f>--160.73</f>
        <v>160.72999999999999</v>
      </c>
      <c r="U31" s="2"/>
      <c r="V31" s="19"/>
      <c r="W31" s="2"/>
      <c r="X31" s="2">
        <f t="shared" si="2"/>
        <v>-36.549999999999983</v>
      </c>
      <c r="Y31" s="2"/>
      <c r="Z31" s="19">
        <f t="shared" si="3"/>
        <v>-0.22739998755677213</v>
      </c>
    </row>
    <row r="32" spans="1:26" s="24" customFormat="1" hidden="1" outlineLevel="1" x14ac:dyDescent="0.25">
      <c r="A32" s="44"/>
      <c r="B32" s="11" t="str">
        <f>CONCATENATE("          ", "4126", " - ", "NON-TAXABLE SALES-WRITING INST")</f>
        <v xml:space="preserve">          4126 - NON-TAXABLE SALES-WRITING INST</v>
      </c>
      <c r="C32" s="11"/>
      <c r="D32" s="2">
        <f>--11.85</f>
        <v>11.85</v>
      </c>
      <c r="E32" s="2"/>
      <c r="F32" s="19"/>
      <c r="G32" s="2"/>
      <c r="H32" s="2">
        <f>--20.81</f>
        <v>20.81</v>
      </c>
      <c r="I32" s="2"/>
      <c r="J32" s="19"/>
      <c r="K32" s="2"/>
      <c r="L32" s="2">
        <f t="shared" si="0"/>
        <v>-8.9599999999999991</v>
      </c>
      <c r="M32" s="2"/>
      <c r="N32" s="19">
        <f t="shared" si="1"/>
        <v>-0.43056222969726093</v>
      </c>
      <c r="O32" s="11"/>
      <c r="P32" s="2">
        <f>--1470.38</f>
        <v>1470.38</v>
      </c>
      <c r="Q32" s="2"/>
      <c r="R32" s="19"/>
      <c r="S32" s="2"/>
      <c r="T32" s="2">
        <f>--1812.69</f>
        <v>1812.69</v>
      </c>
      <c r="U32" s="2"/>
      <c r="V32" s="19"/>
      <c r="W32" s="2"/>
      <c r="X32" s="2">
        <f t="shared" si="2"/>
        <v>-342.30999999999995</v>
      </c>
      <c r="Y32" s="2"/>
      <c r="Z32" s="19">
        <f t="shared" si="3"/>
        <v>-0.18884089392008557</v>
      </c>
    </row>
    <row r="33" spans="1:26" s="24" customFormat="1" hidden="1" outlineLevel="1" x14ac:dyDescent="0.25">
      <c r="A33" s="44"/>
      <c r="B33" s="11" t="str">
        <f>CONCATENATE("          ", "4127", " - ", "NON-TAXABLE SALES-SCHOOL SUPPL")</f>
        <v xml:space="preserve">          4127 - NON-TAXABLE SALES-SCHOOL SUPPL</v>
      </c>
      <c r="C33" s="11"/>
      <c r="D33" s="2">
        <f>--6.28</f>
        <v>6.28</v>
      </c>
      <c r="E33" s="2"/>
      <c r="F33" s="19"/>
      <c r="G33" s="2"/>
      <c r="H33" s="2">
        <f>--2449.78</f>
        <v>2449.7800000000002</v>
      </c>
      <c r="I33" s="2"/>
      <c r="J33" s="19"/>
      <c r="K33" s="2"/>
      <c r="L33" s="2">
        <f t="shared" si="0"/>
        <v>-2443.5</v>
      </c>
      <c r="M33" s="2"/>
      <c r="N33" s="19">
        <f t="shared" si="1"/>
        <v>-0.99743650450244503</v>
      </c>
      <c r="O33" s="11"/>
      <c r="P33" s="2">
        <f>--2603.4</f>
        <v>2603.4</v>
      </c>
      <c r="Q33" s="2"/>
      <c r="R33" s="19"/>
      <c r="S33" s="2"/>
      <c r="T33" s="2">
        <f>--8725.3</f>
        <v>8725.2999999999993</v>
      </c>
      <c r="U33" s="2"/>
      <c r="V33" s="19"/>
      <c r="W33" s="2"/>
      <c r="X33" s="2">
        <f t="shared" si="2"/>
        <v>-6121.9</v>
      </c>
      <c r="Y33" s="2"/>
      <c r="Z33" s="19">
        <f t="shared" si="3"/>
        <v>-0.70162630511271817</v>
      </c>
    </row>
    <row r="34" spans="1:26" s="24" customFormat="1" hidden="1" outlineLevel="1" x14ac:dyDescent="0.25">
      <c r="A34" s="44"/>
      <c r="B34" s="11" t="str">
        <f>CONCATENATE("          ", "4128", " - ", "NON-TAXABLE SALES-ART/TECH")</f>
        <v xml:space="preserve">          4128 - NON-TAXABLE SALES-ART/TECH</v>
      </c>
      <c r="C34" s="11"/>
      <c r="D34" s="2">
        <f>0</f>
        <v>0</v>
      </c>
      <c r="E34" s="2"/>
      <c r="F34" s="19"/>
      <c r="G34" s="2"/>
      <c r="H34" s="2">
        <f>--1.49</f>
        <v>1.49</v>
      </c>
      <c r="I34" s="2"/>
      <c r="J34" s="19"/>
      <c r="K34" s="2"/>
      <c r="L34" s="2">
        <f t="shared" si="0"/>
        <v>-1.49</v>
      </c>
      <c r="M34" s="2"/>
      <c r="N34" s="19">
        <f t="shared" si="1"/>
        <v>-1</v>
      </c>
      <c r="O34" s="11"/>
      <c r="P34" s="2">
        <f>--348.72</f>
        <v>348.72</v>
      </c>
      <c r="Q34" s="2"/>
      <c r="R34" s="19"/>
      <c r="S34" s="2"/>
      <c r="T34" s="2">
        <f>--625.7</f>
        <v>625.70000000000005</v>
      </c>
      <c r="U34" s="2"/>
      <c r="V34" s="19"/>
      <c r="W34" s="2"/>
      <c r="X34" s="2">
        <f t="shared" si="2"/>
        <v>-276.98</v>
      </c>
      <c r="Y34" s="2"/>
      <c r="Z34" s="19">
        <f t="shared" si="3"/>
        <v>-0.44267220712801664</v>
      </c>
    </row>
    <row r="35" spans="1:26" s="24" customFormat="1" hidden="1" outlineLevel="1" x14ac:dyDescent="0.25">
      <c r="A35" s="44"/>
      <c r="B35" s="11" t="str">
        <f>CONCATENATE("          ", "4131", " - ", "NON-TAXABLE SALES-FOOD")</f>
        <v xml:space="preserve">          4131 - NON-TAXABLE SALES-FOOD</v>
      </c>
      <c r="C35" s="11"/>
      <c r="D35" s="2">
        <f>--8305.09</f>
        <v>8305.09</v>
      </c>
      <c r="E35" s="2"/>
      <c r="F35" s="19"/>
      <c r="G35" s="2"/>
      <c r="H35" s="2">
        <f>--6730.02</f>
        <v>6730.02</v>
      </c>
      <c r="I35" s="2"/>
      <c r="J35" s="19"/>
      <c r="K35" s="2"/>
      <c r="L35" s="2">
        <f t="shared" si="0"/>
        <v>1575.0699999999997</v>
      </c>
      <c r="M35" s="2"/>
      <c r="N35" s="19">
        <f t="shared" si="1"/>
        <v>0.23403645160044095</v>
      </c>
      <c r="O35" s="11"/>
      <c r="P35" s="2">
        <f>--35027.51</f>
        <v>35027.51</v>
      </c>
      <c r="Q35" s="2"/>
      <c r="R35" s="19"/>
      <c r="S35" s="2"/>
      <c r="T35" s="2">
        <f>--33524.19</f>
        <v>33524.19</v>
      </c>
      <c r="U35" s="2"/>
      <c r="V35" s="19"/>
      <c r="W35" s="2"/>
      <c r="X35" s="2">
        <f t="shared" si="2"/>
        <v>1503.3199999999997</v>
      </c>
      <c r="Y35" s="2"/>
      <c r="Z35" s="19">
        <f t="shared" si="3"/>
        <v>4.4842843331934334E-2</v>
      </c>
    </row>
    <row r="36" spans="1:26" s="24" customFormat="1" hidden="1" outlineLevel="1" x14ac:dyDescent="0.25">
      <c r="A36" s="44"/>
      <c r="B36" s="11" t="str">
        <f>CONCATENATE("          ", "4132", " - ", "NON-TAXABLE SALES-JUICE")</f>
        <v xml:space="preserve">          4132 - NON-TAXABLE SALES-JUICE</v>
      </c>
      <c r="C36" s="11"/>
      <c r="D36" s="2">
        <f>--2505.59</f>
        <v>2505.59</v>
      </c>
      <c r="E36" s="2"/>
      <c r="F36" s="19"/>
      <c r="G36" s="2"/>
      <c r="H36" s="2">
        <f>--1795.11</f>
        <v>1795.11</v>
      </c>
      <c r="I36" s="2"/>
      <c r="J36" s="19"/>
      <c r="K36" s="2"/>
      <c r="L36" s="2">
        <f t="shared" si="0"/>
        <v>710.48000000000025</v>
      </c>
      <c r="M36" s="2"/>
      <c r="N36" s="19">
        <f t="shared" si="1"/>
        <v>0.39578633064269059</v>
      </c>
      <c r="O36" s="11"/>
      <c r="P36" s="2">
        <f>--10274.39</f>
        <v>10274.39</v>
      </c>
      <c r="Q36" s="2"/>
      <c r="R36" s="19"/>
      <c r="S36" s="2"/>
      <c r="T36" s="2">
        <f>--8636.19</f>
        <v>8636.19</v>
      </c>
      <c r="U36" s="2"/>
      <c r="V36" s="19"/>
      <c r="W36" s="2"/>
      <c r="X36" s="2">
        <f t="shared" si="2"/>
        <v>1638.1999999999989</v>
      </c>
      <c r="Y36" s="2"/>
      <c r="Z36" s="19">
        <f t="shared" si="3"/>
        <v>0.18969012955944681</v>
      </c>
    </row>
    <row r="37" spans="1:26" s="24" customFormat="1" hidden="1" outlineLevel="1" x14ac:dyDescent="0.25">
      <c r="A37" s="44"/>
      <c r="B37" s="11" t="str">
        <f>CONCATENATE("          ", "4133", " - ", "NON-TAXABLE SALES-CANDY")</f>
        <v xml:space="preserve">          4133 - NON-TAXABLE SALES-CANDY</v>
      </c>
      <c r="C37" s="11"/>
      <c r="D37" s="2">
        <f>--2349.7</f>
        <v>2349.6999999999998</v>
      </c>
      <c r="E37" s="2"/>
      <c r="F37" s="19"/>
      <c r="G37" s="2"/>
      <c r="H37" s="2">
        <f>--1690.3</f>
        <v>1690.3</v>
      </c>
      <c r="I37" s="2"/>
      <c r="J37" s="19"/>
      <c r="K37" s="2"/>
      <c r="L37" s="2">
        <f t="shared" si="0"/>
        <v>659.39999999999986</v>
      </c>
      <c r="M37" s="2"/>
      <c r="N37" s="19">
        <f t="shared" si="1"/>
        <v>0.39010826480506411</v>
      </c>
      <c r="O37" s="11"/>
      <c r="P37" s="2">
        <f>--10816.56</f>
        <v>10816.56</v>
      </c>
      <c r="Q37" s="2"/>
      <c r="R37" s="19"/>
      <c r="S37" s="2"/>
      <c r="T37" s="2">
        <f>--8906.29</f>
        <v>8906.2900000000009</v>
      </c>
      <c r="U37" s="2"/>
      <c r="V37" s="19"/>
      <c r="W37" s="2"/>
      <c r="X37" s="2">
        <f t="shared" si="2"/>
        <v>1910.2699999999986</v>
      </c>
      <c r="Y37" s="2"/>
      <c r="Z37" s="19">
        <f t="shared" si="3"/>
        <v>0.21448549283708462</v>
      </c>
    </row>
    <row r="38" spans="1:26" s="24" customFormat="1" hidden="1" outlineLevel="1" x14ac:dyDescent="0.25">
      <c r="A38" s="44"/>
      <c r="B38" s="11" t="str">
        <f>CONCATENATE("          ", "4134", " - ", "NON-TAXABLE SALES-SODA")</f>
        <v xml:space="preserve">          4134 - NON-TAXABLE SALES-SODA</v>
      </c>
      <c r="C38" s="11"/>
      <c r="D38" s="2">
        <f>0</f>
        <v>0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0</f>
        <v>0</v>
      </c>
      <c r="Q38" s="2"/>
      <c r="R38" s="19"/>
      <c r="S38" s="2"/>
      <c r="T38" s="2">
        <f>--109.47</f>
        <v>109.47</v>
      </c>
      <c r="U38" s="2"/>
      <c r="V38" s="19"/>
      <c r="W38" s="2"/>
      <c r="X38" s="2">
        <f t="shared" si="2"/>
        <v>-109.47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"4135", " - ", "NON-TAXABLE SALES")</f>
        <v xml:space="preserve">          4135 - NON-TAXABLE SALES</v>
      </c>
      <c r="C39" s="11"/>
      <c r="D39" s="2">
        <f>--10.77</f>
        <v>10.77</v>
      </c>
      <c r="E39" s="2"/>
      <c r="F39" s="19"/>
      <c r="G39" s="2"/>
      <c r="H39" s="2">
        <f>--14.36</f>
        <v>14.36</v>
      </c>
      <c r="I39" s="2"/>
      <c r="J39" s="19"/>
      <c r="K39" s="2"/>
      <c r="L39" s="2">
        <f t="shared" si="0"/>
        <v>-3.59</v>
      </c>
      <c r="M39" s="2"/>
      <c r="N39" s="19">
        <f t="shared" si="1"/>
        <v>-0.25</v>
      </c>
      <c r="O39" s="11"/>
      <c r="P39" s="2">
        <f>--114.73</f>
        <v>114.73</v>
      </c>
      <c r="Q39" s="2"/>
      <c r="R39" s="19"/>
      <c r="S39" s="2"/>
      <c r="T39" s="2">
        <f>--123.42</f>
        <v>123.42</v>
      </c>
      <c r="U39" s="2"/>
      <c r="V39" s="19"/>
      <c r="W39" s="2"/>
      <c r="X39" s="2">
        <f t="shared" si="2"/>
        <v>-8.6899999999999977</v>
      </c>
      <c r="Y39" s="2"/>
      <c r="Z39" s="19">
        <f t="shared" si="3"/>
        <v>-7.0409982174688038E-2</v>
      </c>
    </row>
    <row r="40" spans="1:26" s="24" customFormat="1" hidden="1" outlineLevel="1" x14ac:dyDescent="0.25">
      <c r="A40" s="44"/>
      <c r="B40" s="11" t="str">
        <f>CONCATENATE("          ", "4137", " - ", "NON-TAXABLE SALES-WATER")</f>
        <v xml:space="preserve">          4137 - NON-TAXABLE SALES-WATER</v>
      </c>
      <c r="C40" s="11"/>
      <c r="D40" s="2">
        <f>--1022.54</f>
        <v>1022.54</v>
      </c>
      <c r="E40" s="2"/>
      <c r="F40" s="19"/>
      <c r="G40" s="2"/>
      <c r="H40" s="2">
        <f>--952.1</f>
        <v>952.1</v>
      </c>
      <c r="I40" s="2"/>
      <c r="J40" s="19"/>
      <c r="K40" s="2"/>
      <c r="L40" s="2">
        <f t="shared" si="0"/>
        <v>70.439999999999941</v>
      </c>
      <c r="M40" s="2"/>
      <c r="N40" s="19">
        <f t="shared" si="1"/>
        <v>7.3983825228442324E-2</v>
      </c>
      <c r="O40" s="11"/>
      <c r="P40" s="2">
        <f>--5202.34</f>
        <v>5202.34</v>
      </c>
      <c r="Q40" s="2"/>
      <c r="R40" s="19"/>
      <c r="S40" s="2"/>
      <c r="T40" s="2">
        <f>--4724.96</f>
        <v>4724.96</v>
      </c>
      <c r="U40" s="2"/>
      <c r="V40" s="19"/>
      <c r="W40" s="2"/>
      <c r="X40" s="2">
        <f t="shared" si="2"/>
        <v>477.38000000000011</v>
      </c>
      <c r="Y40" s="2"/>
      <c r="Z40" s="19">
        <f t="shared" si="3"/>
        <v>0.1010336595442078</v>
      </c>
    </row>
    <row r="41" spans="1:26" s="24" customFormat="1" hidden="1" outlineLevel="1" x14ac:dyDescent="0.25">
      <c r="A41" s="44"/>
      <c r="B41" s="11" t="str">
        <f>CONCATENATE("          ", "4186", " - ", "NON-TAXABLE SALES-COMPUTER SUP")</f>
        <v xml:space="preserve">          4186 - NON-TAXABLE SALES-COMPUTER SUP</v>
      </c>
      <c r="C41" s="11"/>
      <c r="D41" s="2">
        <f t="shared" ref="D41:D42" si="4">0</f>
        <v>0</v>
      </c>
      <c r="E41" s="2"/>
      <c r="F41" s="19"/>
      <c r="G41" s="2"/>
      <c r="H41" s="2">
        <f>-14.99</f>
        <v>-14.99</v>
      </c>
      <c r="I41" s="2"/>
      <c r="J41" s="19"/>
      <c r="K41" s="2"/>
      <c r="L41" s="2">
        <f t="shared" si="0"/>
        <v>14.99</v>
      </c>
      <c r="M41" s="2"/>
      <c r="N41" s="19">
        <f t="shared" si="1"/>
        <v>-1</v>
      </c>
      <c r="O41" s="11"/>
      <c r="P41" s="2">
        <f>-30.97</f>
        <v>-30.97</v>
      </c>
      <c r="Q41" s="2"/>
      <c r="R41" s="19"/>
      <c r="S41" s="2"/>
      <c r="T41" s="2">
        <f>-82.97</f>
        <v>-82.97</v>
      </c>
      <c r="U41" s="2"/>
      <c r="V41" s="19"/>
      <c r="W41" s="2"/>
      <c r="X41" s="2">
        <f t="shared" si="2"/>
        <v>52</v>
      </c>
      <c r="Y41" s="2"/>
      <c r="Z41" s="19">
        <f t="shared" si="3"/>
        <v>-0.62673255393515725</v>
      </c>
    </row>
    <row r="42" spans="1:26" s="24" customFormat="1" hidden="1" outlineLevel="1" x14ac:dyDescent="0.25">
      <c r="A42" s="44"/>
      <c r="B42" s="11" t="str">
        <f>CONCATENATE("          ", "4217", " - ", "NON-TAXABLE SALES-DORM/HOUSEWA")</f>
        <v xml:space="preserve">          4217 - NON-TAXABLE SALES-DORM/HOUSEWA</v>
      </c>
      <c r="C42" s="11"/>
      <c r="D42" s="2">
        <f t="shared" si="4"/>
        <v>0</v>
      </c>
      <c r="E42" s="2"/>
      <c r="F42" s="19"/>
      <c r="G42" s="2"/>
      <c r="H42" s="2">
        <f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-2.98</f>
        <v>-2.98</v>
      </c>
      <c r="Q42" s="2"/>
      <c r="R42" s="19"/>
      <c r="S42" s="2"/>
      <c r="T42" s="2">
        <f>-1.5</f>
        <v>-1.5</v>
      </c>
      <c r="U42" s="2"/>
      <c r="V42" s="19"/>
      <c r="W42" s="2"/>
      <c r="X42" s="2">
        <f t="shared" si="2"/>
        <v>-1.48</v>
      </c>
      <c r="Y42" s="2"/>
      <c r="Z42" s="19">
        <f t="shared" si="3"/>
        <v>0.98666666666666669</v>
      </c>
    </row>
    <row r="43" spans="1:26" s="24" customFormat="1" hidden="1" outlineLevel="1" x14ac:dyDescent="0.25">
      <c r="A43" s="44"/>
      <c r="B43" s="11" t="str">
        <f>CONCATENATE("          ", "4225", " - ", "SALES RETURN TAXABLE-TEST FORM")</f>
        <v xml:space="preserve">          4225 - SALES RETURN TAXABLE-TEST FORM</v>
      </c>
      <c r="C43" s="11"/>
      <c r="D43" s="2">
        <f>-23.91</f>
        <v>-23.91</v>
      </c>
      <c r="E43" s="2"/>
      <c r="F43" s="19"/>
      <c r="G43" s="2"/>
      <c r="H43" s="2">
        <f>-1.13</f>
        <v>-1.1299999999999999</v>
      </c>
      <c r="I43" s="2"/>
      <c r="J43" s="19"/>
      <c r="K43" s="2"/>
      <c r="L43" s="2">
        <f t="shared" si="0"/>
        <v>-22.78</v>
      </c>
      <c r="M43" s="2"/>
      <c r="N43" s="19">
        <f t="shared" si="1"/>
        <v>20.159292035398234</v>
      </c>
      <c r="O43" s="11"/>
      <c r="P43" s="2">
        <f>-65.46</f>
        <v>-65.459999999999994</v>
      </c>
      <c r="Q43" s="2"/>
      <c r="R43" s="19"/>
      <c r="S43" s="2"/>
      <c r="T43" s="2">
        <f>-62.42</f>
        <v>-62.42</v>
      </c>
      <c r="U43" s="2"/>
      <c r="V43" s="19"/>
      <c r="W43" s="2"/>
      <c r="X43" s="2">
        <f t="shared" si="2"/>
        <v>-3.039999999999992</v>
      </c>
      <c r="Y43" s="2"/>
      <c r="Z43" s="19">
        <f t="shared" si="3"/>
        <v>4.8702338993912075E-2</v>
      </c>
    </row>
    <row r="44" spans="1:26" s="24" customFormat="1" hidden="1" outlineLevel="1" x14ac:dyDescent="0.25">
      <c r="A44" s="44"/>
      <c r="B44" s="11" t="str">
        <f>CONCATENATE("          ", "4226", " - ", "SALES RETURN TAXABLE-WRITING I")</f>
        <v xml:space="preserve">          4226 - SALES RETURN TAXABLE-WRITING I</v>
      </c>
      <c r="C44" s="11"/>
      <c r="D44" s="2">
        <f>-13.74</f>
        <v>-13.74</v>
      </c>
      <c r="E44" s="2"/>
      <c r="F44" s="19"/>
      <c r="G44" s="2"/>
      <c r="H44" s="2">
        <f>-20.28</f>
        <v>-20.28</v>
      </c>
      <c r="I44" s="2"/>
      <c r="J44" s="19"/>
      <c r="K44" s="2"/>
      <c r="L44" s="2">
        <f t="shared" si="0"/>
        <v>6.5400000000000009</v>
      </c>
      <c r="M44" s="2"/>
      <c r="N44" s="19">
        <f t="shared" si="1"/>
        <v>-0.32248520710059175</v>
      </c>
      <c r="O44" s="11"/>
      <c r="P44" s="2">
        <f>-354.91</f>
        <v>-354.91</v>
      </c>
      <c r="Q44" s="2"/>
      <c r="R44" s="19"/>
      <c r="S44" s="2"/>
      <c r="T44" s="2">
        <f>-261.43</f>
        <v>-261.43</v>
      </c>
      <c r="U44" s="2"/>
      <c r="V44" s="19"/>
      <c r="W44" s="2"/>
      <c r="X44" s="2">
        <f t="shared" si="2"/>
        <v>-93.480000000000018</v>
      </c>
      <c r="Y44" s="2"/>
      <c r="Z44" s="19">
        <f t="shared" si="3"/>
        <v>0.35757181654745063</v>
      </c>
    </row>
    <row r="45" spans="1:26" s="24" customFormat="1" hidden="1" outlineLevel="1" x14ac:dyDescent="0.25">
      <c r="A45" s="44"/>
      <c r="B45" s="11" t="str">
        <f>CONCATENATE("          ", "4227", " - ", "SALES RETURN TAXABLE-SCHOOL SU")</f>
        <v xml:space="preserve">          4227 - SALES RETURN TAXABLE-SCHOOL SU</v>
      </c>
      <c r="C45" s="11"/>
      <c r="D45" s="2">
        <f>-917.34</f>
        <v>-917.34</v>
      </c>
      <c r="E45" s="2"/>
      <c r="F45" s="19"/>
      <c r="G45" s="2"/>
      <c r="H45" s="2">
        <f>-398.16</f>
        <v>-398.16</v>
      </c>
      <c r="I45" s="2"/>
      <c r="J45" s="19"/>
      <c r="K45" s="2"/>
      <c r="L45" s="2">
        <f t="shared" si="0"/>
        <v>-519.18000000000006</v>
      </c>
      <c r="M45" s="2"/>
      <c r="N45" s="19">
        <f t="shared" si="1"/>
        <v>1.3039481615430983</v>
      </c>
      <c r="O45" s="11"/>
      <c r="P45" s="2">
        <f>-5743.82</f>
        <v>-5743.82</v>
      </c>
      <c r="Q45" s="2"/>
      <c r="R45" s="19"/>
      <c r="S45" s="2"/>
      <c r="T45" s="2">
        <f>-2494.01</f>
        <v>-2494.0100000000002</v>
      </c>
      <c r="U45" s="2"/>
      <c r="V45" s="19"/>
      <c r="W45" s="2"/>
      <c r="X45" s="2">
        <f t="shared" si="2"/>
        <v>-3249.8099999999995</v>
      </c>
      <c r="Y45" s="2"/>
      <c r="Z45" s="19">
        <f t="shared" si="3"/>
        <v>1.3030460984518903</v>
      </c>
    </row>
    <row r="46" spans="1:26" s="24" customFormat="1" hidden="1" outlineLevel="1" x14ac:dyDescent="0.25">
      <c r="A46" s="44"/>
      <c r="B46" s="11" t="str">
        <f>CONCATENATE("          ", "4228", " - ", "SALES RETURN TAXABLE-ART/TECH")</f>
        <v xml:space="preserve">          4228 - SALES RETURN TAXABLE-ART/TECH</v>
      </c>
      <c r="C46" s="11"/>
      <c r="D46" s="2">
        <f>-441.03</f>
        <v>-441.03</v>
      </c>
      <c r="E46" s="2"/>
      <c r="F46" s="19"/>
      <c r="G46" s="2"/>
      <c r="H46" s="2">
        <f>-371.18</f>
        <v>-371.18</v>
      </c>
      <c r="I46" s="2"/>
      <c r="J46" s="19"/>
      <c r="K46" s="2"/>
      <c r="L46" s="2">
        <f t="shared" si="0"/>
        <v>-69.849999999999966</v>
      </c>
      <c r="M46" s="2"/>
      <c r="N46" s="19">
        <f t="shared" si="1"/>
        <v>0.18818363058354429</v>
      </c>
      <c r="O46" s="11"/>
      <c r="P46" s="2">
        <f>-2871.29</f>
        <v>-2871.29</v>
      </c>
      <c r="Q46" s="2"/>
      <c r="R46" s="19"/>
      <c r="S46" s="2"/>
      <c r="T46" s="2">
        <f>-4147.97</f>
        <v>-4147.97</v>
      </c>
      <c r="U46" s="2"/>
      <c r="V46" s="19"/>
      <c r="W46" s="2"/>
      <c r="X46" s="2">
        <f t="shared" si="2"/>
        <v>1276.6800000000003</v>
      </c>
      <c r="Y46" s="2"/>
      <c r="Z46" s="19">
        <f t="shared" si="3"/>
        <v>-0.30778428966458299</v>
      </c>
    </row>
    <row r="47" spans="1:26" s="24" customFormat="1" hidden="1" outlineLevel="1" x14ac:dyDescent="0.25">
      <c r="A47" s="44"/>
      <c r="B47" s="11" t="str">
        <f>CONCATENATE("          ", "4233", " - ", "SALES RETURN TAXABLE-CANDY")</f>
        <v xml:space="preserve">          4233 - SALES RETURN TAXABLE-CANDY</v>
      </c>
      <c r="C47" s="11"/>
      <c r="D47" s="2">
        <f>-1.29</f>
        <v>-1.29</v>
      </c>
      <c r="E47" s="2"/>
      <c r="F47" s="19"/>
      <c r="G47" s="2"/>
      <c r="H47" s="2">
        <f>0</f>
        <v>0</v>
      </c>
      <c r="I47" s="2"/>
      <c r="J47" s="19"/>
      <c r="K47" s="2"/>
      <c r="L47" s="2">
        <f t="shared" si="0"/>
        <v>-1.29</v>
      </c>
      <c r="M47" s="2"/>
      <c r="N47" s="19">
        <f t="shared" si="1"/>
        <v>0</v>
      </c>
      <c r="O47" s="11"/>
      <c r="P47" s="2">
        <f>-1.29</f>
        <v>-1.29</v>
      </c>
      <c r="Q47" s="2"/>
      <c r="R47" s="19"/>
      <c r="S47" s="2"/>
      <c r="T47" s="2">
        <f>-1.89</f>
        <v>-1.89</v>
      </c>
      <c r="U47" s="2"/>
      <c r="V47" s="19"/>
      <c r="W47" s="2"/>
      <c r="X47" s="2">
        <f t="shared" si="2"/>
        <v>0.59999999999999987</v>
      </c>
      <c r="Y47" s="2"/>
      <c r="Z47" s="19">
        <f t="shared" si="3"/>
        <v>-0.31746031746031739</v>
      </c>
    </row>
    <row r="48" spans="1:26" s="24" customFormat="1" hidden="1" outlineLevel="1" x14ac:dyDescent="0.25">
      <c r="A48" s="44"/>
      <c r="B48" s="11" t="str">
        <f>CONCATENATE("          ", "4281", " - ", "SALES RETURN TAXABLE-ELECTRONI")</f>
        <v xml:space="preserve">          4281 - SALES RETURN TAXABLE-ELECTRONI</v>
      </c>
      <c r="C48" s="11"/>
      <c r="D48" s="2">
        <f t="shared" ref="D48:D50" si="5">0</f>
        <v>0</v>
      </c>
      <c r="E48" s="2"/>
      <c r="F48" s="19"/>
      <c r="G48" s="2"/>
      <c r="H48" s="2">
        <f>-24.99</f>
        <v>-24.99</v>
      </c>
      <c r="I48" s="2"/>
      <c r="J48" s="19"/>
      <c r="K48" s="2"/>
      <c r="L48" s="2">
        <f t="shared" si="0"/>
        <v>24.99</v>
      </c>
      <c r="M48" s="2"/>
      <c r="N48" s="19">
        <f t="shared" si="1"/>
        <v>-1</v>
      </c>
      <c r="O48" s="11"/>
      <c r="P48" s="2">
        <f>-44.98</f>
        <v>-44.98</v>
      </c>
      <c r="Q48" s="2"/>
      <c r="R48" s="19"/>
      <c r="S48" s="2"/>
      <c r="T48" s="2">
        <f>-24.99</f>
        <v>-24.99</v>
      </c>
      <c r="U48" s="2"/>
      <c r="V48" s="19"/>
      <c r="W48" s="2"/>
      <c r="X48" s="2">
        <f t="shared" si="2"/>
        <v>-19.989999999999998</v>
      </c>
      <c r="Y48" s="2"/>
      <c r="Z48" s="19">
        <f t="shared" si="3"/>
        <v>0.79991996798719489</v>
      </c>
    </row>
    <row r="49" spans="1:26" s="24" customFormat="1" hidden="1" outlineLevel="1" x14ac:dyDescent="0.25">
      <c r="A49" s="44"/>
      <c r="B49" s="11" t="str">
        <f>CONCATENATE("          ", "4326", " - ", "SALES RETURN NON TAXABLE-WRITI")</f>
        <v xml:space="preserve">          4326 - SALES RETURN NON TAXABLE-WRITI</v>
      </c>
      <c r="C49" s="11"/>
      <c r="D49" s="2">
        <f t="shared" si="5"/>
        <v>0</v>
      </c>
      <c r="E49" s="2"/>
      <c r="F49" s="19"/>
      <c r="G49" s="2"/>
      <c r="H49" s="2">
        <f t="shared" ref="H49:H50" si="6"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0</f>
        <v>0</v>
      </c>
      <c r="Q49" s="2"/>
      <c r="R49" s="19"/>
      <c r="S49" s="2"/>
      <c r="T49" s="2">
        <f>-8.08</f>
        <v>-8.08</v>
      </c>
      <c r="U49" s="2"/>
      <c r="V49" s="19"/>
      <c r="W49" s="2"/>
      <c r="X49" s="2">
        <f t="shared" si="2"/>
        <v>8.08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"4327", " - ", "SALES RETURN NON TAXABLE-SCHOO")</f>
        <v xml:space="preserve">          4327 - SALES RETURN NON TAXABLE-SCHOO</v>
      </c>
      <c r="C50" s="11"/>
      <c r="D50" s="2">
        <f t="shared" si="5"/>
        <v>0</v>
      </c>
      <c r="E50" s="2"/>
      <c r="F50" s="19"/>
      <c r="G50" s="2"/>
      <c r="H50" s="2">
        <f t="shared" si="6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-21.87</f>
        <v>-21.87</v>
      </c>
      <c r="Q50" s="2"/>
      <c r="R50" s="19"/>
      <c r="S50" s="2"/>
      <c r="T50" s="2">
        <f>0</f>
        <v>0</v>
      </c>
      <c r="U50" s="2"/>
      <c r="V50" s="19"/>
      <c r="W50" s="2"/>
      <c r="X50" s="2">
        <f t="shared" si="2"/>
        <v>-21.87</v>
      </c>
      <c r="Y50" s="2"/>
      <c r="Z50" s="19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8" t="s">
        <v>8</v>
      </c>
      <c r="C52" s="10"/>
      <c r="D52" s="4">
        <f>SUM(OSRRefD16x_0)</f>
        <v>33976.109999999979</v>
      </c>
      <c r="E52" s="4"/>
      <c r="F52" s="12">
        <f t="shared" ref="F52:F75" si="7">IF(D$12=0,0,D52/D$12)</f>
        <v>0.52072342558151274</v>
      </c>
      <c r="G52" s="4"/>
      <c r="H52" s="4">
        <f>SUM(OSRRefH16x_0)</f>
        <v>28901.91</v>
      </c>
      <c r="I52" s="4"/>
      <c r="J52" s="12">
        <f t="shared" ref="J52:J75" si="8">IF(H$12=0,0,H52/H$12)</f>
        <v>0.52469450365273995</v>
      </c>
      <c r="K52" s="4"/>
      <c r="L52" s="4">
        <f t="shared" ref="L52:L75" si="9">+D52-H52</f>
        <v>5074.1999999999789</v>
      </c>
      <c r="M52" s="4"/>
      <c r="N52" s="12">
        <f t="shared" ref="N52:N75" si="10">IF(H52=0,0,L52/H52)</f>
        <v>0.17556625150379263</v>
      </c>
      <c r="O52" s="10"/>
      <c r="P52" s="4">
        <f>SUM(OSRRefP16x_0)</f>
        <v>234329.82999999996</v>
      </c>
      <c r="Q52" s="4"/>
      <c r="R52" s="12">
        <f t="shared" ref="R52:R75" si="11">IF(P$12=0,0,P52/P$12)</f>
        <v>0.49669210828095045</v>
      </c>
      <c r="S52" s="4"/>
      <c r="T52" s="4">
        <f>SUM(OSRRefT16x_0)</f>
        <v>238397.8</v>
      </c>
      <c r="U52" s="4"/>
      <c r="V52" s="12">
        <f t="shared" ref="V52:V75" si="12">IF(T$12=0,0,T52/T$12)</f>
        <v>0.52072392214450236</v>
      </c>
      <c r="W52" s="4"/>
      <c r="X52" s="4">
        <f t="shared" ref="X52:X75" si="13">+P52-T52</f>
        <v>-4067.9700000000303</v>
      </c>
      <c r="Y52" s="4"/>
      <c r="Z52" s="12">
        <f t="shared" ref="Z52:Z75" si="14">IF(T52=0,0,X52/T52)</f>
        <v>-1.7063790018196603E-2</v>
      </c>
    </row>
    <row r="53" spans="1:26" s="24" customFormat="1" hidden="1" outlineLevel="1" x14ac:dyDescent="0.25">
      <c r="A53" s="44"/>
      <c r="B53" s="11" t="str">
        <f>CONCATENATE("          ", "5014", " - ", "PURCHASES @ COST-REMAINDERS")</f>
        <v xml:space="preserve">          5014 - PURCHASES @ COST-REMAINDERS</v>
      </c>
      <c r="C53" s="11"/>
      <c r="D53" s="2"/>
      <c r="E53" s="2"/>
      <c r="F53" s="19">
        <f t="shared" si="7"/>
        <v>0</v>
      </c>
      <c r="G53" s="2"/>
      <c r="H53" s="2"/>
      <c r="I53" s="2"/>
      <c r="J53" s="19">
        <f t="shared" si="8"/>
        <v>0</v>
      </c>
      <c r="K53" s="2"/>
      <c r="L53" s="2">
        <f t="shared" si="9"/>
        <v>0</v>
      </c>
      <c r="M53" s="2"/>
      <c r="N53" s="19">
        <f t="shared" si="10"/>
        <v>0</v>
      </c>
      <c r="O53" s="11"/>
      <c r="P53" s="2">
        <v>14.46</v>
      </c>
      <c r="Q53" s="2"/>
      <c r="R53" s="19">
        <f t="shared" si="11"/>
        <v>3.0649823309915541E-5</v>
      </c>
      <c r="S53" s="2"/>
      <c r="T53" s="2"/>
      <c r="U53" s="2"/>
      <c r="V53" s="19">
        <f t="shared" si="12"/>
        <v>0</v>
      </c>
      <c r="W53" s="2"/>
      <c r="X53" s="2">
        <f t="shared" si="13"/>
        <v>14.46</v>
      </c>
      <c r="Y53" s="2"/>
      <c r="Z53" s="19">
        <f t="shared" si="14"/>
        <v>0</v>
      </c>
    </row>
    <row r="54" spans="1:26" s="24" customFormat="1" hidden="1" outlineLevel="1" x14ac:dyDescent="0.25">
      <c r="A54" s="44"/>
      <c r="B54" s="11" t="str">
        <f>CONCATENATE("          ", "5017", " - ", "PURCHASES @ COST-DORM/HOUSEWAR")</f>
        <v xml:space="preserve">          5017 - PURCHASES @ COST-DORM/HOUSEWAR</v>
      </c>
      <c r="C54" s="11"/>
      <c r="D54" s="2"/>
      <c r="E54" s="2"/>
      <c r="F54" s="19">
        <f t="shared" si="7"/>
        <v>0</v>
      </c>
      <c r="G54" s="2"/>
      <c r="H54" s="2"/>
      <c r="I54" s="2"/>
      <c r="J54" s="19">
        <f t="shared" si="8"/>
        <v>0</v>
      </c>
      <c r="K54" s="2"/>
      <c r="L54" s="2">
        <f t="shared" si="9"/>
        <v>0</v>
      </c>
      <c r="M54" s="2"/>
      <c r="N54" s="19">
        <f t="shared" si="10"/>
        <v>0</v>
      </c>
      <c r="O54" s="11"/>
      <c r="P54" s="2">
        <v>0</v>
      </c>
      <c r="Q54" s="2"/>
      <c r="R54" s="19">
        <f t="shared" si="11"/>
        <v>0</v>
      </c>
      <c r="S54" s="2"/>
      <c r="T54" s="2">
        <v>239.9</v>
      </c>
      <c r="U54" s="2"/>
      <c r="V54" s="19">
        <f t="shared" si="12"/>
        <v>5.2400512472206592E-4</v>
      </c>
      <c r="W54" s="2"/>
      <c r="X54" s="2">
        <f t="shared" si="13"/>
        <v>-239.9</v>
      </c>
      <c r="Y54" s="2"/>
      <c r="Z54" s="19">
        <f t="shared" si="14"/>
        <v>-1</v>
      </c>
    </row>
    <row r="55" spans="1:26" s="24" customFormat="1" hidden="1" outlineLevel="1" x14ac:dyDescent="0.2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>
        <v>18846</v>
      </c>
      <c r="E55" s="2"/>
      <c r="F55" s="19">
        <f t="shared" si="7"/>
        <v>0.28883688210655062</v>
      </c>
      <c r="G55" s="2"/>
      <c r="H55" s="2">
        <v>1000</v>
      </c>
      <c r="I55" s="2"/>
      <c r="J55" s="19">
        <f t="shared" si="8"/>
        <v>1.8154319339197304E-2</v>
      </c>
      <c r="K55" s="2"/>
      <c r="L55" s="2">
        <f t="shared" si="9"/>
        <v>17846</v>
      </c>
      <c r="M55" s="2"/>
      <c r="N55" s="19">
        <f t="shared" si="10"/>
        <v>17.846</v>
      </c>
      <c r="O55" s="11"/>
      <c r="P55" s="2">
        <v>22098.390000000003</v>
      </c>
      <c r="Q55" s="2"/>
      <c r="R55" s="19">
        <f t="shared" si="11"/>
        <v>4.6840369912420785E-2</v>
      </c>
      <c r="S55" s="2"/>
      <c r="T55" s="2">
        <v>2036.8</v>
      </c>
      <c r="U55" s="2"/>
      <c r="V55" s="19">
        <f t="shared" si="12"/>
        <v>4.4489105378653767E-3</v>
      </c>
      <c r="W55" s="2"/>
      <c r="X55" s="2">
        <f t="shared" si="13"/>
        <v>20061.590000000004</v>
      </c>
      <c r="Y55" s="2"/>
      <c r="Z55" s="19">
        <f t="shared" si="14"/>
        <v>9.8495630400628453</v>
      </c>
    </row>
    <row r="56" spans="1:26" s="24" customFormat="1" hidden="1" outlineLevel="1" x14ac:dyDescent="0.2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>
        <v>4633.8999999999996</v>
      </c>
      <c r="E56" s="2"/>
      <c r="F56" s="19">
        <f t="shared" si="7"/>
        <v>7.1019910219332738E-2</v>
      </c>
      <c r="G56" s="2"/>
      <c r="H56" s="2">
        <v>746.15</v>
      </c>
      <c r="I56" s="2"/>
      <c r="J56" s="19">
        <f t="shared" si="8"/>
        <v>1.3545845374942068E-2</v>
      </c>
      <c r="K56" s="2"/>
      <c r="L56" s="2">
        <f t="shared" si="9"/>
        <v>3887.7499999999995</v>
      </c>
      <c r="M56" s="2"/>
      <c r="N56" s="19">
        <f t="shared" si="10"/>
        <v>5.2104134557394621</v>
      </c>
      <c r="O56" s="11"/>
      <c r="P56" s="2">
        <v>29987.84</v>
      </c>
      <c r="Q56" s="2"/>
      <c r="R56" s="19">
        <f t="shared" si="11"/>
        <v>6.3563070362795127E-2</v>
      </c>
      <c r="S56" s="2"/>
      <c r="T56" s="2">
        <v>27682.720000000001</v>
      </c>
      <c r="U56" s="2"/>
      <c r="V56" s="19">
        <f t="shared" si="12"/>
        <v>6.0466390772180197E-2</v>
      </c>
      <c r="W56" s="2"/>
      <c r="X56" s="2">
        <f t="shared" si="13"/>
        <v>2305.119999999999</v>
      </c>
      <c r="Y56" s="2"/>
      <c r="Z56" s="19">
        <f t="shared" si="14"/>
        <v>8.326927411757222E-2</v>
      </c>
    </row>
    <row r="57" spans="1:26" s="24" customFormat="1" hidden="1" outlineLevel="1" x14ac:dyDescent="0.2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>
        <v>3479.69</v>
      </c>
      <c r="E57" s="2"/>
      <c r="F57" s="19">
        <f t="shared" si="7"/>
        <v>5.3330298752910066E-2</v>
      </c>
      <c r="G57" s="2"/>
      <c r="H57" s="2">
        <v>7654.23</v>
      </c>
      <c r="I57" s="2"/>
      <c r="J57" s="19">
        <f t="shared" si="8"/>
        <v>0.13895733571566415</v>
      </c>
      <c r="K57" s="2"/>
      <c r="L57" s="2">
        <f t="shared" si="9"/>
        <v>-4174.5399999999991</v>
      </c>
      <c r="M57" s="2"/>
      <c r="N57" s="19">
        <f t="shared" si="10"/>
        <v>-0.54538993471583674</v>
      </c>
      <c r="O57" s="11"/>
      <c r="P57" s="2">
        <v>75455.069999999992</v>
      </c>
      <c r="Q57" s="2"/>
      <c r="R57" s="19">
        <f t="shared" si="11"/>
        <v>0.1599366917937281</v>
      </c>
      <c r="S57" s="2"/>
      <c r="T57" s="2">
        <v>81716.73</v>
      </c>
      <c r="U57" s="2"/>
      <c r="V57" s="19">
        <f t="shared" si="12"/>
        <v>0.17849097663830507</v>
      </c>
      <c r="W57" s="2"/>
      <c r="X57" s="2">
        <f t="shared" si="13"/>
        <v>-6261.6600000000035</v>
      </c>
      <c r="Y57" s="2"/>
      <c r="Z57" s="19">
        <f t="shared" si="14"/>
        <v>-7.6626414199393492E-2</v>
      </c>
    </row>
    <row r="58" spans="1:26" s="24" customFormat="1" hidden="1" outlineLevel="1" x14ac:dyDescent="0.2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4931.4399999999996</v>
      </c>
      <c r="E58" s="2"/>
      <c r="F58" s="19">
        <f t="shared" si="7"/>
        <v>7.5580056982676849E-2</v>
      </c>
      <c r="G58" s="2"/>
      <c r="H58" s="2">
        <v>2870.17</v>
      </c>
      <c r="I58" s="2"/>
      <c r="J58" s="19">
        <f t="shared" si="8"/>
        <v>5.2105982737783926E-2</v>
      </c>
      <c r="K58" s="2"/>
      <c r="L58" s="2">
        <f t="shared" si="9"/>
        <v>2061.2699999999995</v>
      </c>
      <c r="M58" s="2"/>
      <c r="N58" s="19">
        <f t="shared" si="10"/>
        <v>0.71817000386736651</v>
      </c>
      <c r="O58" s="11"/>
      <c r="P58" s="2">
        <v>95270.51</v>
      </c>
      <c r="Q58" s="2"/>
      <c r="R58" s="19">
        <f t="shared" si="11"/>
        <v>0.20193805657991293</v>
      </c>
      <c r="S58" s="2"/>
      <c r="T58" s="2">
        <v>85665.68</v>
      </c>
      <c r="U58" s="2"/>
      <c r="V58" s="19">
        <f t="shared" si="12"/>
        <v>0.18711652910713042</v>
      </c>
      <c r="W58" s="2"/>
      <c r="X58" s="2">
        <f t="shared" si="13"/>
        <v>9604.8300000000017</v>
      </c>
      <c r="Y58" s="2"/>
      <c r="Z58" s="19">
        <f t="shared" si="14"/>
        <v>0.11211992947467414</v>
      </c>
    </row>
    <row r="59" spans="1:26" s="24" customFormat="1" hidden="1" outlineLevel="1" x14ac:dyDescent="0.25">
      <c r="A59" s="44"/>
      <c r="B59" s="11" t="str">
        <f>CONCATENATE("          ", "5031", " - ", "PURCHASES @ COST-FOOD")</f>
        <v xml:space="preserve">          5031 - PURCHASES @ COST-FOOD</v>
      </c>
      <c r="C59" s="11"/>
      <c r="D59" s="2">
        <v>4825.3999999999996</v>
      </c>
      <c r="E59" s="2"/>
      <c r="F59" s="19">
        <f t="shared" si="7"/>
        <v>7.3954870578210194E-2</v>
      </c>
      <c r="G59" s="2"/>
      <c r="H59" s="2">
        <v>4001.16</v>
      </c>
      <c r="I59" s="2"/>
      <c r="J59" s="19">
        <f t="shared" si="8"/>
        <v>7.2638336367222681E-2</v>
      </c>
      <c r="K59" s="2"/>
      <c r="L59" s="2">
        <f t="shared" si="9"/>
        <v>824.23999999999978</v>
      </c>
      <c r="M59" s="2"/>
      <c r="N59" s="19">
        <f t="shared" si="10"/>
        <v>0.20600025992462181</v>
      </c>
      <c r="O59" s="11"/>
      <c r="P59" s="2">
        <v>20814.489999999998</v>
      </c>
      <c r="Q59" s="2"/>
      <c r="R59" s="19">
        <f t="shared" si="11"/>
        <v>4.4118979307469143E-2</v>
      </c>
      <c r="S59" s="2"/>
      <c r="T59" s="2">
        <v>17422.769999999997</v>
      </c>
      <c r="U59" s="2"/>
      <c r="V59" s="19">
        <f t="shared" si="12"/>
        <v>3.8055943171545925E-2</v>
      </c>
      <c r="W59" s="2"/>
      <c r="X59" s="2">
        <f t="shared" si="13"/>
        <v>3391.7200000000012</v>
      </c>
      <c r="Y59" s="2"/>
      <c r="Z59" s="19">
        <f t="shared" si="14"/>
        <v>0.19467168538642257</v>
      </c>
    </row>
    <row r="60" spans="1:26" s="24" customFormat="1" hidden="1" outlineLevel="1" x14ac:dyDescent="0.25">
      <c r="A60" s="44"/>
      <c r="B60" s="11" t="str">
        <f>CONCATENATE("          ", "5032", " - ", "PURCHASES @ COST-JUICE")</f>
        <v xml:space="preserve">          5032 - PURCHASES @ COST-JUICE</v>
      </c>
      <c r="C60" s="11"/>
      <c r="D60" s="2">
        <v>1278.21</v>
      </c>
      <c r="E60" s="2"/>
      <c r="F60" s="19">
        <f t="shared" si="7"/>
        <v>1.9590055771909906E-2</v>
      </c>
      <c r="G60" s="2"/>
      <c r="H60" s="2">
        <v>842.58</v>
      </c>
      <c r="I60" s="2"/>
      <c r="J60" s="19">
        <f t="shared" si="8"/>
        <v>1.5296466388820864E-2</v>
      </c>
      <c r="K60" s="2"/>
      <c r="L60" s="2">
        <f t="shared" si="9"/>
        <v>435.63</v>
      </c>
      <c r="M60" s="2"/>
      <c r="N60" s="19">
        <f t="shared" si="10"/>
        <v>0.51701915545111443</v>
      </c>
      <c r="O60" s="11"/>
      <c r="P60" s="2">
        <v>4662.49</v>
      </c>
      <c r="Q60" s="2"/>
      <c r="R60" s="19">
        <f t="shared" si="11"/>
        <v>9.8827451372232433E-3</v>
      </c>
      <c r="S60" s="2"/>
      <c r="T60" s="2">
        <v>4678.3500000000004</v>
      </c>
      <c r="U60" s="2"/>
      <c r="V60" s="19">
        <f t="shared" si="12"/>
        <v>1.0218755211519289E-2</v>
      </c>
      <c r="W60" s="2"/>
      <c r="X60" s="2">
        <f t="shared" si="13"/>
        <v>-15.860000000000582</v>
      </c>
      <c r="Y60" s="2"/>
      <c r="Z60" s="19">
        <f t="shared" si="14"/>
        <v>-3.3900841108511722E-3</v>
      </c>
    </row>
    <row r="61" spans="1:26" s="24" customFormat="1" hidden="1" outlineLevel="1" x14ac:dyDescent="0.25">
      <c r="A61" s="44"/>
      <c r="B61" s="11" t="str">
        <f>CONCATENATE("          ", "5033", " - ", "PURCHASES @ COST-CANDY")</f>
        <v xml:space="preserve">          5033 - PURCHASES @ COST-CANDY</v>
      </c>
      <c r="C61" s="11"/>
      <c r="D61" s="2">
        <v>1482.54</v>
      </c>
      <c r="E61" s="2"/>
      <c r="F61" s="19">
        <f t="shared" si="7"/>
        <v>2.2721650811750267E-2</v>
      </c>
      <c r="G61" s="2"/>
      <c r="H61" s="2">
        <v>871.44</v>
      </c>
      <c r="I61" s="2"/>
      <c r="J61" s="19">
        <f t="shared" si="8"/>
        <v>1.5820400044950098E-2</v>
      </c>
      <c r="K61" s="2"/>
      <c r="L61" s="2">
        <f t="shared" si="9"/>
        <v>611.09999999999991</v>
      </c>
      <c r="M61" s="2"/>
      <c r="N61" s="19">
        <f t="shared" si="10"/>
        <v>0.70125309832002192</v>
      </c>
      <c r="O61" s="11"/>
      <c r="P61" s="2">
        <v>5937.74</v>
      </c>
      <c r="Q61" s="2"/>
      <c r="R61" s="19">
        <f t="shared" si="11"/>
        <v>1.2585800958521291E-2</v>
      </c>
      <c r="S61" s="2"/>
      <c r="T61" s="2">
        <v>4438.3599999999997</v>
      </c>
      <c r="U61" s="2"/>
      <c r="V61" s="19">
        <f t="shared" si="12"/>
        <v>9.6945535029655215E-3</v>
      </c>
      <c r="W61" s="2"/>
      <c r="X61" s="2">
        <f t="shared" si="13"/>
        <v>1499.38</v>
      </c>
      <c r="Y61" s="2"/>
      <c r="Z61" s="19">
        <f t="shared" si="14"/>
        <v>0.33782297965915342</v>
      </c>
    </row>
    <row r="62" spans="1:26" s="24" customFormat="1" hidden="1" outlineLevel="1" x14ac:dyDescent="0.25">
      <c r="A62" s="44"/>
      <c r="B62" s="11" t="str">
        <f>CONCATENATE("          ", "5034", " - ", "PURCHASES @ COST-SODA")</f>
        <v xml:space="preserve">          5034 - PURCHASES @ COST-SODA</v>
      </c>
      <c r="C62" s="11"/>
      <c r="D62" s="2">
        <v>587.38</v>
      </c>
      <c r="E62" s="2"/>
      <c r="F62" s="19">
        <f t="shared" si="7"/>
        <v>9.002282065782961E-3</v>
      </c>
      <c r="G62" s="2"/>
      <c r="H62" s="2">
        <v>417.49</v>
      </c>
      <c r="I62" s="2"/>
      <c r="J62" s="19">
        <f t="shared" si="8"/>
        <v>7.5792467809214824E-3</v>
      </c>
      <c r="K62" s="2"/>
      <c r="L62" s="2">
        <f t="shared" si="9"/>
        <v>169.89</v>
      </c>
      <c r="M62" s="2"/>
      <c r="N62" s="19">
        <f t="shared" si="10"/>
        <v>0.40693190256054035</v>
      </c>
      <c r="O62" s="11"/>
      <c r="P62" s="2">
        <v>2081.92</v>
      </c>
      <c r="Q62" s="2"/>
      <c r="R62" s="19">
        <f t="shared" si="11"/>
        <v>4.4128962756140632E-3</v>
      </c>
      <c r="S62" s="2"/>
      <c r="T62" s="2">
        <v>1669.6</v>
      </c>
      <c r="U62" s="2"/>
      <c r="V62" s="19">
        <f t="shared" si="12"/>
        <v>3.6468485045267245E-3</v>
      </c>
      <c r="W62" s="2"/>
      <c r="X62" s="2">
        <f t="shared" si="13"/>
        <v>412.32000000000016</v>
      </c>
      <c r="Y62" s="2"/>
      <c r="Z62" s="19">
        <f t="shared" si="14"/>
        <v>0.24695735505510313</v>
      </c>
    </row>
    <row r="63" spans="1:26" s="24" customFormat="1" hidden="1" outlineLevel="1" x14ac:dyDescent="0.25">
      <c r="A63" s="44"/>
      <c r="B63" s="11" t="str">
        <f>CONCATENATE("          ", "5035", " - ", "PURCHASES @ COST-HEALTH &amp; BEAU")</f>
        <v xml:space="preserve">          5035 - PURCHASES @ COST-HEALTH &amp; BEAU</v>
      </c>
      <c r="C63" s="11"/>
      <c r="D63" s="2">
        <v>222.52</v>
      </c>
      <c r="E63" s="2"/>
      <c r="F63" s="19">
        <f t="shared" si="7"/>
        <v>3.4103779585243363E-3</v>
      </c>
      <c r="G63" s="2"/>
      <c r="H63" s="2">
        <v>88.54</v>
      </c>
      <c r="I63" s="2"/>
      <c r="J63" s="19">
        <f t="shared" si="8"/>
        <v>1.6073834342925292E-3</v>
      </c>
      <c r="K63" s="2"/>
      <c r="L63" s="2">
        <f t="shared" si="9"/>
        <v>133.98000000000002</v>
      </c>
      <c r="M63" s="2"/>
      <c r="N63" s="19">
        <f t="shared" si="10"/>
        <v>1.5132143663880733</v>
      </c>
      <c r="O63" s="11"/>
      <c r="P63" s="2">
        <v>801.21</v>
      </c>
      <c r="Q63" s="2"/>
      <c r="R63" s="19">
        <f t="shared" si="11"/>
        <v>1.6982672845184943E-3</v>
      </c>
      <c r="S63" s="2"/>
      <c r="T63" s="2">
        <v>557.87</v>
      </c>
      <c r="U63" s="2"/>
      <c r="V63" s="19">
        <f t="shared" si="12"/>
        <v>1.2185358021204625E-3</v>
      </c>
      <c r="W63" s="2"/>
      <c r="X63" s="2">
        <f t="shared" si="13"/>
        <v>243.34000000000003</v>
      </c>
      <c r="Y63" s="2"/>
      <c r="Z63" s="19">
        <f t="shared" si="14"/>
        <v>0.43619481241149377</v>
      </c>
    </row>
    <row r="64" spans="1:26" s="24" customFormat="1" hidden="1" outlineLevel="1" x14ac:dyDescent="0.25">
      <c r="A64" s="44"/>
      <c r="B64" s="11" t="str">
        <f>CONCATENATE("          ", "5037", " - ", "PURCHASES @ COST-WATER")</f>
        <v xml:space="preserve">          5037 - PURCHASES @ COST-WATER</v>
      </c>
      <c r="C64" s="11"/>
      <c r="D64" s="2">
        <v>667.52</v>
      </c>
      <c r="E64" s="2"/>
      <c r="F64" s="19">
        <f t="shared" si="7"/>
        <v>1.0230520829022852E-2</v>
      </c>
      <c r="G64" s="2"/>
      <c r="H64" s="2">
        <v>805.53</v>
      </c>
      <c r="I64" s="2"/>
      <c r="J64" s="19">
        <f t="shared" si="8"/>
        <v>1.4623848857303603E-2</v>
      </c>
      <c r="K64" s="2"/>
      <c r="L64" s="2">
        <f t="shared" si="9"/>
        <v>-138.01</v>
      </c>
      <c r="M64" s="2"/>
      <c r="N64" s="19">
        <f t="shared" si="10"/>
        <v>-0.17132819385994313</v>
      </c>
      <c r="O64" s="11"/>
      <c r="P64" s="2">
        <v>3493.61</v>
      </c>
      <c r="Q64" s="2"/>
      <c r="R64" s="19">
        <f t="shared" si="11"/>
        <v>7.405154164160029E-3</v>
      </c>
      <c r="S64" s="2"/>
      <c r="T64" s="2">
        <v>3454.97</v>
      </c>
      <c r="U64" s="2"/>
      <c r="V64" s="19">
        <f t="shared" si="12"/>
        <v>7.5465693445643852E-3</v>
      </c>
      <c r="W64" s="2"/>
      <c r="X64" s="2">
        <f t="shared" si="13"/>
        <v>38.640000000000327</v>
      </c>
      <c r="Y64" s="2"/>
      <c r="Z64" s="19">
        <f t="shared" si="14"/>
        <v>1.1183888716834105E-2</v>
      </c>
    </row>
    <row r="65" spans="1:26" s="24" customFormat="1" hidden="1" outlineLevel="1" x14ac:dyDescent="0.25">
      <c r="A65" s="44"/>
      <c r="B65" s="11" t="str">
        <f>CONCATENATE("          ", "5081", " - ", "PURCHASES @ COST-ELECTRONICS")</f>
        <v xml:space="preserve">          5081 - PURCHASES @ COST-ELECTRONICS</v>
      </c>
      <c r="C65" s="11"/>
      <c r="D65" s="2">
        <v>281.74</v>
      </c>
      <c r="E65" s="2"/>
      <c r="F65" s="19">
        <f t="shared" si="7"/>
        <v>4.3179933760320267E-3</v>
      </c>
      <c r="G65" s="2"/>
      <c r="H65" s="2">
        <v>315.07</v>
      </c>
      <c r="I65" s="2"/>
      <c r="J65" s="19">
        <f t="shared" si="8"/>
        <v>5.7198813942008937E-3</v>
      </c>
      <c r="K65" s="2"/>
      <c r="L65" s="2">
        <f t="shared" si="9"/>
        <v>-33.329999999999984</v>
      </c>
      <c r="M65" s="2"/>
      <c r="N65" s="19">
        <f t="shared" si="10"/>
        <v>-0.10578601580601131</v>
      </c>
      <c r="O65" s="11"/>
      <c r="P65" s="2">
        <v>1244.81</v>
      </c>
      <c r="Q65" s="2"/>
      <c r="R65" s="19">
        <f t="shared" si="11"/>
        <v>2.6385343398627912E-3</v>
      </c>
      <c r="S65" s="2"/>
      <c r="T65" s="2">
        <v>1844.8</v>
      </c>
      <c r="U65" s="2"/>
      <c r="V65" s="19">
        <f t="shared" si="12"/>
        <v>4.0295316969039905E-3</v>
      </c>
      <c r="W65" s="2"/>
      <c r="X65" s="2">
        <f t="shared" si="13"/>
        <v>-599.99</v>
      </c>
      <c r="Y65" s="2"/>
      <c r="Z65" s="19">
        <f t="shared" si="14"/>
        <v>-0.32523308759757158</v>
      </c>
    </row>
    <row r="66" spans="1:26" s="24" customFormat="1" hidden="1" outlineLevel="1" x14ac:dyDescent="0.25">
      <c r="A66" s="44"/>
      <c r="B66" s="11" t="str">
        <f>CONCATENATE("          ", "5082", " - ", "PURCHASES @ COST-COMPUTER HARD")</f>
        <v xml:space="preserve">          5082 - PURCHASES @ COST-COMPUTER HARD</v>
      </c>
      <c r="C66" s="11"/>
      <c r="D66" s="2">
        <v>95</v>
      </c>
      <c r="E66" s="2"/>
      <c r="F66" s="19">
        <f t="shared" si="7"/>
        <v>1.4559855566232786E-3</v>
      </c>
      <c r="G66" s="2"/>
      <c r="H66" s="2">
        <v>29</v>
      </c>
      <c r="I66" s="2"/>
      <c r="J66" s="19">
        <f t="shared" si="8"/>
        <v>5.2647526083672179E-4</v>
      </c>
      <c r="K66" s="2"/>
      <c r="L66" s="2">
        <f t="shared" si="9"/>
        <v>66</v>
      </c>
      <c r="M66" s="2"/>
      <c r="N66" s="19">
        <f t="shared" si="10"/>
        <v>2.2758620689655173</v>
      </c>
      <c r="O66" s="11"/>
      <c r="P66" s="2">
        <v>244.6</v>
      </c>
      <c r="Q66" s="2"/>
      <c r="R66" s="19">
        <f t="shared" si="11"/>
        <v>5.1846104990355048E-4</v>
      </c>
      <c r="S66" s="2"/>
      <c r="T66" s="2">
        <v>500</v>
      </c>
      <c r="U66" s="2"/>
      <c r="V66" s="19">
        <f t="shared" si="12"/>
        <v>1.0921323983369444E-3</v>
      </c>
      <c r="W66" s="2"/>
      <c r="X66" s="2">
        <f t="shared" si="13"/>
        <v>-255.4</v>
      </c>
      <c r="Y66" s="2"/>
      <c r="Z66" s="19">
        <f t="shared" si="14"/>
        <v>-0.51080000000000003</v>
      </c>
    </row>
    <row r="67" spans="1:26" s="24" customFormat="1" hidden="1" outlineLevel="1" x14ac:dyDescent="0.25">
      <c r="A67" s="44"/>
      <c r="B67" s="11" t="str">
        <f>CONCATENATE("          ", "5083", " - ", "PURCHASES @ COST-COMPUTER EQUI")</f>
        <v xml:space="preserve">          5083 - PURCHASES @ COST-COMPUTER EQUI</v>
      </c>
      <c r="C67" s="11"/>
      <c r="D67" s="2"/>
      <c r="E67" s="2"/>
      <c r="F67" s="19">
        <f t="shared" si="7"/>
        <v>0</v>
      </c>
      <c r="G67" s="2"/>
      <c r="H67" s="2">
        <v>146.77000000000001</v>
      </c>
      <c r="I67" s="2"/>
      <c r="J67" s="19">
        <f t="shared" si="8"/>
        <v>2.6645094494139885E-3</v>
      </c>
      <c r="K67" s="2"/>
      <c r="L67" s="2">
        <f t="shared" si="9"/>
        <v>-146.77000000000001</v>
      </c>
      <c r="M67" s="2"/>
      <c r="N67" s="19">
        <f t="shared" si="10"/>
        <v>-1</v>
      </c>
      <c r="O67" s="11"/>
      <c r="P67" s="2">
        <v>192.2</v>
      </c>
      <c r="Q67" s="2"/>
      <c r="R67" s="19">
        <f t="shared" si="11"/>
        <v>4.0739253389804743E-4</v>
      </c>
      <c r="S67" s="2"/>
      <c r="T67" s="2">
        <v>422.89</v>
      </c>
      <c r="U67" s="2"/>
      <c r="V67" s="19">
        <f t="shared" si="12"/>
        <v>9.2370373986542088E-4</v>
      </c>
      <c r="W67" s="2"/>
      <c r="X67" s="2">
        <f t="shared" si="13"/>
        <v>-230.69</v>
      </c>
      <c r="Y67" s="2"/>
      <c r="Z67" s="19">
        <f t="shared" si="14"/>
        <v>-0.54550828820733521</v>
      </c>
    </row>
    <row r="68" spans="1:26" s="24" customFormat="1" hidden="1" outlineLevel="1" x14ac:dyDescent="0.25">
      <c r="A68" s="44"/>
      <c r="B68" s="11" t="str">
        <f>CONCATENATE("          ", "5086", " - ", "PURCHASES @ COST-COMPUTER SUPP")</f>
        <v xml:space="preserve">          5086 - PURCHASES @ COST-COMPUTER SUPP</v>
      </c>
      <c r="C68" s="11"/>
      <c r="D68" s="2">
        <v>87</v>
      </c>
      <c r="E68" s="2"/>
      <c r="F68" s="19">
        <f t="shared" si="7"/>
        <v>1.3333762465918446E-3</v>
      </c>
      <c r="G68" s="2"/>
      <c r="H68" s="2">
        <v>31.23</v>
      </c>
      <c r="I68" s="2"/>
      <c r="J68" s="19">
        <f t="shared" si="8"/>
        <v>5.6695939296313178E-4</v>
      </c>
      <c r="K68" s="2"/>
      <c r="L68" s="2">
        <f t="shared" si="9"/>
        <v>55.769999999999996</v>
      </c>
      <c r="M68" s="2"/>
      <c r="N68" s="19">
        <f t="shared" si="10"/>
        <v>1.7857829010566761</v>
      </c>
      <c r="O68" s="11"/>
      <c r="P68" s="2">
        <v>228</v>
      </c>
      <c r="Q68" s="2"/>
      <c r="R68" s="19">
        <f t="shared" si="11"/>
        <v>4.8327522231402089E-4</v>
      </c>
      <c r="S68" s="2"/>
      <c r="T68" s="2">
        <v>488.76</v>
      </c>
      <c r="U68" s="2"/>
      <c r="V68" s="19">
        <f t="shared" si="12"/>
        <v>1.06758126202233E-3</v>
      </c>
      <c r="W68" s="2"/>
      <c r="X68" s="2">
        <f t="shared" si="13"/>
        <v>-260.76</v>
      </c>
      <c r="Y68" s="2"/>
      <c r="Z68" s="19">
        <f t="shared" si="14"/>
        <v>-0.53351338080039279</v>
      </c>
    </row>
    <row r="69" spans="1:26" s="24" customFormat="1" hidden="1" outlineLevel="1" x14ac:dyDescent="0.25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-42157</v>
      </c>
      <c r="E69" s="2"/>
      <c r="F69" s="19">
        <f t="shared" si="7"/>
        <v>-0.64610508537439537</v>
      </c>
      <c r="G69" s="2"/>
      <c r="H69" s="2">
        <v>-23332</v>
      </c>
      <c r="I69" s="2"/>
      <c r="J69" s="19">
        <f t="shared" si="8"/>
        <v>-0.42357657882215144</v>
      </c>
      <c r="K69" s="2"/>
      <c r="L69" s="2">
        <f t="shared" si="9"/>
        <v>-18825</v>
      </c>
      <c r="M69" s="2"/>
      <c r="N69" s="19">
        <f t="shared" si="10"/>
        <v>0.80683181896108347</v>
      </c>
      <c r="O69" s="11"/>
      <c r="P69" s="2">
        <v>-264920</v>
      </c>
      <c r="Q69" s="2"/>
      <c r="R69" s="19">
        <f t="shared" si="11"/>
        <v>-0.5615318942782036</v>
      </c>
      <c r="S69" s="2"/>
      <c r="T69" s="2">
        <v>-238485.00000000003</v>
      </c>
      <c r="U69" s="2"/>
      <c r="V69" s="19">
        <f t="shared" si="12"/>
        <v>-0.52091439003477247</v>
      </c>
      <c r="W69" s="2"/>
      <c r="X69" s="2">
        <f t="shared" si="13"/>
        <v>-26434.999999999971</v>
      </c>
      <c r="Y69" s="2"/>
      <c r="Z69" s="19">
        <f t="shared" si="14"/>
        <v>0.11084554584145739</v>
      </c>
    </row>
    <row r="70" spans="1:26" s="24" customFormat="1" hidden="1" outlineLevel="1" x14ac:dyDescent="0.25">
      <c r="A70" s="44"/>
      <c r="B70" s="11" t="str">
        <f>CONCATENATE("          ", "5300", " - ", "COG$ OFFSET")</f>
        <v xml:space="preserve">          5300 - COG$ OFFSET</v>
      </c>
      <c r="C70" s="11"/>
      <c r="D70" s="2">
        <v>33979</v>
      </c>
      <c r="E70" s="2"/>
      <c r="F70" s="19">
        <f t="shared" si="7"/>
        <v>0.52076771819476197</v>
      </c>
      <c r="G70" s="2"/>
      <c r="H70" s="2">
        <v>28903</v>
      </c>
      <c r="I70" s="2"/>
      <c r="J70" s="19">
        <f t="shared" si="8"/>
        <v>0.52471429186081964</v>
      </c>
      <c r="K70" s="2"/>
      <c r="L70" s="2">
        <f t="shared" si="9"/>
        <v>5076</v>
      </c>
      <c r="M70" s="2"/>
      <c r="N70" s="19">
        <f t="shared" si="10"/>
        <v>0.17562190776044009</v>
      </c>
      <c r="O70" s="11"/>
      <c r="P70" s="2">
        <v>234328</v>
      </c>
      <c r="Q70" s="2"/>
      <c r="R70" s="19">
        <f t="shared" si="11"/>
        <v>0.49668822936140306</v>
      </c>
      <c r="S70" s="2"/>
      <c r="T70" s="2">
        <v>238397.00000000003</v>
      </c>
      <c r="U70" s="2"/>
      <c r="V70" s="19">
        <f t="shared" si="12"/>
        <v>0.52072217473266513</v>
      </c>
      <c r="W70" s="2"/>
      <c r="X70" s="2">
        <f t="shared" si="13"/>
        <v>-4069.0000000000291</v>
      </c>
      <c r="Y70" s="2"/>
      <c r="Z70" s="19">
        <f t="shared" si="14"/>
        <v>-1.7068167804125171E-2</v>
      </c>
    </row>
    <row r="71" spans="1:26" s="24" customFormat="1" hidden="1" outlineLevel="1" x14ac:dyDescent="0.25">
      <c r="A71" s="44"/>
      <c r="B71" s="11" t="str">
        <f>CONCATENATE("          ", "5500", " - ", "FREIGHT-IN")</f>
        <v xml:space="preserve">          5500 - FREIGHT-IN</v>
      </c>
      <c r="C71" s="11"/>
      <c r="D71" s="2"/>
      <c r="E71" s="2"/>
      <c r="F71" s="19">
        <f t="shared" si="7"/>
        <v>0</v>
      </c>
      <c r="G71" s="2"/>
      <c r="H71" s="2"/>
      <c r="I71" s="2"/>
      <c r="J71" s="19">
        <f t="shared" si="8"/>
        <v>0</v>
      </c>
      <c r="K71" s="2"/>
      <c r="L71" s="2">
        <f t="shared" si="9"/>
        <v>0</v>
      </c>
      <c r="M71" s="2"/>
      <c r="N71" s="19">
        <f t="shared" si="10"/>
        <v>0</v>
      </c>
      <c r="O71" s="11"/>
      <c r="P71" s="2">
        <v>6</v>
      </c>
      <c r="Q71" s="2"/>
      <c r="R71" s="19">
        <f t="shared" si="11"/>
        <v>1.2717769008263708E-5</v>
      </c>
      <c r="S71" s="2"/>
      <c r="T71" s="2"/>
      <c r="U71" s="2"/>
      <c r="V71" s="19">
        <f t="shared" si="12"/>
        <v>0</v>
      </c>
      <c r="W71" s="2"/>
      <c r="X71" s="2">
        <f t="shared" si="13"/>
        <v>6</v>
      </c>
      <c r="Y71" s="2"/>
      <c r="Z71" s="19">
        <f t="shared" si="14"/>
        <v>0</v>
      </c>
    </row>
    <row r="72" spans="1:26" s="24" customFormat="1" hidden="1" outlineLevel="1" x14ac:dyDescent="0.25">
      <c r="A72" s="44"/>
      <c r="B72" s="11" t="str">
        <f>CONCATENATE("          ", "5525", " - ", "FREIGHT-IN-TEST FORMS")</f>
        <v xml:space="preserve">          5525 - FREIGHT-IN-TEST FORMS</v>
      </c>
      <c r="C72" s="11"/>
      <c r="D72" s="2">
        <v>335.7</v>
      </c>
      <c r="E72" s="2"/>
      <c r="F72" s="19">
        <f t="shared" si="7"/>
        <v>5.1449931721940486E-3</v>
      </c>
      <c r="G72" s="2"/>
      <c r="H72" s="2"/>
      <c r="I72" s="2"/>
      <c r="J72" s="19">
        <f t="shared" si="8"/>
        <v>0</v>
      </c>
      <c r="K72" s="2"/>
      <c r="L72" s="2">
        <f t="shared" si="9"/>
        <v>335.7</v>
      </c>
      <c r="M72" s="2"/>
      <c r="N72" s="19">
        <f t="shared" si="10"/>
        <v>0</v>
      </c>
      <c r="O72" s="11"/>
      <c r="P72" s="2">
        <v>374.92</v>
      </c>
      <c r="Q72" s="2"/>
      <c r="R72" s="19">
        <f t="shared" si="11"/>
        <v>7.9469099276303825E-4</v>
      </c>
      <c r="S72" s="2"/>
      <c r="T72" s="2">
        <v>50.92</v>
      </c>
      <c r="U72" s="2"/>
      <c r="V72" s="19">
        <f t="shared" si="12"/>
        <v>1.1122276344663443E-4</v>
      </c>
      <c r="W72" s="2"/>
      <c r="X72" s="2">
        <f t="shared" si="13"/>
        <v>324</v>
      </c>
      <c r="Y72" s="2"/>
      <c r="Z72" s="19">
        <f t="shared" si="14"/>
        <v>6.3629222309505105</v>
      </c>
    </row>
    <row r="73" spans="1:26" s="24" customFormat="1" hidden="1" outlineLevel="1" x14ac:dyDescent="0.25">
      <c r="A73" s="44"/>
      <c r="B73" s="11" t="str">
        <f>CONCATENATE("          ", "5526", " - ", "FREIGHT-IN-WRITING INSTRUMENTS")</f>
        <v xml:space="preserve">          5526 - FREIGHT-IN-WRITING INSTRUMENTS</v>
      </c>
      <c r="C73" s="11"/>
      <c r="D73" s="2">
        <v>160.91999999999999</v>
      </c>
      <c r="E73" s="2"/>
      <c r="F73" s="19">
        <f t="shared" si="7"/>
        <v>2.4662862712822946E-3</v>
      </c>
      <c r="G73" s="2"/>
      <c r="H73" s="2">
        <v>33.840000000000003</v>
      </c>
      <c r="I73" s="2"/>
      <c r="J73" s="19">
        <f t="shared" si="8"/>
        <v>6.1434216643843674E-4</v>
      </c>
      <c r="K73" s="2"/>
      <c r="L73" s="2">
        <f t="shared" si="9"/>
        <v>127.07999999999998</v>
      </c>
      <c r="M73" s="2"/>
      <c r="N73" s="19">
        <f t="shared" si="10"/>
        <v>3.7553191489361692</v>
      </c>
      <c r="O73" s="11"/>
      <c r="P73" s="2">
        <v>217.49</v>
      </c>
      <c r="Q73" s="2"/>
      <c r="R73" s="19">
        <f t="shared" si="11"/>
        <v>4.60997930267879E-4</v>
      </c>
      <c r="S73" s="2"/>
      <c r="T73" s="2">
        <v>100.32</v>
      </c>
      <c r="U73" s="2"/>
      <c r="V73" s="19">
        <f t="shared" si="12"/>
        <v>2.1912544440232451E-4</v>
      </c>
      <c r="W73" s="2"/>
      <c r="X73" s="2">
        <f t="shared" si="13"/>
        <v>117.17000000000002</v>
      </c>
      <c r="Y73" s="2"/>
      <c r="Z73" s="19">
        <f t="shared" si="14"/>
        <v>1.1679625199362045</v>
      </c>
    </row>
    <row r="74" spans="1:26" s="24" customFormat="1" hidden="1" outlineLevel="1" x14ac:dyDescent="0.25">
      <c r="A74" s="44"/>
      <c r="B74" s="11" t="str">
        <f>CONCATENATE("          ", "5527", " - ", "FREIGHT-IN-SCHOOL SUPPLIES")</f>
        <v xml:space="preserve">          5527 - FREIGHT-IN-SCHOOL SUPPLIES</v>
      </c>
      <c r="C74" s="11"/>
      <c r="D74" s="2">
        <v>134.09</v>
      </c>
      <c r="E74" s="2"/>
      <c r="F74" s="19">
        <f t="shared" si="7"/>
        <v>2.055085297764373E-3</v>
      </c>
      <c r="G74" s="2"/>
      <c r="H74" s="2">
        <v>77.010000000000005</v>
      </c>
      <c r="I74" s="2"/>
      <c r="J74" s="19">
        <f t="shared" si="8"/>
        <v>1.3980641323115843E-3</v>
      </c>
      <c r="K74" s="2"/>
      <c r="L74" s="2">
        <f t="shared" si="9"/>
        <v>57.08</v>
      </c>
      <c r="M74" s="2"/>
      <c r="N74" s="19">
        <f t="shared" si="10"/>
        <v>0.74120244124139711</v>
      </c>
      <c r="O74" s="11"/>
      <c r="P74" s="2">
        <v>872.58</v>
      </c>
      <c r="Q74" s="2"/>
      <c r="R74" s="19">
        <f t="shared" si="11"/>
        <v>1.8495451468717912E-3</v>
      </c>
      <c r="S74" s="2"/>
      <c r="T74" s="2">
        <v>1009.71</v>
      </c>
      <c r="U74" s="2"/>
      <c r="V74" s="19">
        <f t="shared" si="12"/>
        <v>2.2054740078495923E-3</v>
      </c>
      <c r="W74" s="2"/>
      <c r="X74" s="2">
        <f t="shared" si="13"/>
        <v>-137.13</v>
      </c>
      <c r="Y74" s="2"/>
      <c r="Z74" s="19">
        <f t="shared" si="14"/>
        <v>-0.13581127254360162</v>
      </c>
    </row>
    <row r="75" spans="1:26" s="24" customFormat="1" hidden="1" outlineLevel="1" x14ac:dyDescent="0.25">
      <c r="A75" s="44"/>
      <c r="B75" s="11" t="str">
        <f>CONCATENATE("          ", "5528", " - ", "FREIGHT-IN-ART/TECH")</f>
        <v xml:space="preserve">          5528 - FREIGHT-IN-ART/TECH</v>
      </c>
      <c r="C75" s="11"/>
      <c r="D75" s="2">
        <v>105.06</v>
      </c>
      <c r="E75" s="2"/>
      <c r="F75" s="19">
        <f t="shared" si="7"/>
        <v>1.6101667639878069E-3</v>
      </c>
      <c r="G75" s="2"/>
      <c r="H75" s="2">
        <v>3400.7</v>
      </c>
      <c r="I75" s="2"/>
      <c r="J75" s="19">
        <f t="shared" si="8"/>
        <v>6.1737393776808265E-2</v>
      </c>
      <c r="K75" s="2"/>
      <c r="L75" s="2">
        <f t="shared" si="9"/>
        <v>-3295.64</v>
      </c>
      <c r="M75" s="2"/>
      <c r="N75" s="19">
        <f t="shared" si="10"/>
        <v>-0.96910636045520038</v>
      </c>
      <c r="O75" s="11"/>
      <c r="P75" s="2">
        <v>923.5</v>
      </c>
      <c r="Q75" s="2"/>
      <c r="R75" s="19">
        <f t="shared" si="11"/>
        <v>1.957476613188589E-3</v>
      </c>
      <c r="S75" s="2"/>
      <c r="T75" s="2">
        <v>4504.6499999999996</v>
      </c>
      <c r="U75" s="2"/>
      <c r="V75" s="19">
        <f t="shared" si="12"/>
        <v>9.8393484163370321E-3</v>
      </c>
      <c r="W75" s="2"/>
      <c r="X75" s="2">
        <f t="shared" si="13"/>
        <v>-3581.1499999999996</v>
      </c>
      <c r="Y75" s="2"/>
      <c r="Z75" s="19">
        <f t="shared" si="14"/>
        <v>-0.79498962183521471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9" t="s">
        <v>6</v>
      </c>
      <c r="C77" s="29"/>
      <c r="D77" s="21">
        <f>D12-D52</f>
        <v>31271.790000000008</v>
      </c>
      <c r="E77" s="14"/>
      <c r="F77" s="20">
        <f>IF(D$12=0,0,D77/D$12)</f>
        <v>0.47927657441848726</v>
      </c>
      <c r="G77" s="14"/>
      <c r="H77" s="21">
        <f>H12-H52</f>
        <v>26181.399999999991</v>
      </c>
      <c r="I77" s="14"/>
      <c r="J77" s="20">
        <f>IF(H$12=0,0,H77/H$12)</f>
        <v>0.4753054963472601</v>
      </c>
      <c r="K77" s="15"/>
      <c r="L77" s="21">
        <f>+D77-H77</f>
        <v>5090.3900000000176</v>
      </c>
      <c r="M77" s="15"/>
      <c r="N77" s="20">
        <f>IF(H77=0,0,L77/H77)</f>
        <v>0.19442772349836218</v>
      </c>
      <c r="O77" s="28"/>
      <c r="P77" s="21">
        <f>P12-P52</f>
        <v>237451.03000000009</v>
      </c>
      <c r="Q77" s="14"/>
      <c r="R77" s="20">
        <f>IF(P$12=0,0,P77/P$12)</f>
        <v>0.50330789171904955</v>
      </c>
      <c r="S77" s="14"/>
      <c r="T77" s="21">
        <f>T12-T52</f>
        <v>219422.15000000002</v>
      </c>
      <c r="U77" s="14"/>
      <c r="V77" s="20">
        <f>IF(T$12=0,0,T77/T$12)</f>
        <v>0.47927607785549758</v>
      </c>
      <c r="W77" s="15"/>
      <c r="X77" s="21">
        <f>+P77-T77</f>
        <v>18028.880000000063</v>
      </c>
      <c r="Y77" s="15"/>
      <c r="Z77" s="20">
        <f>IF(T77=0,0,X77/T77)</f>
        <v>8.2165269094300927E-2</v>
      </c>
    </row>
    <row r="78" spans="1:26" x14ac:dyDescent="0.25">
      <c r="A78" s="9"/>
      <c r="B78" s="10"/>
      <c r="C78" s="9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8" t="s">
        <v>9</v>
      </c>
      <c r="C79" s="10"/>
      <c r="D79" s="22">
        <f>SUM(OSRRefD22x_0)</f>
        <v>23516.780000000002</v>
      </c>
      <c r="E79" s="22"/>
      <c r="F79" s="33">
        <f t="shared" ref="F79:F88" si="15">IF(D$12=0,0,D79/D$12)</f>
        <v>0.36042202124512829</v>
      </c>
      <c r="G79" s="22"/>
      <c r="H79" s="22">
        <f>SUM(OSRRefH22x_0)</f>
        <v>13415.87</v>
      </c>
      <c r="I79" s="22"/>
      <c r="J79" s="33">
        <f t="shared" ref="J79:J88" si="16">IF(H$12=0,0,H79/H$12)</f>
        <v>0.24355598819315694</v>
      </c>
      <c r="K79" s="4"/>
      <c r="L79" s="22">
        <f t="shared" ref="L79:L88" si="17">+D79-H79</f>
        <v>10100.910000000002</v>
      </c>
      <c r="M79" s="4"/>
      <c r="N79" s="33">
        <f t="shared" ref="N79:N88" si="18">IF(H79=0,0,L79/H79)</f>
        <v>0.75290756395224467</v>
      </c>
      <c r="O79" s="10"/>
      <c r="P79" s="22">
        <f>SUM(OSRRefP22x_0)</f>
        <v>111464.37999999998</v>
      </c>
      <c r="Q79" s="22"/>
      <c r="R79" s="33">
        <f t="shared" ref="R79:R88" si="19">IF(P$12=0,0,P79/P$12)</f>
        <v>0.23626303958155481</v>
      </c>
      <c r="S79" s="22"/>
      <c r="T79" s="22">
        <f>SUM(OSRRefT22x_0)</f>
        <v>100784.52</v>
      </c>
      <c r="U79" s="22"/>
      <c r="V79" s="33">
        <f t="shared" ref="V79:V88" si="20">IF(T$12=0,0,T79/T$12)</f>
        <v>0.22014007908567548</v>
      </c>
      <c r="W79" s="4"/>
      <c r="X79" s="22">
        <f t="shared" ref="X79:X88" si="21">+P79-T79</f>
        <v>10679.859999999971</v>
      </c>
      <c r="Y79" s="4"/>
      <c r="Z79" s="33">
        <f t="shared" ref="Z79:Z88" si="22">IF(T79=0,0,X79/T79)</f>
        <v>0.10596726560785298</v>
      </c>
    </row>
    <row r="80" spans="1:26" s="25" customFormat="1" outlineLevel="1" collapsed="1" x14ac:dyDescent="0.25">
      <c r="A80" s="27"/>
      <c r="B80" s="13" t="str">
        <f>CONCATENATE("     ","*Benefits                                         ")</f>
        <v xml:space="preserve">     *Benefits                                         </v>
      </c>
      <c r="C80" s="13"/>
      <c r="D80" s="1">
        <f>SUM(OSRRefD22_0x_0)</f>
        <v>5059.2400000000007</v>
      </c>
      <c r="E80" s="1"/>
      <c r="F80" s="5">
        <f t="shared" si="15"/>
        <v>7.7538740710429016E-2</v>
      </c>
      <c r="G80" s="1"/>
      <c r="H80" s="1">
        <f>SUM(OSRRefH22_0x_0)</f>
        <v>3159.29</v>
      </c>
      <c r="I80" s="1"/>
      <c r="J80" s="5">
        <f t="shared" si="16"/>
        <v>5.7354759545132646E-2</v>
      </c>
      <c r="K80" s="1"/>
      <c r="L80" s="1">
        <f t="shared" si="17"/>
        <v>1899.9500000000007</v>
      </c>
      <c r="M80" s="1"/>
      <c r="N80" s="5">
        <f t="shared" si="18"/>
        <v>0.60138512134055455</v>
      </c>
      <c r="O80" s="13"/>
      <c r="P80" s="1">
        <f>SUM(OSRRefP22_0x_0)</f>
        <v>18098.61</v>
      </c>
      <c r="Q80" s="1"/>
      <c r="R80" s="5">
        <f t="shared" si="19"/>
        <v>3.8362323558441942E-2</v>
      </c>
      <c r="S80" s="1"/>
      <c r="T80" s="1">
        <f>SUM(OSRRefT22_0x_0)</f>
        <v>18265.05</v>
      </c>
      <c r="U80" s="1"/>
      <c r="V80" s="5">
        <f t="shared" si="20"/>
        <v>3.989570572448841E-2</v>
      </c>
      <c r="W80" s="1"/>
      <c r="X80" s="1">
        <f t="shared" si="21"/>
        <v>-166.43999999999869</v>
      </c>
      <c r="Y80" s="1"/>
      <c r="Z80" s="5">
        <f t="shared" si="22"/>
        <v>-9.1124853203248118E-3</v>
      </c>
    </row>
    <row r="81" spans="1:26" s="24" customFormat="1" hidden="1" outlineLevel="2" x14ac:dyDescent="0.25">
      <c r="A81" s="26"/>
      <c r="B81" s="11" t="str">
        <f>CONCATENATE("          ", "6111", " - ", "F.I.C.A.")</f>
        <v xml:space="preserve">          6111 - F.I.C.A.</v>
      </c>
      <c r="C81" s="11"/>
      <c r="D81" s="6">
        <v>501.2</v>
      </c>
      <c r="E81" s="2"/>
      <c r="F81" s="7">
        <f t="shared" si="15"/>
        <v>7.6814732734693395E-3</v>
      </c>
      <c r="G81" s="2"/>
      <c r="H81" s="6">
        <v>436.63</v>
      </c>
      <c r="I81" s="2"/>
      <c r="J81" s="7">
        <f t="shared" si="16"/>
        <v>7.9267204530737174E-3</v>
      </c>
      <c r="K81" s="2"/>
      <c r="L81" s="6">
        <f t="shared" si="17"/>
        <v>64.569999999999993</v>
      </c>
      <c r="M81" s="2"/>
      <c r="N81" s="7">
        <f t="shared" si="18"/>
        <v>0.14788264663445019</v>
      </c>
      <c r="O81" s="11"/>
      <c r="P81" s="6">
        <v>2937.82</v>
      </c>
      <c r="Q81" s="2"/>
      <c r="R81" s="7">
        <f t="shared" si="19"/>
        <v>6.2270860246428812E-3</v>
      </c>
      <c r="S81" s="2"/>
      <c r="T81" s="6">
        <v>3616.48</v>
      </c>
      <c r="U81" s="2"/>
      <c r="V81" s="7">
        <f t="shared" si="20"/>
        <v>7.8993499518751863E-3</v>
      </c>
      <c r="W81" s="2"/>
      <c r="X81" s="6">
        <f t="shared" si="21"/>
        <v>-678.65999999999985</v>
      </c>
      <c r="Y81" s="2"/>
      <c r="Z81" s="7">
        <f t="shared" si="22"/>
        <v>-0.18765761182143958</v>
      </c>
    </row>
    <row r="82" spans="1:26" s="24" customFormat="1" hidden="1" outlineLevel="2" x14ac:dyDescent="0.25">
      <c r="A82" s="26"/>
      <c r="B82" s="11" t="str">
        <f>CONCATENATE("          ", "6112", " - ", "COMPENSATION INSURANCE")</f>
        <v xml:space="preserve">          6112 - COMPENSATION INSURANCE</v>
      </c>
      <c r="C82" s="11"/>
      <c r="D82" s="6">
        <v>328.21</v>
      </c>
      <c r="E82" s="2"/>
      <c r="F82" s="7">
        <f t="shared" si="15"/>
        <v>5.030200205677118E-3</v>
      </c>
      <c r="G82" s="2"/>
      <c r="H82" s="6">
        <v>163.29</v>
      </c>
      <c r="I82" s="2"/>
      <c r="J82" s="7">
        <f t="shared" si="16"/>
        <v>2.9644188048975274E-3</v>
      </c>
      <c r="K82" s="2"/>
      <c r="L82" s="6">
        <f t="shared" si="17"/>
        <v>164.92</v>
      </c>
      <c r="M82" s="2"/>
      <c r="N82" s="7">
        <f t="shared" si="18"/>
        <v>1.0099822401861718</v>
      </c>
      <c r="O82" s="11"/>
      <c r="P82" s="6">
        <v>1111.1199999999999</v>
      </c>
      <c r="Q82" s="2"/>
      <c r="R82" s="7">
        <f t="shared" si="19"/>
        <v>2.3551612500769948E-3</v>
      </c>
      <c r="S82" s="2"/>
      <c r="T82" s="6">
        <v>875.56</v>
      </c>
      <c r="U82" s="2"/>
      <c r="V82" s="7">
        <f t="shared" si="20"/>
        <v>1.9124548853757901E-3</v>
      </c>
      <c r="W82" s="2"/>
      <c r="X82" s="6">
        <f t="shared" si="21"/>
        <v>235.55999999999995</v>
      </c>
      <c r="Y82" s="2"/>
      <c r="Z82" s="7">
        <f t="shared" si="22"/>
        <v>0.26903924345561692</v>
      </c>
    </row>
    <row r="83" spans="1:26" s="24" customFormat="1" hidden="1" outlineLevel="2" x14ac:dyDescent="0.25">
      <c r="A83" s="26"/>
      <c r="B83" s="11" t="str">
        <f>CONCATENATE("          ", "6113", " - ", "GROUP INSURANCE")</f>
        <v xml:space="preserve">          6113 - GROUP INSURANCE</v>
      </c>
      <c r="C83" s="11"/>
      <c r="D83" s="6">
        <v>3100.31</v>
      </c>
      <c r="E83" s="2"/>
      <c r="F83" s="7">
        <f t="shared" si="15"/>
        <v>4.7515858747944388E-2</v>
      </c>
      <c r="G83" s="2"/>
      <c r="H83" s="6">
        <v>1514.64</v>
      </c>
      <c r="I83" s="2"/>
      <c r="J83" s="7">
        <f t="shared" si="16"/>
        <v>2.7497258243921803E-2</v>
      </c>
      <c r="K83" s="2"/>
      <c r="L83" s="6">
        <f t="shared" si="17"/>
        <v>1585.6699999999998</v>
      </c>
      <c r="M83" s="2"/>
      <c r="N83" s="7">
        <f t="shared" si="18"/>
        <v>1.0468956319653513</v>
      </c>
      <c r="O83" s="11"/>
      <c r="P83" s="6">
        <v>7975.51</v>
      </c>
      <c r="Q83" s="2"/>
      <c r="R83" s="7">
        <f t="shared" si="19"/>
        <v>1.6905115650516216E-2</v>
      </c>
      <c r="S83" s="2"/>
      <c r="T83" s="6">
        <v>6937.66</v>
      </c>
      <c r="U83" s="2"/>
      <c r="V83" s="7">
        <f t="shared" si="20"/>
        <v>1.5153686509292571E-2</v>
      </c>
      <c r="W83" s="2"/>
      <c r="X83" s="6">
        <f t="shared" si="21"/>
        <v>1037.8500000000004</v>
      </c>
      <c r="Y83" s="2"/>
      <c r="Z83" s="7">
        <f t="shared" si="22"/>
        <v>0.14959654984533696</v>
      </c>
    </row>
    <row r="84" spans="1:26" s="24" customFormat="1" hidden="1" outlineLevel="2" x14ac:dyDescent="0.25">
      <c r="A84" s="26"/>
      <c r="B84" s="11" t="str">
        <f>CONCATENATE("          ", "6114", " - ", "STATE UNEMPLOYMENT INSURANCE")</f>
        <v xml:space="preserve">          6114 - STATE UNEMPLOYMENT INSURANCE</v>
      </c>
      <c r="C84" s="11"/>
      <c r="D84" s="6">
        <v>45.94</v>
      </c>
      <c r="E84" s="2"/>
      <c r="F84" s="7">
        <f t="shared" si="15"/>
        <v>7.0408396285550961E-4</v>
      </c>
      <c r="G84" s="2"/>
      <c r="H84" s="6">
        <v>35.67</v>
      </c>
      <c r="I84" s="2"/>
      <c r="J84" s="7">
        <f t="shared" si="16"/>
        <v>6.4756457082916778E-4</v>
      </c>
      <c r="K84" s="2"/>
      <c r="L84" s="6">
        <f t="shared" si="17"/>
        <v>10.269999999999996</v>
      </c>
      <c r="M84" s="2"/>
      <c r="N84" s="7">
        <f t="shared" si="18"/>
        <v>0.28791701710120537</v>
      </c>
      <c r="O84" s="11"/>
      <c r="P84" s="6">
        <v>194.02</v>
      </c>
      <c r="Q84" s="2"/>
      <c r="R84" s="7">
        <f t="shared" si="19"/>
        <v>4.1125025716388746E-4</v>
      </c>
      <c r="S84" s="2"/>
      <c r="T84" s="6">
        <v>191.31</v>
      </c>
      <c r="U84" s="2"/>
      <c r="V84" s="7">
        <f t="shared" si="20"/>
        <v>4.1787169825168168E-4</v>
      </c>
      <c r="W84" s="2"/>
      <c r="X84" s="6">
        <f t="shared" si="21"/>
        <v>2.710000000000008</v>
      </c>
      <c r="Y84" s="2"/>
      <c r="Z84" s="7">
        <f t="shared" si="22"/>
        <v>1.4165490565051529E-2</v>
      </c>
    </row>
    <row r="85" spans="1:26" s="24" customFormat="1" hidden="1" outlineLevel="2" x14ac:dyDescent="0.25">
      <c r="A85" s="26"/>
      <c r="B85" s="11" t="str">
        <f>CONCATENATE("          ", "6115", " - ", "P.E.R.S.")</f>
        <v xml:space="preserve">          6115 - P.E.R.S.</v>
      </c>
      <c r="C85" s="11"/>
      <c r="D85" s="6">
        <v>531.63</v>
      </c>
      <c r="E85" s="2"/>
      <c r="F85" s="7">
        <f t="shared" si="15"/>
        <v>8.1478484365014054E-3</v>
      </c>
      <c r="G85" s="2"/>
      <c r="H85" s="6">
        <v>362.26</v>
      </c>
      <c r="I85" s="2"/>
      <c r="J85" s="7">
        <f t="shared" si="16"/>
        <v>6.5765837238176148E-3</v>
      </c>
      <c r="K85" s="2"/>
      <c r="L85" s="6">
        <f t="shared" si="17"/>
        <v>169.37</v>
      </c>
      <c r="M85" s="2"/>
      <c r="N85" s="7">
        <f t="shared" si="18"/>
        <v>0.46753712802959202</v>
      </c>
      <c r="O85" s="11"/>
      <c r="P85" s="6">
        <v>1832.29</v>
      </c>
      <c r="Q85" s="2"/>
      <c r="R85" s="7">
        <f t="shared" si="19"/>
        <v>3.8837734960252518E-3</v>
      </c>
      <c r="S85" s="2"/>
      <c r="T85" s="6">
        <v>2267.98</v>
      </c>
      <c r="U85" s="2"/>
      <c r="V85" s="7">
        <f t="shared" si="20"/>
        <v>4.9538688735604464E-3</v>
      </c>
      <c r="W85" s="2"/>
      <c r="X85" s="6">
        <f t="shared" si="21"/>
        <v>-435.69000000000005</v>
      </c>
      <c r="Y85" s="2"/>
      <c r="Z85" s="7">
        <f t="shared" si="22"/>
        <v>-0.19210486864963539</v>
      </c>
    </row>
    <row r="86" spans="1:26" s="24" customFormat="1" hidden="1" outlineLevel="2" x14ac:dyDescent="0.25">
      <c r="A86" s="26"/>
      <c r="B86" s="11" t="str">
        <f>CONCATENATE("          ", "6118", " - ", "VACATION")</f>
        <v xml:space="preserve">          6118 - VACATION</v>
      </c>
      <c r="C86" s="11"/>
      <c r="D86" s="6">
        <v>597.84</v>
      </c>
      <c r="E86" s="2"/>
      <c r="F86" s="7">
        <f t="shared" si="15"/>
        <v>9.1625937386490622E-3</v>
      </c>
      <c r="G86" s="2"/>
      <c r="H86" s="6">
        <v>252.59</v>
      </c>
      <c r="I86" s="2"/>
      <c r="J86" s="7">
        <f t="shared" si="16"/>
        <v>4.5855995218878464E-3</v>
      </c>
      <c r="K86" s="2"/>
      <c r="L86" s="6">
        <f t="shared" si="17"/>
        <v>345.25</v>
      </c>
      <c r="M86" s="2"/>
      <c r="N86" s="7">
        <f t="shared" si="18"/>
        <v>1.3668395423413437</v>
      </c>
      <c r="O86" s="11"/>
      <c r="P86" s="6">
        <v>2038.58</v>
      </c>
      <c r="Q86" s="2"/>
      <c r="R86" s="7">
        <f t="shared" si="19"/>
        <v>4.3210315908110385E-3</v>
      </c>
      <c r="S86" s="2"/>
      <c r="T86" s="6">
        <v>1767.15</v>
      </c>
      <c r="U86" s="2"/>
      <c r="V86" s="7">
        <f t="shared" si="20"/>
        <v>3.8599235354422629E-3</v>
      </c>
      <c r="W86" s="2"/>
      <c r="X86" s="6">
        <f t="shared" si="21"/>
        <v>271.42999999999984</v>
      </c>
      <c r="Y86" s="2"/>
      <c r="Z86" s="7">
        <f t="shared" si="22"/>
        <v>0.15359760065642408</v>
      </c>
    </row>
    <row r="87" spans="1:26" s="24" customFormat="1" hidden="1" outlineLevel="2" x14ac:dyDescent="0.25">
      <c r="A87" s="26"/>
      <c r="B87" s="11" t="str">
        <f>CONCATENATE("          ", "6119", " - ", "SICK LEAVE")</f>
        <v xml:space="preserve">          6119 - SICK LEAVE</v>
      </c>
      <c r="C87" s="11"/>
      <c r="D87" s="6">
        <v>-182.24</v>
      </c>
      <c r="E87" s="2"/>
      <c r="F87" s="7">
        <f t="shared" si="15"/>
        <v>-2.7930400825160661E-3</v>
      </c>
      <c r="G87" s="2"/>
      <c r="H87" s="6">
        <v>244.21</v>
      </c>
      <c r="I87" s="2"/>
      <c r="J87" s="7">
        <f t="shared" si="16"/>
        <v>4.4334663258253732E-3</v>
      </c>
      <c r="K87" s="2"/>
      <c r="L87" s="6">
        <f t="shared" si="17"/>
        <v>-426.45000000000005</v>
      </c>
      <c r="M87" s="2"/>
      <c r="N87" s="7">
        <f t="shared" si="18"/>
        <v>-1.7462429875926457</v>
      </c>
      <c r="O87" s="11"/>
      <c r="P87" s="6">
        <v>1225.27</v>
      </c>
      <c r="Q87" s="2"/>
      <c r="R87" s="7">
        <f t="shared" si="19"/>
        <v>2.5971168054592124E-3</v>
      </c>
      <c r="S87" s="2"/>
      <c r="T87" s="6">
        <v>1860.17</v>
      </c>
      <c r="U87" s="2"/>
      <c r="V87" s="7">
        <f t="shared" si="20"/>
        <v>4.0631038468288676E-3</v>
      </c>
      <c r="W87" s="2"/>
      <c r="X87" s="6">
        <f t="shared" si="21"/>
        <v>-634.90000000000009</v>
      </c>
      <c r="Y87" s="2"/>
      <c r="Z87" s="7">
        <f t="shared" si="22"/>
        <v>-0.34131289075729643</v>
      </c>
    </row>
    <row r="88" spans="1:26" s="24" customFormat="1" hidden="1" outlineLevel="2" x14ac:dyDescent="0.25">
      <c r="A88" s="26"/>
      <c r="B88" s="11" t="str">
        <f>CONCATENATE("          ", "6156", " - ", "EMPLOYEE MEALS")</f>
        <v xml:space="preserve">          6156 - EMPLOYEE MEALS</v>
      </c>
      <c r="C88" s="11"/>
      <c r="D88" s="6">
        <v>136.35</v>
      </c>
      <c r="E88" s="2"/>
      <c r="F88" s="7">
        <f t="shared" si="15"/>
        <v>2.0897224278482529E-3</v>
      </c>
      <c r="G88" s="2"/>
      <c r="H88" s="6">
        <v>150</v>
      </c>
      <c r="I88" s="2"/>
      <c r="J88" s="7">
        <f t="shared" si="16"/>
        <v>2.7231479008795953E-3</v>
      </c>
      <c r="K88" s="2"/>
      <c r="L88" s="6">
        <f t="shared" si="17"/>
        <v>-13.650000000000006</v>
      </c>
      <c r="M88" s="2"/>
      <c r="N88" s="7">
        <f t="shared" si="18"/>
        <v>-9.1000000000000039E-2</v>
      </c>
      <c r="O88" s="11"/>
      <c r="P88" s="6">
        <v>784</v>
      </c>
      <c r="Q88" s="2"/>
      <c r="R88" s="7">
        <f t="shared" si="19"/>
        <v>1.6617884837464578E-3</v>
      </c>
      <c r="S88" s="2"/>
      <c r="T88" s="6">
        <v>748.74</v>
      </c>
      <c r="U88" s="2"/>
      <c r="V88" s="7">
        <f t="shared" si="20"/>
        <v>1.6354464238616075E-3</v>
      </c>
      <c r="W88" s="2"/>
      <c r="X88" s="6">
        <f t="shared" si="21"/>
        <v>35.259999999999991</v>
      </c>
      <c r="Y88" s="2"/>
      <c r="Z88" s="7">
        <f t="shared" si="22"/>
        <v>4.709244864706038E-2</v>
      </c>
    </row>
    <row r="89" spans="1:26" s="25" customFormat="1" outlineLevel="1" collapsed="1" x14ac:dyDescent="0.25">
      <c r="A89" s="27"/>
      <c r="B89" s="13" t="str">
        <f>CONCATENATE("     ","*Payroll                                          ")</f>
        <v xml:space="preserve">     *Payroll                                          </v>
      </c>
      <c r="C89" s="13"/>
      <c r="D89" s="1">
        <f>SUM(OSRRefD22_1x_0)</f>
        <v>15333.169999999998</v>
      </c>
      <c r="E89" s="1"/>
      <c r="F89" s="5">
        <f t="shared" ref="F89:F94" si="23">IF(D$12=0,0,D89/D$12)</f>
        <v>0.2349986742868353</v>
      </c>
      <c r="G89" s="1"/>
      <c r="H89" s="1">
        <f>SUM(OSRRefH22_1x_0)</f>
        <v>7394.65</v>
      </c>
      <c r="I89" s="1"/>
      <c r="J89" s="5">
        <f t="shared" ref="J89:J94" si="24">IF(H$12=0,0,H89/H$12)</f>
        <v>0.13424483750159533</v>
      </c>
      <c r="K89" s="1"/>
      <c r="L89" s="1">
        <f t="shared" ref="L89:L94" si="25">+D89-H89</f>
        <v>7938.5199999999986</v>
      </c>
      <c r="M89" s="1"/>
      <c r="N89" s="5">
        <f t="shared" ref="N89:N94" si="26">IF(H89=0,0,L89/H89)</f>
        <v>1.0735491199718714</v>
      </c>
      <c r="O89" s="13"/>
      <c r="P89" s="1">
        <f>SUM(OSRRefP22_1x_0)</f>
        <v>76684.26999999999</v>
      </c>
      <c r="Q89" s="1"/>
      <c r="R89" s="5">
        <f t="shared" ref="R89:R94" si="27">IF(P$12=0,0,P89/P$12)</f>
        <v>0.16254213873788773</v>
      </c>
      <c r="S89" s="1"/>
      <c r="T89" s="1">
        <f>SUM(OSRRefT22_1x_0)</f>
        <v>62649.47</v>
      </c>
      <c r="U89" s="1"/>
      <c r="V89" s="5">
        <f t="shared" ref="V89:V94" si="28">IF(T$12=0,0,T89/T$12)</f>
        <v>0.13684303185127691</v>
      </c>
      <c r="W89" s="1"/>
      <c r="X89" s="1">
        <f t="shared" ref="X89:X94" si="29">+P89-T89</f>
        <v>14034.799999999988</v>
      </c>
      <c r="Y89" s="1"/>
      <c r="Z89" s="5">
        <f t="shared" ref="Z89:Z94" si="30">IF(T89=0,0,X89/T89)</f>
        <v>0.22402104918046375</v>
      </c>
    </row>
    <row r="90" spans="1:26" s="24" customFormat="1" hidden="1" outlineLevel="2" x14ac:dyDescent="0.25">
      <c r="A90" s="26"/>
      <c r="B90" s="11" t="str">
        <f>CONCATENATE("          ", "6002", " - ", "STAFF SALARIES")</f>
        <v xml:space="preserve">          6002 - STAFF SALARIES</v>
      </c>
      <c r="C90" s="11"/>
      <c r="D90" s="6">
        <v>4928.6499999999996</v>
      </c>
      <c r="E90" s="2"/>
      <c r="F90" s="7">
        <f t="shared" si="23"/>
        <v>7.5537296985803387E-2</v>
      </c>
      <c r="G90" s="2"/>
      <c r="H90" s="6">
        <v>887.18</v>
      </c>
      <c r="I90" s="2"/>
      <c r="J90" s="7">
        <f t="shared" si="24"/>
        <v>1.6106149031349062E-2</v>
      </c>
      <c r="K90" s="2"/>
      <c r="L90" s="6">
        <f t="shared" si="25"/>
        <v>4041.47</v>
      </c>
      <c r="M90" s="2"/>
      <c r="N90" s="7">
        <f t="shared" si="26"/>
        <v>4.5554115286638561</v>
      </c>
      <c r="O90" s="11"/>
      <c r="P90" s="6">
        <v>24936.76</v>
      </c>
      <c r="Q90" s="2"/>
      <c r="R90" s="7">
        <f t="shared" si="27"/>
        <v>5.2856658915751684E-2</v>
      </c>
      <c r="S90" s="2"/>
      <c r="T90" s="6">
        <v>27255.64</v>
      </c>
      <c r="U90" s="2"/>
      <c r="V90" s="7">
        <f t="shared" si="28"/>
        <v>5.9533534962816714E-2</v>
      </c>
      <c r="W90" s="2"/>
      <c r="X90" s="6">
        <f t="shared" si="29"/>
        <v>-2318.880000000001</v>
      </c>
      <c r="Y90" s="2"/>
      <c r="Z90" s="7">
        <f t="shared" si="30"/>
        <v>-8.5078904769801816E-2</v>
      </c>
    </row>
    <row r="91" spans="1:26" s="24" customFormat="1" hidden="1" outlineLevel="2" x14ac:dyDescent="0.25">
      <c r="A91" s="26"/>
      <c r="B91" s="11" t="str">
        <f>CONCATENATE("          ", "6004", " - ", "STAFF HOURLY")</f>
        <v xml:space="preserve">          6004 - STAFF HOURLY</v>
      </c>
      <c r="C91" s="11"/>
      <c r="D91" s="6">
        <v>-48</v>
      </c>
      <c r="E91" s="2"/>
      <c r="F91" s="7">
        <f t="shared" si="23"/>
        <v>-7.3565586018860393E-4</v>
      </c>
      <c r="G91" s="2"/>
      <c r="H91" s="6"/>
      <c r="I91" s="2"/>
      <c r="J91" s="7">
        <f t="shared" si="24"/>
        <v>0</v>
      </c>
      <c r="K91" s="2"/>
      <c r="L91" s="6">
        <f t="shared" si="25"/>
        <v>-48</v>
      </c>
      <c r="M91" s="2"/>
      <c r="N91" s="7">
        <f t="shared" si="26"/>
        <v>0</v>
      </c>
      <c r="O91" s="11"/>
      <c r="P91" s="6">
        <v>-48</v>
      </c>
      <c r="Q91" s="2"/>
      <c r="R91" s="7">
        <f t="shared" si="27"/>
        <v>-1.0174215206610967E-4</v>
      </c>
      <c r="S91" s="2"/>
      <c r="T91" s="6"/>
      <c r="U91" s="2"/>
      <c r="V91" s="7">
        <f t="shared" si="28"/>
        <v>0</v>
      </c>
      <c r="W91" s="2"/>
      <c r="X91" s="6">
        <f t="shared" si="29"/>
        <v>-48</v>
      </c>
      <c r="Y91" s="2"/>
      <c r="Z91" s="7">
        <f t="shared" si="30"/>
        <v>0</v>
      </c>
    </row>
    <row r="92" spans="1:26" s="24" customFormat="1" hidden="1" outlineLevel="2" x14ac:dyDescent="0.25">
      <c r="A92" s="26"/>
      <c r="B92" s="11" t="str">
        <f>CONCATENATE("          ", "6005", " - ", "TEMPORARY WAGES-HOURLY")</f>
        <v xml:space="preserve">          6005 - TEMPORARY WAGES-HOURLY</v>
      </c>
      <c r="C92" s="11"/>
      <c r="D92" s="6">
        <v>1265.1300000000001</v>
      </c>
      <c r="E92" s="2"/>
      <c r="F92" s="7">
        <f t="shared" si="23"/>
        <v>1.9389589550008513E-2</v>
      </c>
      <c r="G92" s="2"/>
      <c r="H92" s="6"/>
      <c r="I92" s="2"/>
      <c r="J92" s="7">
        <f t="shared" si="24"/>
        <v>0</v>
      </c>
      <c r="K92" s="2"/>
      <c r="L92" s="6">
        <f t="shared" si="25"/>
        <v>1265.1300000000001</v>
      </c>
      <c r="M92" s="2"/>
      <c r="N92" s="7">
        <f t="shared" si="26"/>
        <v>0</v>
      </c>
      <c r="O92" s="11"/>
      <c r="P92" s="6">
        <v>1682.01</v>
      </c>
      <c r="Q92" s="2"/>
      <c r="R92" s="7">
        <f t="shared" si="27"/>
        <v>3.5652357749316067E-3</v>
      </c>
      <c r="S92" s="2"/>
      <c r="T92" s="6"/>
      <c r="U92" s="2"/>
      <c r="V92" s="7">
        <f t="shared" si="28"/>
        <v>0</v>
      </c>
      <c r="W92" s="2"/>
      <c r="X92" s="6">
        <f t="shared" si="29"/>
        <v>1682.01</v>
      </c>
      <c r="Y92" s="2"/>
      <c r="Z92" s="7">
        <f t="shared" si="30"/>
        <v>0</v>
      </c>
    </row>
    <row r="93" spans="1:26" s="24" customFormat="1" hidden="1" outlineLevel="2" x14ac:dyDescent="0.25">
      <c r="A93" s="26"/>
      <c r="B93" s="11" t="str">
        <f>CONCATENATE("          ", "6006", " - ", "TEMPORARY PART TIME")</f>
        <v xml:space="preserve">          6006 - TEMPORARY PART TIME</v>
      </c>
      <c r="C93" s="11"/>
      <c r="D93" s="6"/>
      <c r="E93" s="2"/>
      <c r="F93" s="7">
        <f t="shared" si="23"/>
        <v>0</v>
      </c>
      <c r="G93" s="2"/>
      <c r="H93" s="6">
        <v>514.25</v>
      </c>
      <c r="I93" s="2"/>
      <c r="J93" s="7">
        <f t="shared" si="24"/>
        <v>9.3358587201822132E-3</v>
      </c>
      <c r="K93" s="2"/>
      <c r="L93" s="6">
        <f t="shared" si="25"/>
        <v>-514.25</v>
      </c>
      <c r="M93" s="2"/>
      <c r="N93" s="7">
        <f t="shared" si="26"/>
        <v>-1</v>
      </c>
      <c r="O93" s="11"/>
      <c r="P93" s="6">
        <v>25.5</v>
      </c>
      <c r="Q93" s="2"/>
      <c r="R93" s="7">
        <f t="shared" si="27"/>
        <v>5.4050518285120759E-5</v>
      </c>
      <c r="S93" s="2"/>
      <c r="T93" s="6">
        <v>3493.5</v>
      </c>
      <c r="U93" s="2"/>
      <c r="V93" s="7">
        <f t="shared" si="28"/>
        <v>7.6307290671802312E-3</v>
      </c>
      <c r="W93" s="2"/>
      <c r="X93" s="6">
        <f t="shared" si="29"/>
        <v>-3468</v>
      </c>
      <c r="Y93" s="2"/>
      <c r="Z93" s="7">
        <f t="shared" si="30"/>
        <v>-0.99270072992700731</v>
      </c>
    </row>
    <row r="94" spans="1:26" s="24" customFormat="1" hidden="1" outlineLevel="2" x14ac:dyDescent="0.25">
      <c r="A94" s="26"/>
      <c r="B94" s="11" t="str">
        <f>CONCATENATE("          ", "6007", " - ", "STUDENT HOURLY")</f>
        <v xml:space="preserve">          6007 - STUDENT HOURLY</v>
      </c>
      <c r="C94" s="11"/>
      <c r="D94" s="6">
        <v>9187.39</v>
      </c>
      <c r="E94" s="2"/>
      <c r="F94" s="7">
        <f t="shared" si="23"/>
        <v>0.14080744361121203</v>
      </c>
      <c r="G94" s="2"/>
      <c r="H94" s="6">
        <v>5993.22</v>
      </c>
      <c r="I94" s="2"/>
      <c r="J94" s="7">
        <f t="shared" si="24"/>
        <v>0.10880282975006406</v>
      </c>
      <c r="K94" s="2"/>
      <c r="L94" s="6">
        <f t="shared" si="25"/>
        <v>3194.1699999999992</v>
      </c>
      <c r="M94" s="2"/>
      <c r="N94" s="7">
        <f t="shared" si="26"/>
        <v>0.53296391589162406</v>
      </c>
      <c r="O94" s="11"/>
      <c r="P94" s="6">
        <v>50088</v>
      </c>
      <c r="Q94" s="2"/>
      <c r="R94" s="7">
        <f t="shared" si="27"/>
        <v>0.10616793568098544</v>
      </c>
      <c r="S94" s="2"/>
      <c r="T94" s="6">
        <v>31900.329999999998</v>
      </c>
      <c r="U94" s="2"/>
      <c r="V94" s="7">
        <f t="shared" si="28"/>
        <v>6.9678767821279949E-2</v>
      </c>
      <c r="W94" s="2"/>
      <c r="X94" s="6">
        <f t="shared" si="29"/>
        <v>18187.670000000002</v>
      </c>
      <c r="Y94" s="2"/>
      <c r="Z94" s="7">
        <f t="shared" si="30"/>
        <v>0.5701404969791849</v>
      </c>
    </row>
    <row r="95" spans="1:26" s="25" customFormat="1" outlineLevel="1" collapsed="1" x14ac:dyDescent="0.25">
      <c r="A95" s="27"/>
      <c r="B95" s="13" t="str">
        <f>CONCATENATE("     ","Advertising/Promo                                 ")</f>
        <v xml:space="preserve">     Advertising/Promo                                 </v>
      </c>
      <c r="C95" s="13"/>
      <c r="D95" s="1">
        <f>SUM(OSRRefD22_2x_0)</f>
        <v>660</v>
      </c>
      <c r="E95" s="1"/>
      <c r="F95" s="5">
        <f t="shared" ref="F95:F101" si="31">IF(D$12=0,0,D95/D$12)</f>
        <v>1.0115268077593303E-2</v>
      </c>
      <c r="G95" s="1"/>
      <c r="H95" s="1">
        <f>SUM(OSRRefH22_2x_0)</f>
        <v>89</v>
      </c>
      <c r="I95" s="1"/>
      <c r="J95" s="5">
        <f t="shared" ref="J95:J101" si="32">IF(H$12=0,0,H95/H$12)</f>
        <v>1.6157344211885599E-3</v>
      </c>
      <c r="K95" s="1"/>
      <c r="L95" s="1">
        <f t="shared" ref="L95:L101" si="33">+D95-H95</f>
        <v>571</v>
      </c>
      <c r="M95" s="1"/>
      <c r="N95" s="5">
        <f t="shared" ref="N95:N101" si="34">IF(H95=0,0,L95/H95)</f>
        <v>6.415730337078652</v>
      </c>
      <c r="O95" s="13"/>
      <c r="P95" s="1">
        <f>SUM(OSRRefP22_2x_0)</f>
        <v>1845.48</v>
      </c>
      <c r="Q95" s="1"/>
      <c r="R95" s="5">
        <f t="shared" ref="R95:R101" si="35">IF(P$12=0,0,P95/P$12)</f>
        <v>3.9117313915617517E-3</v>
      </c>
      <c r="S95" s="1"/>
      <c r="T95" s="1">
        <f>SUM(OSRRefT22_2x_0)</f>
        <v>917.86</v>
      </c>
      <c r="U95" s="1"/>
      <c r="V95" s="5">
        <f t="shared" ref="V95:V101" si="36">IF(T$12=0,0,T95/T$12)</f>
        <v>2.0048492862750956E-3</v>
      </c>
      <c r="W95" s="1"/>
      <c r="X95" s="1">
        <f t="shared" ref="X95:X101" si="37">+P95-T95</f>
        <v>927.62</v>
      </c>
      <c r="Y95" s="1"/>
      <c r="Z95" s="5">
        <f t="shared" ref="Z95:Z101" si="38">IF(T95=0,0,X95/T95)</f>
        <v>1.0106334299348485</v>
      </c>
    </row>
    <row r="96" spans="1:26" s="24" customFormat="1" hidden="1" outlineLevel="2" x14ac:dyDescent="0.25">
      <c r="A96" s="26"/>
      <c r="B96" s="11" t="str">
        <f>CONCATENATE("          ", "6362", " - ", "ADVERTISING EXPENSE")</f>
        <v xml:space="preserve">          6362 - ADVERTISING EXPENSE</v>
      </c>
      <c r="C96" s="11"/>
      <c r="D96" s="6">
        <v>660</v>
      </c>
      <c r="E96" s="2"/>
      <c r="F96" s="7">
        <f t="shared" si="31"/>
        <v>1.0115268077593303E-2</v>
      </c>
      <c r="G96" s="2"/>
      <c r="H96" s="6">
        <v>89</v>
      </c>
      <c r="I96" s="2"/>
      <c r="J96" s="7">
        <f t="shared" si="32"/>
        <v>1.6157344211885599E-3</v>
      </c>
      <c r="K96" s="2"/>
      <c r="L96" s="6">
        <f t="shared" si="33"/>
        <v>571</v>
      </c>
      <c r="M96" s="2"/>
      <c r="N96" s="7">
        <f t="shared" si="34"/>
        <v>6.415730337078652</v>
      </c>
      <c r="O96" s="11"/>
      <c r="P96" s="6">
        <v>1845.48</v>
      </c>
      <c r="Q96" s="2"/>
      <c r="R96" s="7">
        <f t="shared" si="35"/>
        <v>3.9117313915617517E-3</v>
      </c>
      <c r="S96" s="2"/>
      <c r="T96" s="6">
        <v>917.86</v>
      </c>
      <c r="U96" s="2"/>
      <c r="V96" s="7">
        <f t="shared" si="36"/>
        <v>2.0048492862750956E-3</v>
      </c>
      <c r="W96" s="2"/>
      <c r="X96" s="6">
        <f t="shared" si="37"/>
        <v>927.62</v>
      </c>
      <c r="Y96" s="2"/>
      <c r="Z96" s="7">
        <f t="shared" si="38"/>
        <v>1.0106334299348485</v>
      </c>
    </row>
    <row r="97" spans="1:26" s="25" customFormat="1" outlineLevel="1" collapsed="1" x14ac:dyDescent="0.25">
      <c r="A97" s="27"/>
      <c r="B97" s="13" t="str">
        <f>CONCATENATE("     ","Bad Debts/Over/Short                              ")</f>
        <v xml:space="preserve">     Bad Debts/Over/Short                              </v>
      </c>
      <c r="C97" s="13"/>
      <c r="D97" s="1">
        <f>SUM(OSRRefD22_3x_0)</f>
        <v>0.35</v>
      </c>
      <c r="E97" s="1"/>
      <c r="F97" s="5">
        <f t="shared" si="31"/>
        <v>5.3641573138752365E-6</v>
      </c>
      <c r="G97" s="1"/>
      <c r="H97" s="1">
        <f>SUM(OSRRefH22_3x_0)</f>
        <v>16.75</v>
      </c>
      <c r="I97" s="1"/>
      <c r="J97" s="5">
        <f t="shared" si="32"/>
        <v>3.0408484893155481E-4</v>
      </c>
      <c r="K97" s="1"/>
      <c r="L97" s="1">
        <f t="shared" si="33"/>
        <v>-16.399999999999999</v>
      </c>
      <c r="M97" s="1"/>
      <c r="N97" s="5">
        <f t="shared" si="34"/>
        <v>-0.97910447761194019</v>
      </c>
      <c r="O97" s="13"/>
      <c r="P97" s="1">
        <f>SUM(OSRRefP22_3x_0)</f>
        <v>-47.21</v>
      </c>
      <c r="Q97" s="1"/>
      <c r="R97" s="5">
        <f t="shared" si="35"/>
        <v>-1.0006764581335494E-4</v>
      </c>
      <c r="S97" s="1"/>
      <c r="T97" s="1">
        <f>SUM(OSRRefT22_3x_0)</f>
        <v>14.39</v>
      </c>
      <c r="U97" s="1"/>
      <c r="V97" s="5">
        <f t="shared" si="36"/>
        <v>3.1431570424137264E-5</v>
      </c>
      <c r="W97" s="1"/>
      <c r="X97" s="1">
        <f t="shared" si="37"/>
        <v>-61.6</v>
      </c>
      <c r="Y97" s="1"/>
      <c r="Z97" s="5">
        <f t="shared" si="38"/>
        <v>-4.2807505211952748</v>
      </c>
    </row>
    <row r="98" spans="1:26" s="24" customFormat="1" hidden="1" outlineLevel="2" x14ac:dyDescent="0.25">
      <c r="A98" s="26"/>
      <c r="B98" s="11" t="str">
        <f>CONCATENATE("          ", "6272", " - ", "CASH (OVER/SHORT)")</f>
        <v xml:space="preserve">          6272 - CASH (OVER/SHORT)</v>
      </c>
      <c r="C98" s="11"/>
      <c r="D98" s="6">
        <v>0.35</v>
      </c>
      <c r="E98" s="2"/>
      <c r="F98" s="7">
        <f t="shared" si="31"/>
        <v>5.3641573138752365E-6</v>
      </c>
      <c r="G98" s="2"/>
      <c r="H98" s="6">
        <v>16.75</v>
      </c>
      <c r="I98" s="2"/>
      <c r="J98" s="7">
        <f t="shared" si="32"/>
        <v>3.0408484893155481E-4</v>
      </c>
      <c r="K98" s="2"/>
      <c r="L98" s="6">
        <f t="shared" si="33"/>
        <v>-16.399999999999999</v>
      </c>
      <c r="M98" s="2"/>
      <c r="N98" s="7">
        <f t="shared" si="34"/>
        <v>-0.97910447761194019</v>
      </c>
      <c r="O98" s="11"/>
      <c r="P98" s="6">
        <v>-47.21</v>
      </c>
      <c r="Q98" s="2"/>
      <c r="R98" s="7">
        <f t="shared" si="35"/>
        <v>-1.0006764581335494E-4</v>
      </c>
      <c r="S98" s="2"/>
      <c r="T98" s="6">
        <v>14.39</v>
      </c>
      <c r="U98" s="2"/>
      <c r="V98" s="7">
        <f t="shared" si="36"/>
        <v>3.1431570424137264E-5</v>
      </c>
      <c r="W98" s="2"/>
      <c r="X98" s="6">
        <f t="shared" si="37"/>
        <v>-61.6</v>
      </c>
      <c r="Y98" s="2"/>
      <c r="Z98" s="7">
        <f t="shared" si="38"/>
        <v>-4.2807505211952748</v>
      </c>
    </row>
    <row r="99" spans="1:26" s="25" customFormat="1" outlineLevel="1" collapsed="1" x14ac:dyDescent="0.25">
      <c r="A99" s="27"/>
      <c r="B99" s="13" t="str">
        <f>CONCATENATE("     ","Discounts and Markdowns                           ")</f>
        <v xml:space="preserve">     Discounts and Markdowns                           </v>
      </c>
      <c r="C99" s="13"/>
      <c r="D99" s="1">
        <f>SUM(OSRRefD22_4x_0)</f>
        <v>1768.05</v>
      </c>
      <c r="E99" s="1"/>
      <c r="F99" s="5">
        <f t="shared" si="31"/>
        <v>2.7097423825134605E-2</v>
      </c>
      <c r="G99" s="1"/>
      <c r="H99" s="1">
        <f>SUM(OSRRefH22_4x_0)</f>
        <v>1834.79</v>
      </c>
      <c r="I99" s="1"/>
      <c r="J99" s="5">
        <f t="shared" si="32"/>
        <v>3.3309363580365819E-2</v>
      </c>
      <c r="K99" s="1"/>
      <c r="L99" s="1">
        <f t="shared" si="33"/>
        <v>-66.740000000000009</v>
      </c>
      <c r="M99" s="1"/>
      <c r="N99" s="5">
        <f t="shared" si="34"/>
        <v>-3.6374734983295097E-2</v>
      </c>
      <c r="O99" s="13"/>
      <c r="P99" s="1">
        <f>SUM(OSRRefP22_4x_0)</f>
        <v>10225.18</v>
      </c>
      <c r="Q99" s="1"/>
      <c r="R99" s="5">
        <f t="shared" si="35"/>
        <v>2.1673579551319651E-2</v>
      </c>
      <c r="S99" s="1"/>
      <c r="T99" s="1">
        <f>SUM(OSRRefT22_4x_0)</f>
        <v>12685.310000000001</v>
      </c>
      <c r="U99" s="1"/>
      <c r="V99" s="5">
        <f t="shared" si="36"/>
        <v>2.7708076067895254E-2</v>
      </c>
      <c r="W99" s="1"/>
      <c r="X99" s="1">
        <f t="shared" si="37"/>
        <v>-2460.130000000001</v>
      </c>
      <c r="Y99" s="1"/>
      <c r="Z99" s="5">
        <f t="shared" si="38"/>
        <v>-0.19393534726388245</v>
      </c>
    </row>
    <row r="100" spans="1:26" s="24" customFormat="1" hidden="1" outlineLevel="2" x14ac:dyDescent="0.25">
      <c r="A100" s="26"/>
      <c r="B100" s="11" t="str">
        <f>CONCATENATE("          ", "6382", " - ", "DISCOUNTS/MARK DOWNS")</f>
        <v xml:space="preserve">          6382 - DISCOUNTS/MARK DOWNS</v>
      </c>
      <c r="C100" s="11"/>
      <c r="D100" s="6">
        <v>1579.48</v>
      </c>
      <c r="E100" s="2"/>
      <c r="F100" s="7">
        <f t="shared" si="31"/>
        <v>2.4207369126056168E-2</v>
      </c>
      <c r="G100" s="2"/>
      <c r="H100" s="6">
        <v>1825.22</v>
      </c>
      <c r="I100" s="2"/>
      <c r="J100" s="7">
        <f t="shared" si="32"/>
        <v>3.3135626744289701E-2</v>
      </c>
      <c r="K100" s="2"/>
      <c r="L100" s="6">
        <f t="shared" si="33"/>
        <v>-245.74</v>
      </c>
      <c r="M100" s="2"/>
      <c r="N100" s="7">
        <f t="shared" si="34"/>
        <v>-0.13463582472249921</v>
      </c>
      <c r="O100" s="11"/>
      <c r="P100" s="6">
        <v>10225.18</v>
      </c>
      <c r="Q100" s="2"/>
      <c r="R100" s="7">
        <f t="shared" si="35"/>
        <v>2.1673579551319651E-2</v>
      </c>
      <c r="S100" s="2"/>
      <c r="T100" s="6">
        <v>12119.36</v>
      </c>
      <c r="U100" s="2"/>
      <c r="V100" s="7">
        <f t="shared" si="36"/>
        <v>2.6471891406217665E-2</v>
      </c>
      <c r="W100" s="2"/>
      <c r="X100" s="6">
        <f t="shared" si="37"/>
        <v>-1894.1800000000003</v>
      </c>
      <c r="Y100" s="2"/>
      <c r="Z100" s="7">
        <f t="shared" si="38"/>
        <v>-0.15629373168220106</v>
      </c>
    </row>
    <row r="101" spans="1:26" s="24" customFormat="1" hidden="1" outlineLevel="2" x14ac:dyDescent="0.25">
      <c r="A101" s="26"/>
      <c r="B101" s="11" t="str">
        <f>CONCATENATE("          ", "9175", " - ", "EARNED DISCOUNTS")</f>
        <v xml:space="preserve">          9175 - EARNED DISCOUNTS</v>
      </c>
      <c r="C101" s="11"/>
      <c r="D101" s="6">
        <v>188.57</v>
      </c>
      <c r="E101" s="2"/>
      <c r="F101" s="7">
        <f t="shared" si="31"/>
        <v>2.8900546990784383E-3</v>
      </c>
      <c r="G101" s="2"/>
      <c r="H101" s="6">
        <v>9.57</v>
      </c>
      <c r="I101" s="2"/>
      <c r="J101" s="7">
        <f t="shared" si="32"/>
        <v>1.7373683607611819E-4</v>
      </c>
      <c r="K101" s="2"/>
      <c r="L101" s="6">
        <f t="shared" si="33"/>
        <v>179</v>
      </c>
      <c r="M101" s="2"/>
      <c r="N101" s="7">
        <f t="shared" si="34"/>
        <v>18.704284221525601</v>
      </c>
      <c r="O101" s="11"/>
      <c r="P101" s="6">
        <v>0</v>
      </c>
      <c r="Q101" s="2"/>
      <c r="R101" s="7">
        <f t="shared" si="35"/>
        <v>0</v>
      </c>
      <c r="S101" s="2"/>
      <c r="T101" s="6">
        <v>565.95000000000005</v>
      </c>
      <c r="U101" s="2"/>
      <c r="V101" s="7">
        <f t="shared" si="36"/>
        <v>1.2361846616775875E-3</v>
      </c>
      <c r="W101" s="2"/>
      <c r="X101" s="6">
        <f t="shared" si="37"/>
        <v>-565.95000000000005</v>
      </c>
      <c r="Y101" s="2"/>
      <c r="Z101" s="7">
        <f t="shared" si="38"/>
        <v>-1</v>
      </c>
    </row>
    <row r="102" spans="1:26" s="25" customFormat="1" outlineLevel="1" collapsed="1" x14ac:dyDescent="0.25">
      <c r="A102" s="27"/>
      <c r="B102" s="13" t="str">
        <f>CONCATENATE("     ","Employees' Appreciation                           ")</f>
        <v xml:space="preserve">     Employees' Appreciation                           </v>
      </c>
      <c r="C102" s="13"/>
      <c r="D102" s="1">
        <f>SUM(OSRRefD22_5x_0)</f>
        <v>0</v>
      </c>
      <c r="E102" s="1"/>
      <c r="F102" s="5">
        <f t="shared" ref="F102:F116" si="39">IF(D$12=0,0,D102/D$12)</f>
        <v>0</v>
      </c>
      <c r="G102" s="1"/>
      <c r="H102" s="1">
        <f>SUM(OSRRefH22_5x_0)</f>
        <v>19.97</v>
      </c>
      <c r="I102" s="1"/>
      <c r="J102" s="5">
        <f t="shared" ref="J102:J116" si="40">IF(H$12=0,0,H102/H$12)</f>
        <v>3.6254175720377009E-4</v>
      </c>
      <c r="K102" s="1"/>
      <c r="L102" s="1">
        <f t="shared" ref="L102:L116" si="41">+D102-H102</f>
        <v>-19.97</v>
      </c>
      <c r="M102" s="1"/>
      <c r="N102" s="5">
        <f t="shared" ref="N102:N116" si="42">IF(H102=0,0,L102/H102)</f>
        <v>-1</v>
      </c>
      <c r="O102" s="13"/>
      <c r="P102" s="1">
        <f>SUM(OSRRefP22_5x_0)</f>
        <v>0</v>
      </c>
      <c r="Q102" s="1"/>
      <c r="R102" s="5">
        <f t="shared" ref="R102:R116" si="43">IF(P$12=0,0,P102/P$12)</f>
        <v>0</v>
      </c>
      <c r="S102" s="1"/>
      <c r="T102" s="1">
        <f>SUM(OSRRefT22_5x_0)</f>
        <v>19.97</v>
      </c>
      <c r="U102" s="1"/>
      <c r="V102" s="5">
        <f t="shared" ref="V102:V116" si="44">IF(T$12=0,0,T102/T$12)</f>
        <v>4.3619767989577556E-5</v>
      </c>
      <c r="W102" s="1"/>
      <c r="X102" s="1">
        <f t="shared" ref="X102:X116" si="45">+P102-T102</f>
        <v>-19.97</v>
      </c>
      <c r="Y102" s="1"/>
      <c r="Z102" s="5">
        <f t="shared" ref="Z102:Z116" si="46">IF(T102=0,0,X102/T102)</f>
        <v>-1</v>
      </c>
    </row>
    <row r="103" spans="1:26" s="24" customFormat="1" hidden="1" outlineLevel="2" x14ac:dyDescent="0.25">
      <c r="A103" s="26"/>
      <c r="B103" s="11" t="str">
        <f>CONCATENATE("          ", "6277", " - ", "EMPLOYEE APPRECIATION")</f>
        <v xml:space="preserve">          6277 - EMPLOYEE APPRECIATION</v>
      </c>
      <c r="C103" s="11"/>
      <c r="D103" s="6"/>
      <c r="E103" s="2"/>
      <c r="F103" s="7">
        <f t="shared" si="39"/>
        <v>0</v>
      </c>
      <c r="G103" s="2"/>
      <c r="H103" s="6">
        <v>19.97</v>
      </c>
      <c r="I103" s="2"/>
      <c r="J103" s="7">
        <f t="shared" si="40"/>
        <v>3.6254175720377009E-4</v>
      </c>
      <c r="K103" s="2"/>
      <c r="L103" s="6">
        <f t="shared" si="41"/>
        <v>-19.97</v>
      </c>
      <c r="M103" s="2"/>
      <c r="N103" s="7">
        <f t="shared" si="42"/>
        <v>-1</v>
      </c>
      <c r="O103" s="11"/>
      <c r="P103" s="6"/>
      <c r="Q103" s="2"/>
      <c r="R103" s="7">
        <f t="shared" si="43"/>
        <v>0</v>
      </c>
      <c r="S103" s="2"/>
      <c r="T103" s="6">
        <v>19.97</v>
      </c>
      <c r="U103" s="2"/>
      <c r="V103" s="7">
        <f t="shared" si="44"/>
        <v>4.3619767989577556E-5</v>
      </c>
      <c r="W103" s="2"/>
      <c r="X103" s="6">
        <f t="shared" si="45"/>
        <v>-19.97</v>
      </c>
      <c r="Y103" s="2"/>
      <c r="Z103" s="7">
        <f t="shared" si="46"/>
        <v>-1</v>
      </c>
    </row>
    <row r="104" spans="1:26" s="25" customFormat="1" outlineLevel="1" collapsed="1" x14ac:dyDescent="0.25">
      <c r="A104" s="27"/>
      <c r="B104" s="13" t="str">
        <f>CONCATENATE("     ","Freight out/Postage                               ")</f>
        <v xml:space="preserve">     Freight out/Postage                               </v>
      </c>
      <c r="C104" s="13"/>
      <c r="D104" s="1">
        <f>SUM(OSRRefD22_6x_0)</f>
        <v>15.81</v>
      </c>
      <c r="E104" s="1"/>
      <c r="F104" s="5">
        <f t="shared" si="39"/>
        <v>2.4230664894962141E-4</v>
      </c>
      <c r="G104" s="1"/>
      <c r="H104" s="1">
        <f>SUM(OSRRefH22_6x_0)</f>
        <v>0</v>
      </c>
      <c r="I104" s="1"/>
      <c r="J104" s="5">
        <f t="shared" si="40"/>
        <v>0</v>
      </c>
      <c r="K104" s="1"/>
      <c r="L104" s="1">
        <f t="shared" si="41"/>
        <v>15.81</v>
      </c>
      <c r="M104" s="1"/>
      <c r="N104" s="5">
        <f t="shared" si="42"/>
        <v>0</v>
      </c>
      <c r="O104" s="13"/>
      <c r="P104" s="1">
        <f>SUM(OSRRefP22_6x_0)</f>
        <v>15.81</v>
      </c>
      <c r="Q104" s="1"/>
      <c r="R104" s="5">
        <f t="shared" si="43"/>
        <v>3.3511321336774875E-5</v>
      </c>
      <c r="S104" s="1"/>
      <c r="T104" s="1">
        <f>SUM(OSRRefT22_6x_0)</f>
        <v>5.0999999999999996</v>
      </c>
      <c r="U104" s="1"/>
      <c r="V104" s="5">
        <f t="shared" si="44"/>
        <v>1.1139750463036833E-5</v>
      </c>
      <c r="W104" s="1"/>
      <c r="X104" s="1">
        <f t="shared" si="45"/>
        <v>10.71</v>
      </c>
      <c r="Y104" s="1"/>
      <c r="Z104" s="5">
        <f t="shared" si="46"/>
        <v>2.1000000000000005</v>
      </c>
    </row>
    <row r="105" spans="1:26" s="24" customFormat="1" hidden="1" outlineLevel="2" x14ac:dyDescent="0.25">
      <c r="A105" s="26"/>
      <c r="B105" s="11" t="str">
        <f>CONCATENATE("          ", "6305", " - ", "FREIGHT OUT")</f>
        <v xml:space="preserve">          6305 - FREIGHT OUT</v>
      </c>
      <c r="C105" s="11"/>
      <c r="D105" s="6">
        <v>15.81</v>
      </c>
      <c r="E105" s="2"/>
      <c r="F105" s="7">
        <f t="shared" si="39"/>
        <v>2.4230664894962141E-4</v>
      </c>
      <c r="G105" s="2"/>
      <c r="H105" s="6"/>
      <c r="I105" s="2"/>
      <c r="J105" s="7">
        <f t="shared" si="40"/>
        <v>0</v>
      </c>
      <c r="K105" s="2"/>
      <c r="L105" s="6">
        <f t="shared" si="41"/>
        <v>15.81</v>
      </c>
      <c r="M105" s="2"/>
      <c r="N105" s="7">
        <f t="shared" si="42"/>
        <v>0</v>
      </c>
      <c r="O105" s="11"/>
      <c r="P105" s="6">
        <v>15.81</v>
      </c>
      <c r="Q105" s="2"/>
      <c r="R105" s="7">
        <f t="shared" si="43"/>
        <v>3.3511321336774875E-5</v>
      </c>
      <c r="S105" s="2"/>
      <c r="T105" s="6">
        <v>5.0999999999999996</v>
      </c>
      <c r="U105" s="2"/>
      <c r="V105" s="7">
        <f t="shared" si="44"/>
        <v>1.1139750463036833E-5</v>
      </c>
      <c r="W105" s="2"/>
      <c r="X105" s="6">
        <f t="shared" si="45"/>
        <v>10.71</v>
      </c>
      <c r="Y105" s="2"/>
      <c r="Z105" s="7">
        <f t="shared" si="46"/>
        <v>2.1000000000000005</v>
      </c>
    </row>
    <row r="106" spans="1:26" s="25" customFormat="1" outlineLevel="1" collapsed="1" x14ac:dyDescent="0.25">
      <c r="A106" s="27"/>
      <c r="B106" s="13" t="str">
        <f>CONCATENATE("     ","General                                           ")</f>
        <v xml:space="preserve">     General                                           </v>
      </c>
      <c r="C106" s="13"/>
      <c r="D106" s="1">
        <f>SUM(OSRRefD22_7x_0)</f>
        <v>0</v>
      </c>
      <c r="E106" s="1"/>
      <c r="F106" s="5">
        <f t="shared" si="39"/>
        <v>0</v>
      </c>
      <c r="G106" s="1"/>
      <c r="H106" s="1">
        <f>SUM(OSRRefH22_7x_0)</f>
        <v>0</v>
      </c>
      <c r="I106" s="1"/>
      <c r="J106" s="5">
        <f t="shared" si="40"/>
        <v>0</v>
      </c>
      <c r="K106" s="1"/>
      <c r="L106" s="1">
        <f t="shared" si="41"/>
        <v>0</v>
      </c>
      <c r="M106" s="1"/>
      <c r="N106" s="5">
        <f t="shared" si="42"/>
        <v>0</v>
      </c>
      <c r="O106" s="13"/>
      <c r="P106" s="1">
        <f>SUM(OSRRefP22_7x_0)</f>
        <v>794.05</v>
      </c>
      <c r="Q106" s="1"/>
      <c r="R106" s="5">
        <f t="shared" si="43"/>
        <v>1.6830907468352995E-3</v>
      </c>
      <c r="S106" s="1"/>
      <c r="T106" s="1">
        <f>SUM(OSRRefT22_7x_0)</f>
        <v>669.2</v>
      </c>
      <c r="U106" s="1"/>
      <c r="V106" s="5">
        <f t="shared" si="44"/>
        <v>1.4617100019341665E-3</v>
      </c>
      <c r="W106" s="1"/>
      <c r="X106" s="1">
        <f t="shared" si="45"/>
        <v>124.84999999999991</v>
      </c>
      <c r="Y106" s="1"/>
      <c r="Z106" s="5">
        <f t="shared" si="46"/>
        <v>0.1865660490137476</v>
      </c>
    </row>
    <row r="107" spans="1:26" s="24" customFormat="1" hidden="1" outlineLevel="2" x14ac:dyDescent="0.25">
      <c r="A107" s="26"/>
      <c r="B107" s="11" t="str">
        <f>CONCATENATE("          ", "6279", " - ", "GENERAL EXPENSE")</f>
        <v xml:space="preserve">          6279 - GENERAL EXPENSE</v>
      </c>
      <c r="C107" s="11"/>
      <c r="D107" s="6"/>
      <c r="E107" s="2"/>
      <c r="F107" s="7">
        <f t="shared" si="39"/>
        <v>0</v>
      </c>
      <c r="G107" s="2"/>
      <c r="H107" s="6"/>
      <c r="I107" s="2"/>
      <c r="J107" s="7">
        <f t="shared" si="40"/>
        <v>0</v>
      </c>
      <c r="K107" s="2"/>
      <c r="L107" s="6">
        <f t="shared" si="41"/>
        <v>0</v>
      </c>
      <c r="M107" s="2"/>
      <c r="N107" s="7">
        <f t="shared" si="42"/>
        <v>0</v>
      </c>
      <c r="O107" s="11"/>
      <c r="P107" s="6">
        <v>794.05</v>
      </c>
      <c r="Q107" s="2"/>
      <c r="R107" s="7">
        <f t="shared" si="43"/>
        <v>1.6830907468352995E-3</v>
      </c>
      <c r="S107" s="2"/>
      <c r="T107" s="6">
        <v>669.2</v>
      </c>
      <c r="U107" s="2"/>
      <c r="V107" s="7">
        <f t="shared" si="44"/>
        <v>1.4617100019341665E-3</v>
      </c>
      <c r="W107" s="2"/>
      <c r="X107" s="6">
        <f t="shared" si="45"/>
        <v>124.84999999999991</v>
      </c>
      <c r="Y107" s="2"/>
      <c r="Z107" s="7">
        <f t="shared" si="46"/>
        <v>0.1865660490137476</v>
      </c>
    </row>
    <row r="108" spans="1:26" s="25" customFormat="1" outlineLevel="1" collapsed="1" x14ac:dyDescent="0.25">
      <c r="A108" s="27"/>
      <c r="B108" s="13" t="str">
        <f>CONCATENATE("     ","Inventory Adjustment                              ")</f>
        <v xml:space="preserve">     Inventory Adjustment                              </v>
      </c>
      <c r="C108" s="13"/>
      <c r="D108" s="1">
        <f>SUM(OSRRefD22_8x_0)</f>
        <v>0</v>
      </c>
      <c r="E108" s="1"/>
      <c r="F108" s="5">
        <f t="shared" si="39"/>
        <v>0</v>
      </c>
      <c r="G108" s="1"/>
      <c r="H108" s="1">
        <f>SUM(OSRRefH22_8x_0)</f>
        <v>400</v>
      </c>
      <c r="I108" s="1"/>
      <c r="J108" s="5">
        <f t="shared" si="40"/>
        <v>7.2617277356789214E-3</v>
      </c>
      <c r="K108" s="1"/>
      <c r="L108" s="1">
        <f t="shared" si="41"/>
        <v>-400</v>
      </c>
      <c r="M108" s="1"/>
      <c r="N108" s="5">
        <f t="shared" si="42"/>
        <v>-1</v>
      </c>
      <c r="O108" s="13"/>
      <c r="P108" s="1">
        <f>SUM(OSRRefP22_8x_0)</f>
        <v>0</v>
      </c>
      <c r="Q108" s="1"/>
      <c r="R108" s="5">
        <f t="shared" si="43"/>
        <v>0</v>
      </c>
      <c r="S108" s="1"/>
      <c r="T108" s="1">
        <f>SUM(OSRRefT22_8x_0)</f>
        <v>2000</v>
      </c>
      <c r="U108" s="1"/>
      <c r="V108" s="5">
        <f t="shared" si="44"/>
        <v>4.3685295933477775E-3</v>
      </c>
      <c r="W108" s="1"/>
      <c r="X108" s="1">
        <f t="shared" si="45"/>
        <v>-2000</v>
      </c>
      <c r="Y108" s="1"/>
      <c r="Z108" s="5">
        <f t="shared" si="46"/>
        <v>-1</v>
      </c>
    </row>
    <row r="109" spans="1:26" s="24" customFormat="1" hidden="1" outlineLevel="2" x14ac:dyDescent="0.25">
      <c r="A109" s="26"/>
      <c r="B109" s="11" t="str">
        <f>CONCATENATE("          ", "6408", " - ", "INVENTORY ADJUSTMENT")</f>
        <v xml:space="preserve">          6408 - INVENTORY ADJUSTMENT</v>
      </c>
      <c r="C109" s="11"/>
      <c r="D109" s="6"/>
      <c r="E109" s="2"/>
      <c r="F109" s="7">
        <f t="shared" si="39"/>
        <v>0</v>
      </c>
      <c r="G109" s="2"/>
      <c r="H109" s="6">
        <v>400</v>
      </c>
      <c r="I109" s="2"/>
      <c r="J109" s="7">
        <f t="shared" si="40"/>
        <v>7.2617277356789214E-3</v>
      </c>
      <c r="K109" s="2"/>
      <c r="L109" s="6">
        <f t="shared" si="41"/>
        <v>-400</v>
      </c>
      <c r="M109" s="2"/>
      <c r="N109" s="7">
        <f t="shared" si="42"/>
        <v>-1</v>
      </c>
      <c r="O109" s="11"/>
      <c r="P109" s="6"/>
      <c r="Q109" s="2"/>
      <c r="R109" s="7">
        <f t="shared" si="43"/>
        <v>0</v>
      </c>
      <c r="S109" s="2"/>
      <c r="T109" s="6">
        <v>2000</v>
      </c>
      <c r="U109" s="2"/>
      <c r="V109" s="7">
        <f t="shared" si="44"/>
        <v>4.3685295933477775E-3</v>
      </c>
      <c r="W109" s="2"/>
      <c r="X109" s="6">
        <f t="shared" si="45"/>
        <v>-2000</v>
      </c>
      <c r="Y109" s="2"/>
      <c r="Z109" s="7">
        <f t="shared" si="46"/>
        <v>-1</v>
      </c>
    </row>
    <row r="110" spans="1:26" s="25" customFormat="1" outlineLevel="1" collapsed="1" x14ac:dyDescent="0.25">
      <c r="A110" s="27"/>
      <c r="B110" s="13" t="str">
        <f>CONCATENATE("     ","Professional Services                             ")</f>
        <v xml:space="preserve">     Professional Services                             </v>
      </c>
      <c r="C110" s="13"/>
      <c r="D110" s="1">
        <f>SUM(OSRRefD22_9x_0)</f>
        <v>0</v>
      </c>
      <c r="E110" s="1"/>
      <c r="F110" s="5">
        <f t="shared" si="39"/>
        <v>0</v>
      </c>
      <c r="G110" s="1"/>
      <c r="H110" s="1">
        <f>SUM(OSRRefH22_9x_0)</f>
        <v>0</v>
      </c>
      <c r="I110" s="1"/>
      <c r="J110" s="5">
        <f t="shared" si="40"/>
        <v>0</v>
      </c>
      <c r="K110" s="1"/>
      <c r="L110" s="1">
        <f t="shared" si="41"/>
        <v>0</v>
      </c>
      <c r="M110" s="1"/>
      <c r="N110" s="5">
        <f t="shared" si="42"/>
        <v>0</v>
      </c>
      <c r="O110" s="13"/>
      <c r="P110" s="1">
        <f>SUM(OSRRefP22_9x_0)</f>
        <v>750</v>
      </c>
      <c r="Q110" s="1"/>
      <c r="R110" s="5">
        <f t="shared" si="43"/>
        <v>1.5897211260329635E-3</v>
      </c>
      <c r="S110" s="1"/>
      <c r="T110" s="1">
        <f>SUM(OSRRefT22_9x_0)</f>
        <v>750</v>
      </c>
      <c r="U110" s="1"/>
      <c r="V110" s="5">
        <f t="shared" si="44"/>
        <v>1.6381985975054167E-3</v>
      </c>
      <c r="W110" s="1"/>
      <c r="X110" s="1">
        <f t="shared" si="45"/>
        <v>0</v>
      </c>
      <c r="Y110" s="1"/>
      <c r="Z110" s="5">
        <f t="shared" si="46"/>
        <v>0</v>
      </c>
    </row>
    <row r="111" spans="1:26" s="24" customFormat="1" hidden="1" outlineLevel="2" x14ac:dyDescent="0.25">
      <c r="A111" s="26"/>
      <c r="B111" s="11" t="str">
        <f>CONCATENATE("          ", "6336", " - ", "PROFESSIONAL SERVICES")</f>
        <v xml:space="preserve">          6336 - PROFESSIONAL SERVICES</v>
      </c>
      <c r="C111" s="11"/>
      <c r="D111" s="6"/>
      <c r="E111" s="2"/>
      <c r="F111" s="7">
        <f t="shared" si="39"/>
        <v>0</v>
      </c>
      <c r="G111" s="2"/>
      <c r="H111" s="6"/>
      <c r="I111" s="2"/>
      <c r="J111" s="7">
        <f t="shared" si="40"/>
        <v>0</v>
      </c>
      <c r="K111" s="2"/>
      <c r="L111" s="6">
        <f t="shared" si="41"/>
        <v>0</v>
      </c>
      <c r="M111" s="2"/>
      <c r="N111" s="7">
        <f t="shared" si="42"/>
        <v>0</v>
      </c>
      <c r="O111" s="11"/>
      <c r="P111" s="6">
        <v>750</v>
      </c>
      <c r="Q111" s="2"/>
      <c r="R111" s="7">
        <f t="shared" si="43"/>
        <v>1.5897211260329635E-3</v>
      </c>
      <c r="S111" s="2"/>
      <c r="T111" s="6">
        <v>750</v>
      </c>
      <c r="U111" s="2"/>
      <c r="V111" s="7">
        <f t="shared" si="44"/>
        <v>1.6381985975054167E-3</v>
      </c>
      <c r="W111" s="2"/>
      <c r="X111" s="6">
        <f t="shared" si="45"/>
        <v>0</v>
      </c>
      <c r="Y111" s="2"/>
      <c r="Z111" s="7">
        <f t="shared" si="46"/>
        <v>0</v>
      </c>
    </row>
    <row r="112" spans="1:26" s="25" customFormat="1" outlineLevel="1" collapsed="1" x14ac:dyDescent="0.25">
      <c r="A112" s="27"/>
      <c r="B112" s="13" t="str">
        <f>CONCATENATE("     ","Rent                                              ")</f>
        <v xml:space="preserve">     Rent                                              </v>
      </c>
      <c r="C112" s="13"/>
      <c r="D112" s="1">
        <f>SUM(OSRRefD22_10x_0)</f>
        <v>0</v>
      </c>
      <c r="E112" s="1"/>
      <c r="F112" s="5">
        <f t="shared" si="39"/>
        <v>0</v>
      </c>
      <c r="G112" s="1"/>
      <c r="H112" s="1">
        <f>SUM(OSRRefH22_10x_0)</f>
        <v>-0.23</v>
      </c>
      <c r="I112" s="1"/>
      <c r="J112" s="5">
        <f t="shared" si="40"/>
        <v>-4.1754934480153796E-6</v>
      </c>
      <c r="K112" s="1"/>
      <c r="L112" s="1">
        <f t="shared" si="41"/>
        <v>0.23</v>
      </c>
      <c r="M112" s="1"/>
      <c r="N112" s="5">
        <f t="shared" si="42"/>
        <v>-1</v>
      </c>
      <c r="O112" s="13"/>
      <c r="P112" s="1">
        <f>SUM(OSRRefP22_10x_0)</f>
        <v>0</v>
      </c>
      <c r="Q112" s="1"/>
      <c r="R112" s="5">
        <f t="shared" si="43"/>
        <v>0</v>
      </c>
      <c r="S112" s="1"/>
      <c r="T112" s="1">
        <f>SUM(OSRRefT22_10x_0)</f>
        <v>-0.23</v>
      </c>
      <c r="U112" s="1"/>
      <c r="V112" s="5">
        <f t="shared" si="44"/>
        <v>-5.0238090323499449E-7</v>
      </c>
      <c r="W112" s="1"/>
      <c r="X112" s="1">
        <f t="shared" si="45"/>
        <v>0.23</v>
      </c>
      <c r="Y112" s="1"/>
      <c r="Z112" s="5">
        <f t="shared" si="46"/>
        <v>-1</v>
      </c>
    </row>
    <row r="113" spans="1:26" s="24" customFormat="1" hidden="1" outlineLevel="2" x14ac:dyDescent="0.25">
      <c r="A113" s="26"/>
      <c r="B113" s="11" t="str">
        <f>CONCATENATE("          ", "6273", " - ", "RENT")</f>
        <v xml:space="preserve">          6273 - RENT</v>
      </c>
      <c r="C113" s="11"/>
      <c r="D113" s="6"/>
      <c r="E113" s="2"/>
      <c r="F113" s="7">
        <f t="shared" si="39"/>
        <v>0</v>
      </c>
      <c r="G113" s="2"/>
      <c r="H113" s="6">
        <v>-0.23</v>
      </c>
      <c r="I113" s="2"/>
      <c r="J113" s="7">
        <f t="shared" si="40"/>
        <v>-4.1754934480153796E-6</v>
      </c>
      <c r="K113" s="2"/>
      <c r="L113" s="6">
        <f t="shared" si="41"/>
        <v>0.23</v>
      </c>
      <c r="M113" s="2"/>
      <c r="N113" s="7">
        <f t="shared" si="42"/>
        <v>-1</v>
      </c>
      <c r="O113" s="11"/>
      <c r="P113" s="6"/>
      <c r="Q113" s="2"/>
      <c r="R113" s="7">
        <f t="shared" si="43"/>
        <v>0</v>
      </c>
      <c r="S113" s="2"/>
      <c r="T113" s="6">
        <v>-0.23</v>
      </c>
      <c r="U113" s="2"/>
      <c r="V113" s="7">
        <f t="shared" si="44"/>
        <v>-5.0238090323499449E-7</v>
      </c>
      <c r="W113" s="2"/>
      <c r="X113" s="6">
        <f t="shared" si="45"/>
        <v>0.23</v>
      </c>
      <c r="Y113" s="2"/>
      <c r="Z113" s="7">
        <f t="shared" si="46"/>
        <v>-1</v>
      </c>
    </row>
    <row r="114" spans="1:26" s="25" customFormat="1" outlineLevel="1" collapsed="1" x14ac:dyDescent="0.25">
      <c r="A114" s="27"/>
      <c r="B114" s="13" t="str">
        <f>CONCATENATE("     ","Repair and Maintenance                            ")</f>
        <v xml:space="preserve">     Repair and Maintenance                            </v>
      </c>
      <c r="C114" s="13"/>
      <c r="D114" s="1">
        <f>SUM(OSRRefD22_11x_0)</f>
        <v>0</v>
      </c>
      <c r="E114" s="1"/>
      <c r="F114" s="5">
        <f t="shared" si="39"/>
        <v>0</v>
      </c>
      <c r="G114" s="1"/>
      <c r="H114" s="1">
        <f>SUM(OSRRefH22_11x_0)</f>
        <v>0</v>
      </c>
      <c r="I114" s="1"/>
      <c r="J114" s="5">
        <f t="shared" si="40"/>
        <v>0</v>
      </c>
      <c r="K114" s="1"/>
      <c r="L114" s="1">
        <f t="shared" si="41"/>
        <v>0</v>
      </c>
      <c r="M114" s="1"/>
      <c r="N114" s="5">
        <f t="shared" si="42"/>
        <v>0</v>
      </c>
      <c r="O114" s="13"/>
      <c r="P114" s="1">
        <f>SUM(OSRRefP22_11x_0)</f>
        <v>68.42</v>
      </c>
      <c r="Q114" s="1"/>
      <c r="R114" s="5">
        <f t="shared" si="43"/>
        <v>1.4502495925756715E-4</v>
      </c>
      <c r="S114" s="1"/>
      <c r="T114" s="1">
        <f>SUM(OSRRefT22_11x_0)</f>
        <v>49.62</v>
      </c>
      <c r="U114" s="1"/>
      <c r="V114" s="5">
        <f t="shared" si="44"/>
        <v>1.0838321921095835E-4</v>
      </c>
      <c r="W114" s="1"/>
      <c r="X114" s="1">
        <f t="shared" si="45"/>
        <v>18.800000000000004</v>
      </c>
      <c r="Y114" s="1"/>
      <c r="Z114" s="5">
        <f t="shared" si="46"/>
        <v>0.37887948407900052</v>
      </c>
    </row>
    <row r="115" spans="1:26" s="24" customFormat="1" hidden="1" outlineLevel="2" x14ac:dyDescent="0.25">
      <c r="A115" s="26"/>
      <c r="B115" s="11" t="str">
        <f>CONCATENATE("          ", "6373", " - ", "MAINTENANCE CONTRACTS")</f>
        <v xml:space="preserve">          6373 - MAINTENANCE CONTRACTS</v>
      </c>
      <c r="C115" s="11"/>
      <c r="D115" s="6"/>
      <c r="E115" s="2"/>
      <c r="F115" s="7">
        <f t="shared" si="39"/>
        <v>0</v>
      </c>
      <c r="G115" s="2"/>
      <c r="H115" s="6"/>
      <c r="I115" s="2"/>
      <c r="J115" s="7">
        <f t="shared" si="40"/>
        <v>0</v>
      </c>
      <c r="K115" s="2"/>
      <c r="L115" s="6">
        <f t="shared" si="41"/>
        <v>0</v>
      </c>
      <c r="M115" s="2"/>
      <c r="N115" s="7">
        <f t="shared" si="42"/>
        <v>0</v>
      </c>
      <c r="O115" s="11"/>
      <c r="P115" s="6">
        <v>58.62</v>
      </c>
      <c r="Q115" s="2"/>
      <c r="R115" s="7">
        <f t="shared" si="43"/>
        <v>1.2425260321073642E-4</v>
      </c>
      <c r="S115" s="2"/>
      <c r="T115" s="6">
        <v>49.62</v>
      </c>
      <c r="U115" s="2"/>
      <c r="V115" s="7">
        <f t="shared" si="44"/>
        <v>1.0838321921095835E-4</v>
      </c>
      <c r="W115" s="2"/>
      <c r="X115" s="6">
        <f t="shared" si="45"/>
        <v>9</v>
      </c>
      <c r="Y115" s="2"/>
      <c r="Z115" s="7">
        <f t="shared" si="46"/>
        <v>0.18137847642079807</v>
      </c>
    </row>
    <row r="116" spans="1:26" s="24" customFormat="1" hidden="1" outlineLevel="2" x14ac:dyDescent="0.25">
      <c r="A116" s="26"/>
      <c r="B116" s="11" t="str">
        <f>CONCATENATE("          ", "6375", " - ", "OUTSIDE REPAIRS &amp; MAINTENANCE")</f>
        <v xml:space="preserve">          6375 - OUTSIDE REPAIRS &amp; MAINTENANCE</v>
      </c>
      <c r="C116" s="11"/>
      <c r="D116" s="6"/>
      <c r="E116" s="2"/>
      <c r="F116" s="7">
        <f t="shared" si="39"/>
        <v>0</v>
      </c>
      <c r="G116" s="2"/>
      <c r="H116" s="6"/>
      <c r="I116" s="2"/>
      <c r="J116" s="7">
        <f t="shared" si="40"/>
        <v>0</v>
      </c>
      <c r="K116" s="2"/>
      <c r="L116" s="6">
        <f t="shared" si="41"/>
        <v>0</v>
      </c>
      <c r="M116" s="2"/>
      <c r="N116" s="7">
        <f t="shared" si="42"/>
        <v>0</v>
      </c>
      <c r="O116" s="11"/>
      <c r="P116" s="6">
        <v>9.8000000000000007</v>
      </c>
      <c r="Q116" s="2"/>
      <c r="R116" s="7">
        <f t="shared" si="43"/>
        <v>2.0772356046830725E-5</v>
      </c>
      <c r="S116" s="2"/>
      <c r="T116" s="6"/>
      <c r="U116" s="2"/>
      <c r="V116" s="7">
        <f t="shared" si="44"/>
        <v>0</v>
      </c>
      <c r="W116" s="2"/>
      <c r="X116" s="6">
        <f t="shared" si="45"/>
        <v>9.8000000000000007</v>
      </c>
      <c r="Y116" s="2"/>
      <c r="Z116" s="7">
        <f t="shared" si="46"/>
        <v>0</v>
      </c>
    </row>
    <row r="117" spans="1:26" s="25" customFormat="1" outlineLevel="1" collapsed="1" x14ac:dyDescent="0.25">
      <c r="A117" s="27"/>
      <c r="B117" s="13" t="str">
        <f>CONCATENATE("     ","Services                                          ")</f>
        <v xml:space="preserve">     Services                                          </v>
      </c>
      <c r="C117" s="13"/>
      <c r="D117" s="1">
        <f>SUM(OSRRefD22_12x_0)</f>
        <v>150.81</v>
      </c>
      <c r="E117" s="1"/>
      <c r="F117" s="5">
        <f t="shared" ref="F117:F119" si="47">IF(D$12=0,0,D117/D$12)</f>
        <v>2.3113387557300701E-3</v>
      </c>
      <c r="G117" s="1"/>
      <c r="H117" s="1">
        <f>SUM(OSRRefH22_12x_0)</f>
        <v>180.66000000000003</v>
      </c>
      <c r="I117" s="1"/>
      <c r="J117" s="5">
        <f t="shared" ref="J117:J119" si="48">IF(H$12=0,0,H117/H$12)</f>
        <v>3.279759331819385E-3</v>
      </c>
      <c r="K117" s="1"/>
      <c r="L117" s="1">
        <f t="shared" ref="L117:L119" si="49">+D117-H117</f>
        <v>-29.850000000000023</v>
      </c>
      <c r="M117" s="1"/>
      <c r="N117" s="5">
        <f t="shared" ref="N117:N119" si="50">IF(H117=0,0,L117/H117)</f>
        <v>-0.16522749916971116</v>
      </c>
      <c r="O117" s="13"/>
      <c r="P117" s="1">
        <f>SUM(OSRRefP22_12x_0)</f>
        <v>1121.03</v>
      </c>
      <c r="Q117" s="1"/>
      <c r="R117" s="5">
        <f t="shared" ref="R117:R119" si="51">IF(P$12=0,0,P117/P$12)</f>
        <v>2.3761667652223107E-3</v>
      </c>
      <c r="S117" s="1"/>
      <c r="T117" s="1">
        <f>SUM(OSRRefT22_12x_0)</f>
        <v>1018.78</v>
      </c>
      <c r="U117" s="1"/>
      <c r="V117" s="5">
        <f t="shared" ref="V117:V119" si="52">IF(T$12=0,0,T117/T$12)</f>
        <v>2.2252852895554244E-3</v>
      </c>
      <c r="W117" s="1"/>
      <c r="X117" s="1">
        <f t="shared" ref="X117:X119" si="53">+P117-T117</f>
        <v>102.25</v>
      </c>
      <c r="Y117" s="1"/>
      <c r="Z117" s="5">
        <f t="shared" ref="Z117:Z119" si="54">IF(T117=0,0,X117/T117)</f>
        <v>0.10036514262156697</v>
      </c>
    </row>
    <row r="118" spans="1:26" s="24" customFormat="1" hidden="1" outlineLevel="2" x14ac:dyDescent="0.25">
      <c r="A118" s="26"/>
      <c r="B118" s="11" t="str">
        <f>CONCATENATE("          ", "6282", " - ", "JANITORIAL/EXTERMINATOR EXPENS")</f>
        <v xml:space="preserve">          6282 - JANITORIAL/EXTERMINATOR EXPENS</v>
      </c>
      <c r="C118" s="11"/>
      <c r="D118" s="6">
        <v>44</v>
      </c>
      <c r="E118" s="2"/>
      <c r="F118" s="7">
        <f t="shared" si="47"/>
        <v>6.7435120517288694E-4</v>
      </c>
      <c r="G118" s="2"/>
      <c r="H118" s="6">
        <v>76.290000000000006</v>
      </c>
      <c r="I118" s="2"/>
      <c r="J118" s="7">
        <f t="shared" si="48"/>
        <v>1.3849930223873623E-3</v>
      </c>
      <c r="K118" s="2"/>
      <c r="L118" s="6">
        <f t="shared" si="49"/>
        <v>-32.290000000000006</v>
      </c>
      <c r="M118" s="2"/>
      <c r="N118" s="7">
        <f t="shared" si="50"/>
        <v>-0.42325337527854245</v>
      </c>
      <c r="O118" s="11"/>
      <c r="P118" s="6">
        <v>220</v>
      </c>
      <c r="Q118" s="2"/>
      <c r="R118" s="7">
        <f t="shared" si="51"/>
        <v>4.6631819696966932E-4</v>
      </c>
      <c r="S118" s="2"/>
      <c r="T118" s="6">
        <v>200.79</v>
      </c>
      <c r="U118" s="2"/>
      <c r="V118" s="7">
        <f t="shared" si="52"/>
        <v>4.3857852852415013E-4</v>
      </c>
      <c r="W118" s="2"/>
      <c r="X118" s="6">
        <f t="shared" si="53"/>
        <v>19.210000000000008</v>
      </c>
      <c r="Y118" s="2"/>
      <c r="Z118" s="7">
        <f t="shared" si="54"/>
        <v>9.5672095223865772E-2</v>
      </c>
    </row>
    <row r="119" spans="1:26" s="24" customFormat="1" hidden="1" outlineLevel="2" x14ac:dyDescent="0.25">
      <c r="A119" s="26"/>
      <c r="B119" s="11" t="str">
        <f>CONCATENATE("          ", "6285", " - ", "JANITORIAL SERVICES")</f>
        <v xml:space="preserve">          6285 - JANITORIAL SERVICES</v>
      </c>
      <c r="C119" s="11"/>
      <c r="D119" s="6">
        <v>106.81</v>
      </c>
      <c r="E119" s="2"/>
      <c r="F119" s="7">
        <f t="shared" si="47"/>
        <v>1.6369875505571831E-3</v>
      </c>
      <c r="G119" s="2"/>
      <c r="H119" s="6">
        <v>104.37</v>
      </c>
      <c r="I119" s="2"/>
      <c r="J119" s="7">
        <f t="shared" si="48"/>
        <v>1.8947663094320225E-3</v>
      </c>
      <c r="K119" s="2"/>
      <c r="L119" s="6">
        <f t="shared" si="49"/>
        <v>2.4399999999999977</v>
      </c>
      <c r="M119" s="2"/>
      <c r="N119" s="7">
        <f t="shared" si="50"/>
        <v>2.3378365430679292E-2</v>
      </c>
      <c r="O119" s="11"/>
      <c r="P119" s="6">
        <v>901.03</v>
      </c>
      <c r="Q119" s="2"/>
      <c r="R119" s="7">
        <f t="shared" si="51"/>
        <v>1.9098485682526416E-3</v>
      </c>
      <c r="S119" s="2"/>
      <c r="T119" s="6">
        <v>817.99</v>
      </c>
      <c r="U119" s="2"/>
      <c r="V119" s="7">
        <f t="shared" si="52"/>
        <v>1.7867067610312743E-3</v>
      </c>
      <c r="W119" s="2"/>
      <c r="X119" s="6">
        <f t="shared" si="53"/>
        <v>83.039999999999964</v>
      </c>
      <c r="Y119" s="2"/>
      <c r="Z119" s="7">
        <f t="shared" si="54"/>
        <v>0.10151713346128921</v>
      </c>
    </row>
    <row r="120" spans="1:26" s="25" customFormat="1" outlineLevel="1" collapsed="1" x14ac:dyDescent="0.25">
      <c r="A120" s="27"/>
      <c r="B120" s="13" t="str">
        <f>CONCATENATE("     ","Subscriptions &amp; Dues                              ")</f>
        <v xml:space="preserve">     Subscriptions &amp; Dues                              </v>
      </c>
      <c r="C120" s="13"/>
      <c r="D120" s="1">
        <f>SUM(OSRRefD22_13x_0)</f>
        <v>0</v>
      </c>
      <c r="E120" s="1"/>
      <c r="F120" s="5">
        <f t="shared" ref="F120:F125" si="55">IF(D$12=0,0,D120/D$12)</f>
        <v>0</v>
      </c>
      <c r="G120" s="1"/>
      <c r="H120" s="1">
        <f>SUM(OSRRefH22_13x_0)</f>
        <v>17.260000000000002</v>
      </c>
      <c r="I120" s="1"/>
      <c r="J120" s="5">
        <f t="shared" ref="J120:J125" si="56">IF(H$12=0,0,H120/H$12)</f>
        <v>3.1334355179454549E-4</v>
      </c>
      <c r="K120" s="1"/>
      <c r="L120" s="1">
        <f t="shared" ref="L120:L125" si="57">+D120-H120</f>
        <v>-17.260000000000002</v>
      </c>
      <c r="M120" s="1"/>
      <c r="N120" s="5">
        <f t="shared" ref="N120:N125" si="58">IF(H120=0,0,L120/H120)</f>
        <v>-1</v>
      </c>
      <c r="O120" s="13"/>
      <c r="P120" s="1">
        <f>SUM(OSRRefP22_13x_0)</f>
        <v>120</v>
      </c>
      <c r="Q120" s="1"/>
      <c r="R120" s="5">
        <f t="shared" ref="R120:R125" si="59">IF(P$12=0,0,P120/P$12)</f>
        <v>2.5435538016527415E-4</v>
      </c>
      <c r="S120" s="1"/>
      <c r="T120" s="1">
        <f>SUM(OSRRefT22_13x_0)</f>
        <v>137.26</v>
      </c>
      <c r="U120" s="1"/>
      <c r="V120" s="5">
        <f t="shared" ref="V120:V125" si="60">IF(T$12=0,0,T120/T$12)</f>
        <v>2.9981218599145796E-4</v>
      </c>
      <c r="W120" s="1"/>
      <c r="X120" s="1">
        <f t="shared" ref="X120:X125" si="61">+P120-T120</f>
        <v>-17.259999999999991</v>
      </c>
      <c r="Y120" s="1"/>
      <c r="Z120" s="5">
        <f t="shared" ref="Z120:Z125" si="62">IF(T120=0,0,X120/T120)</f>
        <v>-0.12574675797756077</v>
      </c>
    </row>
    <row r="121" spans="1:26" s="24" customFormat="1" hidden="1" outlineLevel="2" x14ac:dyDescent="0.25">
      <c r="A121" s="26"/>
      <c r="B121" s="11" t="str">
        <f>CONCATENATE("          ", "6258", " - ", "MEMBERSHIP DUES")</f>
        <v xml:space="preserve">          6258 - MEMBERSHIP DUES</v>
      </c>
      <c r="C121" s="11"/>
      <c r="D121" s="6"/>
      <c r="E121" s="2"/>
      <c r="F121" s="7">
        <f t="shared" si="55"/>
        <v>0</v>
      </c>
      <c r="G121" s="2"/>
      <c r="H121" s="6">
        <v>17.260000000000002</v>
      </c>
      <c r="I121" s="2"/>
      <c r="J121" s="7">
        <f t="shared" si="56"/>
        <v>3.1334355179454549E-4</v>
      </c>
      <c r="K121" s="2"/>
      <c r="L121" s="6">
        <f t="shared" si="57"/>
        <v>-17.260000000000002</v>
      </c>
      <c r="M121" s="2"/>
      <c r="N121" s="7">
        <f t="shared" si="58"/>
        <v>-1</v>
      </c>
      <c r="O121" s="11"/>
      <c r="P121" s="6">
        <v>120</v>
      </c>
      <c r="Q121" s="2"/>
      <c r="R121" s="7">
        <f t="shared" si="59"/>
        <v>2.5435538016527415E-4</v>
      </c>
      <c r="S121" s="2"/>
      <c r="T121" s="6">
        <v>137.26</v>
      </c>
      <c r="U121" s="2"/>
      <c r="V121" s="7">
        <f t="shared" si="60"/>
        <v>2.9981218599145796E-4</v>
      </c>
      <c r="W121" s="2"/>
      <c r="X121" s="6">
        <f t="shared" si="61"/>
        <v>-17.259999999999991</v>
      </c>
      <c r="Y121" s="2"/>
      <c r="Z121" s="7">
        <f t="shared" si="62"/>
        <v>-0.12574675797756077</v>
      </c>
    </row>
    <row r="122" spans="1:26" s="25" customFormat="1" outlineLevel="1" collapsed="1" x14ac:dyDescent="0.25">
      <c r="A122" s="27"/>
      <c r="B122" s="13" t="str">
        <f>CONCATENATE("     ","Supplies                                          ")</f>
        <v xml:space="preserve">     Supplies                                          </v>
      </c>
      <c r="C122" s="13"/>
      <c r="D122" s="1">
        <f>SUM(OSRRefD22_14x_0)</f>
        <v>430.61</v>
      </c>
      <c r="E122" s="1"/>
      <c r="F122" s="5">
        <f t="shared" si="55"/>
        <v>6.5995993740794734E-3</v>
      </c>
      <c r="G122" s="1"/>
      <c r="H122" s="1">
        <f>SUM(OSRRefH22_14x_0)</f>
        <v>158.72999999999999</v>
      </c>
      <c r="I122" s="1"/>
      <c r="J122" s="5">
        <f t="shared" si="56"/>
        <v>2.8816351087107878E-3</v>
      </c>
      <c r="K122" s="1"/>
      <c r="L122" s="1">
        <f t="shared" si="57"/>
        <v>271.88</v>
      </c>
      <c r="M122" s="1"/>
      <c r="N122" s="5">
        <f t="shared" si="58"/>
        <v>1.7128457128457129</v>
      </c>
      <c r="O122" s="13"/>
      <c r="P122" s="1">
        <f>SUM(OSRRefP22_14x_0)</f>
        <v>1220.01</v>
      </c>
      <c r="Q122" s="1"/>
      <c r="R122" s="5">
        <f t="shared" si="59"/>
        <v>2.5859675612953013E-3</v>
      </c>
      <c r="S122" s="1"/>
      <c r="T122" s="1">
        <f>SUM(OSRRefT22_14x_0)</f>
        <v>953.99</v>
      </c>
      <c r="U122" s="1"/>
      <c r="V122" s="5">
        <f t="shared" si="60"/>
        <v>2.0837667733789233E-3</v>
      </c>
      <c r="W122" s="1"/>
      <c r="X122" s="1">
        <f t="shared" si="61"/>
        <v>266.02</v>
      </c>
      <c r="Y122" s="1"/>
      <c r="Z122" s="5">
        <f t="shared" si="62"/>
        <v>0.27884988312246456</v>
      </c>
    </row>
    <row r="123" spans="1:26" s="24" customFormat="1" hidden="1" outlineLevel="2" x14ac:dyDescent="0.25">
      <c r="A123" s="26"/>
      <c r="B123" s="11" t="str">
        <f>CONCATENATE("          ", "6241", " - ", "OFFICE EXPENSE")</f>
        <v xml:space="preserve">          6241 - OFFICE EXPENSE</v>
      </c>
      <c r="C123" s="11"/>
      <c r="D123" s="6">
        <v>430.61</v>
      </c>
      <c r="E123" s="2"/>
      <c r="F123" s="7">
        <f t="shared" si="55"/>
        <v>6.5995993740794734E-3</v>
      </c>
      <c r="G123" s="2"/>
      <c r="H123" s="6">
        <v>159.03</v>
      </c>
      <c r="I123" s="2"/>
      <c r="J123" s="7">
        <f t="shared" si="56"/>
        <v>2.8870814045125473E-3</v>
      </c>
      <c r="K123" s="2"/>
      <c r="L123" s="6">
        <f t="shared" si="57"/>
        <v>271.58000000000004</v>
      </c>
      <c r="M123" s="2"/>
      <c r="N123" s="7">
        <f t="shared" si="58"/>
        <v>1.7077281016160475</v>
      </c>
      <c r="O123" s="11"/>
      <c r="P123" s="6">
        <v>1220.1099999999999</v>
      </c>
      <c r="Q123" s="2"/>
      <c r="R123" s="7">
        <f t="shared" si="59"/>
        <v>2.5861795241121054E-3</v>
      </c>
      <c r="S123" s="2"/>
      <c r="T123" s="6">
        <v>951.36</v>
      </c>
      <c r="U123" s="2"/>
      <c r="V123" s="7">
        <f t="shared" si="60"/>
        <v>2.0780221569636709E-3</v>
      </c>
      <c r="W123" s="2"/>
      <c r="X123" s="6">
        <f t="shared" si="61"/>
        <v>268.74999999999989</v>
      </c>
      <c r="Y123" s="2"/>
      <c r="Z123" s="7">
        <f t="shared" si="62"/>
        <v>0.28249032963336684</v>
      </c>
    </row>
    <row r="124" spans="1:26" s="24" customFormat="1" hidden="1" outlineLevel="2" x14ac:dyDescent="0.25">
      <c r="A124" s="26"/>
      <c r="B124" s="11" t="str">
        <f>CONCATENATE("          ", "6245", " - ", "PRINTING")</f>
        <v xml:space="preserve">          6245 - PRINTING</v>
      </c>
      <c r="C124" s="11"/>
      <c r="D124" s="6"/>
      <c r="E124" s="2"/>
      <c r="F124" s="7">
        <f t="shared" si="55"/>
        <v>0</v>
      </c>
      <c r="G124" s="2"/>
      <c r="H124" s="6"/>
      <c r="I124" s="2"/>
      <c r="J124" s="7">
        <f t="shared" si="56"/>
        <v>0</v>
      </c>
      <c r="K124" s="2"/>
      <c r="L124" s="6">
        <f t="shared" si="57"/>
        <v>0</v>
      </c>
      <c r="M124" s="2"/>
      <c r="N124" s="7">
        <f t="shared" si="58"/>
        <v>0</v>
      </c>
      <c r="O124" s="11"/>
      <c r="P124" s="6"/>
      <c r="Q124" s="2"/>
      <c r="R124" s="7">
        <f t="shared" si="59"/>
        <v>0</v>
      </c>
      <c r="S124" s="2"/>
      <c r="T124" s="6">
        <v>3.53</v>
      </c>
      <c r="U124" s="2"/>
      <c r="V124" s="7">
        <f t="shared" si="60"/>
        <v>7.7104547322588268E-6</v>
      </c>
      <c r="W124" s="2"/>
      <c r="X124" s="6">
        <f t="shared" si="61"/>
        <v>-3.53</v>
      </c>
      <c r="Y124" s="2"/>
      <c r="Z124" s="7">
        <f t="shared" si="62"/>
        <v>-1</v>
      </c>
    </row>
    <row r="125" spans="1:26" s="24" customFormat="1" hidden="1" outlineLevel="2" x14ac:dyDescent="0.25">
      <c r="A125" s="26"/>
      <c r="B125" s="11" t="str">
        <f>CONCATENATE("          ", "6247", " - ", "STORE SUPPLIES")</f>
        <v xml:space="preserve">          6247 - STORE SUPPLIES</v>
      </c>
      <c r="C125" s="11"/>
      <c r="D125" s="6"/>
      <c r="E125" s="2"/>
      <c r="F125" s="7">
        <f t="shared" si="55"/>
        <v>0</v>
      </c>
      <c r="G125" s="2"/>
      <c r="H125" s="6">
        <v>-0.3</v>
      </c>
      <c r="I125" s="2"/>
      <c r="J125" s="7">
        <f t="shared" si="56"/>
        <v>-5.4462958017591907E-6</v>
      </c>
      <c r="K125" s="2"/>
      <c r="L125" s="6">
        <f t="shared" si="57"/>
        <v>0.3</v>
      </c>
      <c r="M125" s="2"/>
      <c r="N125" s="7">
        <f t="shared" si="58"/>
        <v>-1</v>
      </c>
      <c r="O125" s="11"/>
      <c r="P125" s="6">
        <v>-0.1</v>
      </c>
      <c r="Q125" s="2"/>
      <c r="R125" s="7">
        <f t="shared" si="59"/>
        <v>-2.1196281680439516E-7</v>
      </c>
      <c r="S125" s="2"/>
      <c r="T125" s="6">
        <v>-0.9</v>
      </c>
      <c r="U125" s="2"/>
      <c r="V125" s="7">
        <f t="shared" si="60"/>
        <v>-1.9658383170065E-6</v>
      </c>
      <c r="W125" s="2"/>
      <c r="X125" s="6">
        <f t="shared" si="61"/>
        <v>0.8</v>
      </c>
      <c r="Y125" s="2"/>
      <c r="Z125" s="7">
        <f t="shared" si="62"/>
        <v>-0.88888888888888895</v>
      </c>
    </row>
    <row r="126" spans="1:26" s="25" customFormat="1" outlineLevel="1" collapsed="1" x14ac:dyDescent="0.25">
      <c r="A126" s="27"/>
      <c r="B126" s="13" t="str">
        <f>CONCATENATE("     ","Telephone/Data Lines                              ")</f>
        <v xml:space="preserve">     Telephone/Data Lines                              </v>
      </c>
      <c r="C126" s="13"/>
      <c r="D126" s="1">
        <f>SUM(OSRRefD22_15x_0)</f>
        <v>98.74</v>
      </c>
      <c r="E126" s="1"/>
      <c r="F126" s="5">
        <f t="shared" ref="F126:F129" si="63">IF(D$12=0,0,D126/D$12)</f>
        <v>1.513305409062974E-3</v>
      </c>
      <c r="G126" s="1"/>
      <c r="H126" s="1">
        <f>SUM(OSRRefH22_15x_0)</f>
        <v>145</v>
      </c>
      <c r="I126" s="1"/>
      <c r="J126" s="5">
        <f t="shared" ref="J126:J129" si="64">IF(H$12=0,0,H126/H$12)</f>
        <v>2.6323763041836089E-3</v>
      </c>
      <c r="K126" s="1"/>
      <c r="L126" s="1">
        <f t="shared" ref="L126:L129" si="65">+D126-H126</f>
        <v>-46.260000000000005</v>
      </c>
      <c r="M126" s="1"/>
      <c r="N126" s="5">
        <f t="shared" ref="N126:N129" si="66">IF(H126=0,0,L126/H126)</f>
        <v>-0.31903448275862073</v>
      </c>
      <c r="O126" s="13"/>
      <c r="P126" s="1">
        <f>SUM(OSRRefP22_15x_0)</f>
        <v>488.73</v>
      </c>
      <c r="Q126" s="1"/>
      <c r="R126" s="5">
        <f t="shared" ref="R126:R129" si="67">IF(P$12=0,0,P126/P$12)</f>
        <v>1.0359258745681204E-3</v>
      </c>
      <c r="S126" s="1"/>
      <c r="T126" s="1">
        <f>SUM(OSRRefT22_15x_0)</f>
        <v>648.75</v>
      </c>
      <c r="U126" s="1"/>
      <c r="V126" s="5">
        <f t="shared" ref="V126:V129" si="68">IF(T$12=0,0,T126/T$12)</f>
        <v>1.4170417868421853E-3</v>
      </c>
      <c r="W126" s="1"/>
      <c r="X126" s="1">
        <f t="shared" ref="X126:X129" si="69">+P126-T126</f>
        <v>-160.01999999999998</v>
      </c>
      <c r="Y126" s="1"/>
      <c r="Z126" s="5">
        <f t="shared" ref="Z126:Z129" si="70">IF(T126=0,0,X126/T126)</f>
        <v>-0.24665895953757222</v>
      </c>
    </row>
    <row r="127" spans="1:26" s="24" customFormat="1" hidden="1" outlineLevel="2" x14ac:dyDescent="0.25">
      <c r="A127" s="26"/>
      <c r="B127" s="11" t="str">
        <f>CONCATENATE("          ", "6309", " - ", "TELEPHONE")</f>
        <v xml:space="preserve">          6309 - TELEPHONE</v>
      </c>
      <c r="C127" s="11"/>
      <c r="D127" s="6">
        <v>98.74</v>
      </c>
      <c r="E127" s="2"/>
      <c r="F127" s="7">
        <f t="shared" si="63"/>
        <v>1.513305409062974E-3</v>
      </c>
      <c r="G127" s="2"/>
      <c r="H127" s="6">
        <v>145</v>
      </c>
      <c r="I127" s="2"/>
      <c r="J127" s="7">
        <f t="shared" si="64"/>
        <v>2.6323763041836089E-3</v>
      </c>
      <c r="K127" s="2"/>
      <c r="L127" s="6">
        <f t="shared" si="65"/>
        <v>-46.260000000000005</v>
      </c>
      <c r="M127" s="2"/>
      <c r="N127" s="7">
        <f t="shared" si="66"/>
        <v>-0.31903448275862073</v>
      </c>
      <c r="O127" s="11"/>
      <c r="P127" s="6">
        <v>488.73</v>
      </c>
      <c r="Q127" s="2"/>
      <c r="R127" s="7">
        <f t="shared" si="67"/>
        <v>1.0359258745681204E-3</v>
      </c>
      <c r="S127" s="2"/>
      <c r="T127" s="6">
        <v>648.75</v>
      </c>
      <c r="U127" s="2"/>
      <c r="V127" s="7">
        <f t="shared" si="68"/>
        <v>1.4170417868421853E-3</v>
      </c>
      <c r="W127" s="2"/>
      <c r="X127" s="6">
        <f t="shared" si="69"/>
        <v>-160.01999999999998</v>
      </c>
      <c r="Y127" s="2"/>
      <c r="Z127" s="7">
        <f t="shared" si="70"/>
        <v>-0.24665895953757222</v>
      </c>
    </row>
    <row r="128" spans="1:26" s="25" customFormat="1" outlineLevel="1" collapsed="1" x14ac:dyDescent="0.25">
      <c r="A128" s="27"/>
      <c r="B128" s="13" t="str">
        <f>CONCATENATE("     ","Training                                          ")</f>
        <v xml:space="preserve">     Training                                          </v>
      </c>
      <c r="C128" s="13"/>
      <c r="D128" s="1">
        <f>SUM(OSRRefD22_16x_0)</f>
        <v>0</v>
      </c>
      <c r="E128" s="1"/>
      <c r="F128" s="5">
        <f t="shared" si="63"/>
        <v>0</v>
      </c>
      <c r="G128" s="1"/>
      <c r="H128" s="1">
        <f>SUM(OSRRefH22_16x_0)</f>
        <v>0</v>
      </c>
      <c r="I128" s="1"/>
      <c r="J128" s="5">
        <f t="shared" si="64"/>
        <v>0</v>
      </c>
      <c r="K128" s="1"/>
      <c r="L128" s="1">
        <f t="shared" si="65"/>
        <v>0</v>
      </c>
      <c r="M128" s="1"/>
      <c r="N128" s="5">
        <f t="shared" si="66"/>
        <v>0</v>
      </c>
      <c r="O128" s="13"/>
      <c r="P128" s="1">
        <f>SUM(OSRRefP22_16x_0)</f>
        <v>80</v>
      </c>
      <c r="Q128" s="1"/>
      <c r="R128" s="5">
        <f t="shared" si="67"/>
        <v>1.6957025344351611E-4</v>
      </c>
      <c r="S128" s="1"/>
      <c r="T128" s="1">
        <f>SUM(OSRRefT22_16x_0)</f>
        <v>0</v>
      </c>
      <c r="U128" s="1"/>
      <c r="V128" s="5">
        <f t="shared" si="68"/>
        <v>0</v>
      </c>
      <c r="W128" s="1"/>
      <c r="X128" s="1">
        <f t="shared" si="69"/>
        <v>80</v>
      </c>
      <c r="Y128" s="1"/>
      <c r="Z128" s="5">
        <f t="shared" si="70"/>
        <v>0</v>
      </c>
    </row>
    <row r="129" spans="1:26" s="24" customFormat="1" hidden="1" outlineLevel="2" x14ac:dyDescent="0.25">
      <c r="A129" s="26"/>
      <c r="B129" s="11" t="str">
        <f>CONCATENATE("          ", "6376", " - ", "TRAINING")</f>
        <v xml:space="preserve">          6376 - TRAINING</v>
      </c>
      <c r="C129" s="11"/>
      <c r="D129" s="6"/>
      <c r="E129" s="2"/>
      <c r="F129" s="7">
        <f t="shared" si="63"/>
        <v>0</v>
      </c>
      <c r="G129" s="2"/>
      <c r="H129" s="6"/>
      <c r="I129" s="2"/>
      <c r="J129" s="7">
        <f t="shared" si="64"/>
        <v>0</v>
      </c>
      <c r="K129" s="2"/>
      <c r="L129" s="6">
        <f t="shared" si="65"/>
        <v>0</v>
      </c>
      <c r="M129" s="2"/>
      <c r="N129" s="7">
        <f t="shared" si="66"/>
        <v>0</v>
      </c>
      <c r="O129" s="11"/>
      <c r="P129" s="6">
        <v>80</v>
      </c>
      <c r="Q129" s="2"/>
      <c r="R129" s="7">
        <f t="shared" si="67"/>
        <v>1.6957025344351611E-4</v>
      </c>
      <c r="S129" s="2"/>
      <c r="T129" s="6"/>
      <c r="U129" s="2"/>
      <c r="V129" s="7">
        <f t="shared" si="68"/>
        <v>0</v>
      </c>
      <c r="W129" s="2"/>
      <c r="X129" s="6">
        <f t="shared" si="69"/>
        <v>80</v>
      </c>
      <c r="Y129" s="2"/>
      <c r="Z129" s="7">
        <f t="shared" si="70"/>
        <v>0</v>
      </c>
    </row>
    <row r="130" spans="1:26" s="53" customFormat="1" x14ac:dyDescent="0.25">
      <c r="A130" s="37"/>
      <c r="B130" s="37"/>
      <c r="C130" s="37"/>
      <c r="D130" s="1"/>
      <c r="E130" s="1"/>
      <c r="F130" s="5"/>
      <c r="G130" s="1"/>
      <c r="H130" s="1"/>
      <c r="I130" s="1"/>
      <c r="J130" s="5"/>
      <c r="K130" s="1"/>
      <c r="L130" s="1"/>
      <c r="M130" s="1"/>
      <c r="N130" s="5"/>
      <c r="O130" s="37"/>
      <c r="P130" s="1"/>
      <c r="Q130" s="1"/>
      <c r="R130" s="5"/>
      <c r="S130" s="1"/>
      <c r="T130" s="1"/>
      <c r="U130" s="1"/>
      <c r="V130" s="5"/>
      <c r="W130" s="1"/>
      <c r="X130" s="1"/>
      <c r="Y130" s="1"/>
      <c r="Z130" s="5"/>
    </row>
    <row r="131" spans="1:26" s="23" customFormat="1" x14ac:dyDescent="0.25">
      <c r="A131" s="10"/>
      <c r="B131" s="28" t="s">
        <v>0</v>
      </c>
      <c r="C131" s="10"/>
      <c r="D131" s="4">
        <f>SUM(0)</f>
        <v>0</v>
      </c>
      <c r="E131" s="4"/>
      <c r="F131" s="12">
        <f>IF(D$12=0,0,D131/D$12)</f>
        <v>0</v>
      </c>
      <c r="G131" s="4"/>
      <c r="H131" s="4">
        <f>SUM(0)</f>
        <v>0</v>
      </c>
      <c r="I131" s="4"/>
      <c r="J131" s="12">
        <f>IF(H$12=0,0,H131/H$12)</f>
        <v>0</v>
      </c>
      <c r="K131" s="4"/>
      <c r="L131" s="4">
        <f>+D131-H131</f>
        <v>0</v>
      </c>
      <c r="M131" s="4"/>
      <c r="N131" s="12">
        <f>IF(H131=0,0,L131/H131)</f>
        <v>0</v>
      </c>
      <c r="O131" s="10"/>
      <c r="P131" s="4">
        <f>SUM(0)</f>
        <v>0</v>
      </c>
      <c r="Q131" s="4"/>
      <c r="R131" s="12">
        <f>IF(P$12=0,0,P131/P$12)</f>
        <v>0</v>
      </c>
      <c r="S131" s="4"/>
      <c r="T131" s="4">
        <f>SUM(0)</f>
        <v>0</v>
      </c>
      <c r="U131" s="4"/>
      <c r="V131" s="12">
        <f>IF(T$12=0,0,T131/T$12)</f>
        <v>0</v>
      </c>
      <c r="W131" s="4"/>
      <c r="X131" s="4">
        <f>+P131-T131</f>
        <v>0</v>
      </c>
      <c r="Y131" s="4"/>
      <c r="Z131" s="12">
        <f>IF(T131=0,0,X131/T131)</f>
        <v>0</v>
      </c>
    </row>
    <row r="132" spans="1:26" x14ac:dyDescent="0.2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x14ac:dyDescent="0.25">
      <c r="A133" s="10"/>
      <c r="B133" s="29" t="s">
        <v>3</v>
      </c>
      <c r="C133" s="29"/>
      <c r="D133" s="21">
        <f>+D77-D79+D131</f>
        <v>7755.0100000000057</v>
      </c>
      <c r="E133" s="14"/>
      <c r="F133" s="20">
        <f>IF(D$12=0,0,D133/D$12)</f>
        <v>0.11885455317335894</v>
      </c>
      <c r="G133" s="14"/>
      <c r="H133" s="21">
        <f>+H77-H79+H131</f>
        <v>12765.52999999999</v>
      </c>
      <c r="I133" s="14"/>
      <c r="J133" s="20">
        <f>IF(H$12=0,0,H133/H$12)</f>
        <v>0.23174950815410317</v>
      </c>
      <c r="K133" s="15"/>
      <c r="L133" s="21">
        <f>+D133-H133</f>
        <v>-5010.5199999999841</v>
      </c>
      <c r="M133" s="15"/>
      <c r="N133" s="20">
        <f>IF(H133=0,0,L133/H133)</f>
        <v>-0.39250387567143613</v>
      </c>
      <c r="O133" s="28"/>
      <c r="P133" s="21">
        <f>+P77-P79+P131</f>
        <v>125986.65000000011</v>
      </c>
      <c r="Q133" s="14"/>
      <c r="R133" s="20">
        <f>IF(P$12=0,0,P133/P$12)</f>
        <v>0.26704485213749474</v>
      </c>
      <c r="S133" s="14"/>
      <c r="T133" s="21">
        <f>+T77-T79+T131</f>
        <v>118637.63000000002</v>
      </c>
      <c r="U133" s="14"/>
      <c r="V133" s="20">
        <f>IF(T$12=0,0,T133/T$12)</f>
        <v>0.25913599876982213</v>
      </c>
      <c r="W133" s="15"/>
      <c r="X133" s="21">
        <f>+P133-T133</f>
        <v>7349.0200000000914</v>
      </c>
      <c r="Y133" s="15"/>
      <c r="Z133" s="20">
        <f>IF(T133=0,0,X133/T133)</f>
        <v>6.1945101229686488E-2</v>
      </c>
    </row>
    <row r="134" spans="1:26" x14ac:dyDescent="0.25">
      <c r="A134" s="9"/>
      <c r="B134" s="10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x14ac:dyDescent="0.25">
      <c r="A135" s="51"/>
      <c r="B135" s="10" t="s">
        <v>13</v>
      </c>
      <c r="C135" s="10"/>
      <c r="D135" s="4">
        <v>9035.75</v>
      </c>
      <c r="E135" s="4"/>
      <c r="F135" s="12">
        <f>IF(D$12=0,0,D135/D$12)</f>
        <v>0.13848338413956621</v>
      </c>
      <c r="G135" s="4"/>
      <c r="H135" s="4">
        <v>11185.66</v>
      </c>
      <c r="I135" s="4"/>
      <c r="J135" s="12">
        <f>IF(H$12=0,0,H135/H$12)</f>
        <v>0.2030680436596857</v>
      </c>
      <c r="K135" s="4"/>
      <c r="L135" s="4">
        <f>+D135-H135</f>
        <v>-2149.91</v>
      </c>
      <c r="M135" s="4"/>
      <c r="N135" s="12">
        <f>IF(H135=0,0,L135/H135)</f>
        <v>-0.19220233763586592</v>
      </c>
      <c r="O135" s="10"/>
      <c r="P135" s="4">
        <v>49958.400000000001</v>
      </c>
      <c r="Q135" s="4"/>
      <c r="R135" s="12">
        <f>IF(P$12=0,0,P135/P$12)</f>
        <v>0.10589323187040695</v>
      </c>
      <c r="S135" s="4"/>
      <c r="T135" s="4">
        <v>48172.91</v>
      </c>
      <c r="U135" s="4"/>
      <c r="V135" s="12">
        <f>IF(T$12=0,0,T135/T$12)</f>
        <v>0.10522239146633956</v>
      </c>
      <c r="W135" s="4"/>
      <c r="X135" s="4">
        <f>+P135-T135</f>
        <v>1785.489999999998</v>
      </c>
      <c r="Y135" s="4"/>
      <c r="Z135" s="12">
        <f>IF(T135=0,0,X135/T135)</f>
        <v>3.7064192302271086E-2</v>
      </c>
    </row>
    <row r="136" spans="1:26" x14ac:dyDescent="0.25">
      <c r="A136" s="9"/>
      <c r="B136" s="10"/>
      <c r="C136" s="10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O136" s="10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9" t="s">
        <v>4</v>
      </c>
      <c r="C137" s="29"/>
      <c r="D137" s="31">
        <f>+D133-D135</f>
        <v>-1280.7399999999943</v>
      </c>
      <c r="E137" s="14"/>
      <c r="F137" s="32">
        <f>IF(D$12=0,0,D137/D$12)</f>
        <v>-1.962883096620726E-2</v>
      </c>
      <c r="G137" s="14"/>
      <c r="H137" s="31">
        <f>+H133-H135</f>
        <v>1579.8699999999899</v>
      </c>
      <c r="I137" s="14"/>
      <c r="J137" s="32">
        <f>IF(H$12=0,0,H137/H$12)</f>
        <v>2.8681464494417459E-2</v>
      </c>
      <c r="K137" s="15"/>
      <c r="L137" s="31">
        <f>D137-H137</f>
        <v>-2860.6099999999842</v>
      </c>
      <c r="M137" s="15"/>
      <c r="N137" s="32">
        <f>IF(H137=0,0,L137/H137)</f>
        <v>-1.8106616367169466</v>
      </c>
      <c r="O137" s="28"/>
      <c r="P137" s="31">
        <f>+P133-P135</f>
        <v>76028.250000000116</v>
      </c>
      <c r="Q137" s="14"/>
      <c r="R137" s="32">
        <f>IF(P$12=0,0,P137/P$12)</f>
        <v>0.16115162026708779</v>
      </c>
      <c r="S137" s="14"/>
      <c r="T137" s="31">
        <f>+T133-T135</f>
        <v>70464.720000000016</v>
      </c>
      <c r="U137" s="14"/>
      <c r="V137" s="32">
        <f>IF(T$12=0,0,T137/T$12)</f>
        <v>0.15391360730348255</v>
      </c>
      <c r="W137" s="15"/>
      <c r="X137" s="31">
        <f>P137-T137</f>
        <v>5563.5300000001007</v>
      </c>
      <c r="Y137" s="15"/>
      <c r="Z137" s="32">
        <f>IF(T137=0,0,X137/T137)</f>
        <v>7.8954830161818562E-2</v>
      </c>
    </row>
    <row r="138" spans="1:26" ht="15.75" thickTop="1" x14ac:dyDescent="0.25">
      <c r="A138" s="9"/>
      <c r="B138" s="9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x14ac:dyDescent="0.25">
      <c r="A139" s="9"/>
      <c r="B139" s="9"/>
      <c r="C139" s="9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ht="15.75" thickBot="1" x14ac:dyDescent="0.3">
      <c r="A140" s="10"/>
      <c r="B140" s="29" t="s">
        <v>5</v>
      </c>
      <c r="C140" s="29"/>
      <c r="D140" s="34">
        <f>SUM(D137:D139)</f>
        <v>-1280.7399999999943</v>
      </c>
      <c r="E140" s="14"/>
      <c r="F140" s="30">
        <f>IF(D$12=0,0,D140/D$12)</f>
        <v>-1.962883096620726E-2</v>
      </c>
      <c r="G140" s="14"/>
      <c r="H140" s="34">
        <f>SUM(H137:H139)</f>
        <v>1579.8699999999899</v>
      </c>
      <c r="I140" s="14"/>
      <c r="J140" s="30">
        <f>IF(H$12=0,0,H140/H$12)</f>
        <v>2.8681464494417459E-2</v>
      </c>
      <c r="K140" s="15"/>
      <c r="L140" s="34">
        <f>+D140-H140</f>
        <v>-2860.6099999999842</v>
      </c>
      <c r="M140" s="15"/>
      <c r="N140" s="30">
        <f>IF(H140=0,0,L140/H140)</f>
        <v>-1.8106616367169466</v>
      </c>
      <c r="O140" s="28"/>
      <c r="P140" s="34">
        <f>SUM(P137:P139)</f>
        <v>76028.250000000116</v>
      </c>
      <c r="Q140" s="14"/>
      <c r="R140" s="30">
        <f>IF(P$12=0,0,P140/P$12)</f>
        <v>0.16115162026708779</v>
      </c>
      <c r="S140" s="14"/>
      <c r="T140" s="34">
        <f>SUM(T137:T139)</f>
        <v>70464.720000000016</v>
      </c>
      <c r="U140" s="14"/>
      <c r="V140" s="30">
        <f>IF(T$12=0,0,T140/T$12)</f>
        <v>0.15391360730348255</v>
      </c>
      <c r="W140" s="15"/>
      <c r="X140" s="34">
        <f>+P140-T140</f>
        <v>5563.5300000001007</v>
      </c>
      <c r="Y140" s="15"/>
      <c r="Z140" s="30">
        <f>IF(T140=0,0,X140/T140)</f>
        <v>7.8954830161818562E-2</v>
      </c>
    </row>
    <row r="141" spans="1:26" ht="15.75" thickTop="1" x14ac:dyDescent="0.25">
      <c r="A141" s="9"/>
      <c r="C141" s="9"/>
      <c r="D141" s="18"/>
      <c r="E141" s="18"/>
      <c r="G141" s="18"/>
      <c r="H141" s="18"/>
      <c r="I141" s="18"/>
      <c r="J141" s="43"/>
      <c r="K141" s="18"/>
      <c r="L141" s="18"/>
      <c r="M141" s="18"/>
      <c r="P141" s="18"/>
      <c r="Q141" s="18"/>
      <c r="R141" s="43"/>
      <c r="S141" s="18"/>
      <c r="T141" s="18"/>
      <c r="U141" s="18"/>
      <c r="V141" s="43"/>
      <c r="W141" s="18"/>
      <c r="X141" s="18"/>
    </row>
    <row r="142" spans="1:26" x14ac:dyDescent="0.25">
      <c r="A142" s="9"/>
      <c r="B142" s="59">
        <v>43815.491289849539</v>
      </c>
      <c r="D142" s="18"/>
      <c r="E142" s="18"/>
      <c r="G142" s="18"/>
      <c r="H142" s="18"/>
      <c r="I142" s="18"/>
      <c r="J142" s="43"/>
      <c r="K142" s="18"/>
      <c r="L142" s="18"/>
      <c r="M142" s="18"/>
      <c r="P142" s="18"/>
      <c r="Q142" s="18"/>
      <c r="R142" s="43"/>
      <c r="S142" s="18"/>
      <c r="T142" s="18"/>
      <c r="U142" s="18"/>
      <c r="V142" s="43"/>
      <c r="W142" s="18"/>
      <c r="X142" s="18"/>
    </row>
    <row r="143" spans="1:26" x14ac:dyDescent="0.25">
      <c r="A143" s="9"/>
      <c r="B143" s="62" t="s">
        <v>313</v>
      </c>
      <c r="D143" s="18"/>
      <c r="E143" s="18"/>
      <c r="G143" s="18"/>
      <c r="H143" s="18"/>
      <c r="I143" s="18"/>
      <c r="J143" s="43"/>
      <c r="K143" s="18"/>
      <c r="L143" s="18"/>
      <c r="M143" s="18"/>
      <c r="P143" s="18"/>
      <c r="Q143" s="18"/>
      <c r="R143" s="43"/>
      <c r="S143" s="18"/>
      <c r="T143" s="18"/>
      <c r="U143" s="18"/>
      <c r="V143" s="43"/>
      <c r="W143" s="18"/>
      <c r="X143" s="18"/>
    </row>
    <row r="144" spans="1:26" x14ac:dyDescent="0.25">
      <c r="A144" s="9"/>
      <c r="B144" s="61"/>
      <c r="D144" s="18"/>
      <c r="E144" s="18"/>
      <c r="G144" s="18"/>
      <c r="H144" s="18"/>
      <c r="I144" s="18"/>
      <c r="J144" s="43"/>
      <c r="K144" s="18"/>
      <c r="L144" s="18"/>
      <c r="M144" s="18"/>
      <c r="P144" s="18"/>
      <c r="Q144" s="18"/>
      <c r="R144" s="43"/>
      <c r="S144" s="18"/>
      <c r="T144" s="18"/>
      <c r="U144" s="18"/>
      <c r="V144" s="43"/>
      <c r="W144" s="18"/>
      <c r="X144" s="18"/>
    </row>
    <row r="145" spans="4:24" x14ac:dyDescent="0.25">
      <c r="D145" s="18"/>
      <c r="E145" s="18"/>
      <c r="G145" s="18"/>
      <c r="H145" s="18"/>
      <c r="I145" s="18"/>
      <c r="J145" s="43"/>
      <c r="K145" s="18"/>
      <c r="L145" s="18"/>
      <c r="M145" s="18"/>
      <c r="P145" s="18"/>
      <c r="Q145" s="18"/>
      <c r="R145" s="43"/>
      <c r="S145" s="18"/>
      <c r="T145" s="18"/>
      <c r="U145" s="18"/>
      <c r="V145" s="43"/>
      <c r="W145" s="18"/>
      <c r="X145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","307", " - ", "Art Store")</f>
        <v>Department 307 - Art 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46007.89</v>
      </c>
      <c r="E12" s="4"/>
      <c r="F12" s="12"/>
      <c r="G12" s="4"/>
      <c r="H12" s="4">
        <f>SUM(OSRRefH13x_0)</f>
        <v>35711.149999999994</v>
      </c>
      <c r="I12" s="4"/>
      <c r="J12" s="12"/>
      <c r="K12" s="4"/>
      <c r="L12" s="4">
        <f t="shared" ref="L12:L46" si="0">+D12-H12</f>
        <v>10296.740000000005</v>
      </c>
      <c r="M12" s="4"/>
      <c r="N12" s="12">
        <f t="shared" ref="N12:N46" si="1">IF(H12=0,0,L12/H12)</f>
        <v>0.28833403572833716</v>
      </c>
      <c r="O12" s="10"/>
      <c r="P12" s="4">
        <f>SUM(OSRRefP13x_0)</f>
        <v>247120.5</v>
      </c>
      <c r="Q12" s="4"/>
      <c r="R12" s="12"/>
      <c r="S12" s="4"/>
      <c r="T12" s="4">
        <f>SUM(OSRRefT13x_0)</f>
        <v>237855.33000000002</v>
      </c>
      <c r="U12" s="4"/>
      <c r="V12" s="12"/>
      <c r="W12" s="4"/>
      <c r="X12" s="4">
        <f t="shared" ref="X12:X46" si="2">+P12-T12</f>
        <v>9265.1699999999837</v>
      </c>
      <c r="Y12" s="4"/>
      <c r="Z12" s="12">
        <f t="shared" ref="Z12:Z46" si="3">IF(T12=0,0,X12/T12)</f>
        <v>3.8952963551415823E-2</v>
      </c>
    </row>
    <row r="13" spans="1:26" s="24" customFormat="1" hidden="1" outlineLevel="1" x14ac:dyDescent="0.25">
      <c r="A13" s="44"/>
      <c r="B13" s="11" t="str">
        <f>CONCATENATE("          ", "4013", " - ", "TAXABLE SALES-TRADE BOOKS")</f>
        <v xml:space="preserve">          4013 - TAXABLE SALES-TRADE BOOKS</v>
      </c>
      <c r="C13" s="11"/>
      <c r="D13" s="2">
        <f>0</f>
        <v>0</v>
      </c>
      <c r="E13" s="2"/>
      <c r="F13" s="19"/>
      <c r="G13" s="2"/>
      <c r="H13" s="2">
        <f>--69.25</f>
        <v>69.25</v>
      </c>
      <c r="I13" s="2"/>
      <c r="J13" s="19"/>
      <c r="K13" s="2"/>
      <c r="L13" s="2">
        <f t="shared" si="0"/>
        <v>-69.25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--69.25</f>
        <v>69.25</v>
      </c>
      <c r="U13" s="2"/>
      <c r="V13" s="19"/>
      <c r="W13" s="2"/>
      <c r="X13" s="2">
        <f t="shared" si="2"/>
        <v>-69.25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--5.49</f>
        <v>5.49</v>
      </c>
      <c r="E14" s="2"/>
      <c r="F14" s="19"/>
      <c r="G14" s="2"/>
      <c r="H14" s="2">
        <f t="shared" ref="H14:H15" si="4">0</f>
        <v>0</v>
      </c>
      <c r="I14" s="2"/>
      <c r="J14" s="19"/>
      <c r="K14" s="2"/>
      <c r="L14" s="2">
        <f t="shared" si="0"/>
        <v>5.49</v>
      </c>
      <c r="M14" s="2"/>
      <c r="N14" s="19">
        <f t="shared" si="1"/>
        <v>0</v>
      </c>
      <c r="O14" s="11"/>
      <c r="P14" s="2">
        <f>--21.96</f>
        <v>21.96</v>
      </c>
      <c r="Q14" s="2"/>
      <c r="R14" s="19"/>
      <c r="S14" s="2"/>
      <c r="T14" s="2">
        <f>0</f>
        <v>0</v>
      </c>
      <c r="U14" s="2"/>
      <c r="V14" s="19"/>
      <c r="W14" s="2"/>
      <c r="X14" s="2">
        <f t="shared" si="2"/>
        <v>21.96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0</f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f>--39.9</f>
        <v>39.9</v>
      </c>
      <c r="U15" s="2"/>
      <c r="V15" s="19"/>
      <c r="W15" s="2"/>
      <c r="X15" s="2">
        <f t="shared" si="2"/>
        <v>-39.9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--189.01</f>
        <v>189.01</v>
      </c>
      <c r="E16" s="2"/>
      <c r="F16" s="19"/>
      <c r="G16" s="2"/>
      <c r="H16" s="2">
        <f>--139.06</f>
        <v>139.06</v>
      </c>
      <c r="I16" s="2"/>
      <c r="J16" s="19"/>
      <c r="K16" s="2"/>
      <c r="L16" s="2">
        <f t="shared" si="0"/>
        <v>49.949999999999989</v>
      </c>
      <c r="M16" s="2"/>
      <c r="N16" s="19">
        <f t="shared" si="1"/>
        <v>0.35919746871853869</v>
      </c>
      <c r="O16" s="11"/>
      <c r="P16" s="2">
        <f>--1309.17</f>
        <v>1309.17</v>
      </c>
      <c r="Q16" s="2"/>
      <c r="R16" s="19"/>
      <c r="S16" s="2"/>
      <c r="T16" s="2">
        <f>--881.53</f>
        <v>881.53</v>
      </c>
      <c r="U16" s="2"/>
      <c r="V16" s="19"/>
      <c r="W16" s="2"/>
      <c r="X16" s="2">
        <f t="shared" si="2"/>
        <v>427.6400000000001</v>
      </c>
      <c r="Y16" s="2"/>
      <c r="Z16" s="19">
        <f t="shared" si="3"/>
        <v>0.48511111363198089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--757.56</f>
        <v>757.56</v>
      </c>
      <c r="E17" s="2"/>
      <c r="F17" s="19"/>
      <c r="G17" s="2"/>
      <c r="H17" s="2">
        <f>--370.41</f>
        <v>370.41</v>
      </c>
      <c r="I17" s="2"/>
      <c r="J17" s="19"/>
      <c r="K17" s="2"/>
      <c r="L17" s="2">
        <f t="shared" si="0"/>
        <v>387.14999999999992</v>
      </c>
      <c r="M17" s="2"/>
      <c r="N17" s="19">
        <f t="shared" si="1"/>
        <v>1.0451931643314163</v>
      </c>
      <c r="O17" s="11"/>
      <c r="P17" s="2">
        <f>--3476.03</f>
        <v>3476.03</v>
      </c>
      <c r="Q17" s="2"/>
      <c r="R17" s="19"/>
      <c r="S17" s="2"/>
      <c r="T17" s="2">
        <f>--3133.06</f>
        <v>3133.06</v>
      </c>
      <c r="U17" s="2"/>
      <c r="V17" s="19"/>
      <c r="W17" s="2"/>
      <c r="X17" s="2">
        <f t="shared" si="2"/>
        <v>342.97000000000025</v>
      </c>
      <c r="Y17" s="2"/>
      <c r="Z17" s="19">
        <f t="shared" si="3"/>
        <v>0.10946805997970044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--322.06</f>
        <v>322.06</v>
      </c>
      <c r="E18" s="2"/>
      <c r="F18" s="19"/>
      <c r="G18" s="2"/>
      <c r="H18" s="2">
        <f>--285.64</f>
        <v>285.64</v>
      </c>
      <c r="I18" s="2"/>
      <c r="J18" s="19"/>
      <c r="K18" s="2"/>
      <c r="L18" s="2">
        <f t="shared" si="0"/>
        <v>36.420000000000016</v>
      </c>
      <c r="M18" s="2"/>
      <c r="N18" s="19">
        <f t="shared" si="1"/>
        <v>0.12750315081921307</v>
      </c>
      <c r="O18" s="11"/>
      <c r="P18" s="2">
        <f>--5564.54</f>
        <v>5564.54</v>
      </c>
      <c r="Q18" s="2"/>
      <c r="R18" s="19"/>
      <c r="S18" s="2"/>
      <c r="T18" s="2">
        <f>--3083.41</f>
        <v>3083.41</v>
      </c>
      <c r="U18" s="2"/>
      <c r="V18" s="19"/>
      <c r="W18" s="2"/>
      <c r="X18" s="2">
        <f t="shared" si="2"/>
        <v>2481.13</v>
      </c>
      <c r="Y18" s="2"/>
      <c r="Z18" s="19">
        <f t="shared" si="3"/>
        <v>0.80467080278003911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--28542.6</f>
        <v>28542.6</v>
      </c>
      <c r="E19" s="2"/>
      <c r="F19" s="19"/>
      <c r="G19" s="2"/>
      <c r="H19" s="2">
        <f>--22571.25</f>
        <v>22571.25</v>
      </c>
      <c r="I19" s="2"/>
      <c r="J19" s="19"/>
      <c r="K19" s="2"/>
      <c r="L19" s="2">
        <f t="shared" si="0"/>
        <v>5971.3499999999985</v>
      </c>
      <c r="M19" s="2"/>
      <c r="N19" s="19">
        <f t="shared" si="1"/>
        <v>0.26455557401561713</v>
      </c>
      <c r="O19" s="11"/>
      <c r="P19" s="2">
        <f>--169267.93</f>
        <v>169267.93</v>
      </c>
      <c r="Q19" s="2"/>
      <c r="R19" s="19"/>
      <c r="S19" s="2"/>
      <c r="T19" s="2">
        <f>--170198.75</f>
        <v>170198.75</v>
      </c>
      <c r="U19" s="2"/>
      <c r="V19" s="19"/>
      <c r="W19" s="2"/>
      <c r="X19" s="2">
        <f t="shared" si="2"/>
        <v>-930.82000000000698</v>
      </c>
      <c r="Y19" s="2"/>
      <c r="Z19" s="19">
        <f t="shared" si="3"/>
        <v>-5.4690178394377576E-3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--58.77</f>
        <v>58.77</v>
      </c>
      <c r="E20" s="2"/>
      <c r="F20" s="19"/>
      <c r="G20" s="2"/>
      <c r="H20" s="2">
        <f>--42.39</f>
        <v>42.39</v>
      </c>
      <c r="I20" s="2"/>
      <c r="J20" s="19"/>
      <c r="K20" s="2"/>
      <c r="L20" s="2">
        <f t="shared" si="0"/>
        <v>16.380000000000003</v>
      </c>
      <c r="M20" s="2"/>
      <c r="N20" s="19">
        <f t="shared" si="1"/>
        <v>0.38641188959660305</v>
      </c>
      <c r="O20" s="11"/>
      <c r="P20" s="2">
        <f>--280.05</f>
        <v>280.05</v>
      </c>
      <c r="Q20" s="2"/>
      <c r="R20" s="19"/>
      <c r="S20" s="2"/>
      <c r="T20" s="2">
        <f>--288.29</f>
        <v>288.29000000000002</v>
      </c>
      <c r="U20" s="2"/>
      <c r="V20" s="19"/>
      <c r="W20" s="2"/>
      <c r="X20" s="2">
        <f t="shared" si="2"/>
        <v>-8.2400000000000091</v>
      </c>
      <c r="Y20" s="2"/>
      <c r="Z20" s="19">
        <f t="shared" si="3"/>
        <v>-2.8582330292413919E-2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>--609.66</f>
        <v>609.66</v>
      </c>
      <c r="E21" s="2"/>
      <c r="F21" s="19"/>
      <c r="G21" s="2"/>
      <c r="H21" s="2">
        <f>--32.64</f>
        <v>32.64</v>
      </c>
      <c r="I21" s="2"/>
      <c r="J21" s="19"/>
      <c r="K21" s="2"/>
      <c r="L21" s="2">
        <f t="shared" si="0"/>
        <v>577.02</v>
      </c>
      <c r="M21" s="2"/>
      <c r="N21" s="19">
        <f t="shared" si="1"/>
        <v>17.678308823529409</v>
      </c>
      <c r="O21" s="11"/>
      <c r="P21" s="2">
        <f>--663.08</f>
        <v>663.08</v>
      </c>
      <c r="Q21" s="2"/>
      <c r="R21" s="19"/>
      <c r="S21" s="2"/>
      <c r="T21" s="2">
        <f>--215.94</f>
        <v>215.94</v>
      </c>
      <c r="U21" s="2"/>
      <c r="V21" s="19"/>
      <c r="W21" s="2"/>
      <c r="X21" s="2">
        <f t="shared" si="2"/>
        <v>447.14000000000004</v>
      </c>
      <c r="Y21" s="2"/>
      <c r="Z21" s="19">
        <f t="shared" si="3"/>
        <v>2.0706677780865057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>--23.21</f>
        <v>23.21</v>
      </c>
      <c r="E22" s="2"/>
      <c r="F22" s="19"/>
      <c r="G22" s="2"/>
      <c r="H22" s="2">
        <f>--18.59</f>
        <v>18.59</v>
      </c>
      <c r="I22" s="2"/>
      <c r="J22" s="19"/>
      <c r="K22" s="2"/>
      <c r="L22" s="2">
        <f t="shared" si="0"/>
        <v>4.620000000000001</v>
      </c>
      <c r="M22" s="2"/>
      <c r="N22" s="19">
        <f t="shared" si="1"/>
        <v>0.24852071005917165</v>
      </c>
      <c r="O22" s="11"/>
      <c r="P22" s="2">
        <f>--108.61</f>
        <v>108.61</v>
      </c>
      <c r="Q22" s="2"/>
      <c r="R22" s="19"/>
      <c r="S22" s="2"/>
      <c r="T22" s="2">
        <f>--92.26</f>
        <v>92.26</v>
      </c>
      <c r="U22" s="2"/>
      <c r="V22" s="19"/>
      <c r="W22" s="2"/>
      <c r="X22" s="2">
        <f t="shared" si="2"/>
        <v>16.349999999999994</v>
      </c>
      <c r="Y22" s="2"/>
      <c r="Z22" s="19">
        <f t="shared" si="3"/>
        <v>0.17721656189030993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>--1010.01</f>
        <v>1010.01</v>
      </c>
      <c r="E23" s="2"/>
      <c r="F23" s="19"/>
      <c r="G23" s="2"/>
      <c r="H23" s="2">
        <f>--731.07</f>
        <v>731.07</v>
      </c>
      <c r="I23" s="2"/>
      <c r="J23" s="19"/>
      <c r="K23" s="2"/>
      <c r="L23" s="2">
        <f t="shared" si="0"/>
        <v>278.93999999999994</v>
      </c>
      <c r="M23" s="2"/>
      <c r="N23" s="19">
        <f t="shared" si="1"/>
        <v>0.38155033033772406</v>
      </c>
      <c r="O23" s="11"/>
      <c r="P23" s="2">
        <f>--4724.25</f>
        <v>4724.25</v>
      </c>
      <c r="Q23" s="2"/>
      <c r="R23" s="19"/>
      <c r="S23" s="2"/>
      <c r="T23" s="2">
        <f>--3697.94</f>
        <v>3697.94</v>
      </c>
      <c r="U23" s="2"/>
      <c r="V23" s="19"/>
      <c r="W23" s="2"/>
      <c r="X23" s="2">
        <f t="shared" si="2"/>
        <v>1026.31</v>
      </c>
      <c r="Y23" s="2"/>
      <c r="Z23" s="19">
        <f t="shared" si="3"/>
        <v>0.27753560090212387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--269.24</f>
        <v>269.24</v>
      </c>
      <c r="E24" s="2"/>
      <c r="F24" s="19"/>
      <c r="G24" s="2"/>
      <c r="H24" s="2">
        <f>--212.18</f>
        <v>212.18</v>
      </c>
      <c r="I24" s="2"/>
      <c r="J24" s="19"/>
      <c r="K24" s="2"/>
      <c r="L24" s="2">
        <f t="shared" si="0"/>
        <v>57.06</v>
      </c>
      <c r="M24" s="2"/>
      <c r="N24" s="19">
        <f t="shared" si="1"/>
        <v>0.26892261287586011</v>
      </c>
      <c r="O24" s="11"/>
      <c r="P24" s="2">
        <f>--1117.4</f>
        <v>1117.4000000000001</v>
      </c>
      <c r="Q24" s="2"/>
      <c r="R24" s="19"/>
      <c r="S24" s="2"/>
      <c r="T24" s="2">
        <f>--1081.1</f>
        <v>1081.0999999999999</v>
      </c>
      <c r="U24" s="2"/>
      <c r="V24" s="19"/>
      <c r="W24" s="2"/>
      <c r="X24" s="2">
        <f t="shared" si="2"/>
        <v>36.300000000000182</v>
      </c>
      <c r="Y24" s="2"/>
      <c r="Z24" s="19">
        <f t="shared" si="3"/>
        <v>3.3576912404033099E-2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>--74.6</f>
        <v>74.599999999999994</v>
      </c>
      <c r="E25" s="2"/>
      <c r="F25" s="19"/>
      <c r="G25" s="2"/>
      <c r="H25" s="2">
        <f>--78.77</f>
        <v>78.77</v>
      </c>
      <c r="I25" s="2"/>
      <c r="J25" s="19"/>
      <c r="K25" s="2"/>
      <c r="L25" s="2">
        <f t="shared" si="0"/>
        <v>-4.1700000000000017</v>
      </c>
      <c r="M25" s="2"/>
      <c r="N25" s="19">
        <f t="shared" si="1"/>
        <v>-5.2938936143201748E-2</v>
      </c>
      <c r="O25" s="11"/>
      <c r="P25" s="2">
        <f>--377.17</f>
        <v>377.17</v>
      </c>
      <c r="Q25" s="2"/>
      <c r="R25" s="19"/>
      <c r="S25" s="2"/>
      <c r="T25" s="2">
        <f>--381.85</f>
        <v>381.85</v>
      </c>
      <c r="U25" s="2"/>
      <c r="V25" s="19"/>
      <c r="W25" s="2"/>
      <c r="X25" s="2">
        <f t="shared" si="2"/>
        <v>-4.6800000000000068</v>
      </c>
      <c r="Y25" s="2"/>
      <c r="Z25" s="19">
        <f t="shared" si="3"/>
        <v>-1.2256121513683401E-2</v>
      </c>
    </row>
    <row r="26" spans="1:26" s="24" customFormat="1" hidden="1" outlineLevel="1" x14ac:dyDescent="0.25">
      <c r="A26" s="44"/>
      <c r="B26" s="11" t="str">
        <f>CONCATENATE("          ", "4042", " - ", "TAXABLE SALES-EVERYDAY GIFTS")</f>
        <v xml:space="preserve">          4042 - TAXABLE SALES-EVERYDAY GIFTS</v>
      </c>
      <c r="C26" s="11"/>
      <c r="D26" s="2">
        <f>0</f>
        <v>0</v>
      </c>
      <c r="E26" s="2"/>
      <c r="F26" s="19"/>
      <c r="G26" s="2"/>
      <c r="H26" s="2">
        <f>--39.95</f>
        <v>39.950000000000003</v>
      </c>
      <c r="I26" s="2"/>
      <c r="J26" s="19"/>
      <c r="K26" s="2"/>
      <c r="L26" s="2">
        <f t="shared" si="0"/>
        <v>-39.950000000000003</v>
      </c>
      <c r="M26" s="2"/>
      <c r="N26" s="19">
        <f t="shared" si="1"/>
        <v>-1</v>
      </c>
      <c r="O26" s="11"/>
      <c r="P26" s="2">
        <f>0</f>
        <v>0</v>
      </c>
      <c r="Q26" s="2"/>
      <c r="R26" s="19"/>
      <c r="S26" s="2"/>
      <c r="T26" s="2">
        <f>--504.33</f>
        <v>504.33</v>
      </c>
      <c r="U26" s="2"/>
      <c r="V26" s="19"/>
      <c r="W26" s="2"/>
      <c r="X26" s="2">
        <f t="shared" si="2"/>
        <v>-504.33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"4081", " - ", "TAXABLE SALES-ELECTRONICS")</f>
        <v xml:space="preserve">          4081 - TAXABLE SALES-ELECTRONICS</v>
      </c>
      <c r="C27" s="11"/>
      <c r="D27" s="2">
        <f>--430.76</f>
        <v>430.76</v>
      </c>
      <c r="E27" s="2"/>
      <c r="F27" s="19"/>
      <c r="G27" s="2"/>
      <c r="H27" s="2">
        <f>--382.68</f>
        <v>382.68</v>
      </c>
      <c r="I27" s="2"/>
      <c r="J27" s="19"/>
      <c r="K27" s="2"/>
      <c r="L27" s="2">
        <f t="shared" si="0"/>
        <v>48.079999999999984</v>
      </c>
      <c r="M27" s="2"/>
      <c r="N27" s="19">
        <f t="shared" si="1"/>
        <v>0.12564022159506633</v>
      </c>
      <c r="O27" s="11"/>
      <c r="P27" s="2">
        <f>--2223.67</f>
        <v>2223.67</v>
      </c>
      <c r="Q27" s="2"/>
      <c r="R27" s="19"/>
      <c r="S27" s="2"/>
      <c r="T27" s="2">
        <f>--2582.14</f>
        <v>2582.14</v>
      </c>
      <c r="U27" s="2"/>
      <c r="V27" s="19"/>
      <c r="W27" s="2"/>
      <c r="X27" s="2">
        <f t="shared" si="2"/>
        <v>-358.4699999999998</v>
      </c>
      <c r="Y27" s="2"/>
      <c r="Z27" s="19">
        <f t="shared" si="3"/>
        <v>-0.13882670962844765</v>
      </c>
    </row>
    <row r="28" spans="1:26" s="24" customFormat="1" hidden="1" outlineLevel="1" x14ac:dyDescent="0.25">
      <c r="A28" s="44"/>
      <c r="B28" s="11" t="str">
        <f>CONCATENATE("          ", "4082", " - ", "TAXABLE SALES-COMPUTER HARDWAR")</f>
        <v xml:space="preserve">          4082 - TAXABLE SALES-COMPUTER HARDWAR</v>
      </c>
      <c r="C28" s="11"/>
      <c r="D28" s="2">
        <f>0</f>
        <v>0</v>
      </c>
      <c r="E28" s="2"/>
      <c r="F28" s="19"/>
      <c r="G28" s="2"/>
      <c r="H28" s="2">
        <f>--58</f>
        <v>58</v>
      </c>
      <c r="I28" s="2"/>
      <c r="J28" s="19"/>
      <c r="K28" s="2"/>
      <c r="L28" s="2">
        <f t="shared" si="0"/>
        <v>-58</v>
      </c>
      <c r="M28" s="2"/>
      <c r="N28" s="19">
        <f t="shared" si="1"/>
        <v>-1</v>
      </c>
      <c r="O28" s="11"/>
      <c r="P28" s="2">
        <f>--162</f>
        <v>162</v>
      </c>
      <c r="Q28" s="2"/>
      <c r="R28" s="19"/>
      <c r="S28" s="2"/>
      <c r="T28" s="2">
        <f>--366</f>
        <v>366</v>
      </c>
      <c r="U28" s="2"/>
      <c r="V28" s="19"/>
      <c r="W28" s="2"/>
      <c r="X28" s="2">
        <f t="shared" si="2"/>
        <v>-204</v>
      </c>
      <c r="Y28" s="2"/>
      <c r="Z28" s="19">
        <f t="shared" si="3"/>
        <v>-0.55737704918032782</v>
      </c>
    </row>
    <row r="29" spans="1:26" s="24" customFormat="1" hidden="1" outlineLevel="1" x14ac:dyDescent="0.25">
      <c r="A29" s="44"/>
      <c r="B29" s="11" t="str">
        <f>CONCATENATE("          ", "4083", " - ", "TAXABLE SALES-COMPUTER EQUIPME")</f>
        <v xml:space="preserve">          4083 - TAXABLE SALES-COMPUTER EQUIPME</v>
      </c>
      <c r="C29" s="11"/>
      <c r="D29" s="2">
        <f>--139.91</f>
        <v>139.91</v>
      </c>
      <c r="E29" s="2"/>
      <c r="F29" s="19"/>
      <c r="G29" s="2"/>
      <c r="H29" s="2">
        <f>--49.95</f>
        <v>49.95</v>
      </c>
      <c r="I29" s="2"/>
      <c r="J29" s="19"/>
      <c r="K29" s="2"/>
      <c r="L29" s="2">
        <f t="shared" si="0"/>
        <v>89.96</v>
      </c>
      <c r="M29" s="2"/>
      <c r="N29" s="19">
        <f t="shared" si="1"/>
        <v>1.8010010010010007</v>
      </c>
      <c r="O29" s="11"/>
      <c r="P29" s="2">
        <f>--569.6</f>
        <v>569.6</v>
      </c>
      <c r="Q29" s="2"/>
      <c r="R29" s="19"/>
      <c r="S29" s="2"/>
      <c r="T29" s="2">
        <f>--689.44</f>
        <v>689.44</v>
      </c>
      <c r="U29" s="2"/>
      <c r="V29" s="19"/>
      <c r="W29" s="2"/>
      <c r="X29" s="2">
        <f t="shared" si="2"/>
        <v>-119.84000000000003</v>
      </c>
      <c r="Y29" s="2"/>
      <c r="Z29" s="19">
        <f t="shared" si="3"/>
        <v>-0.17382223253655144</v>
      </c>
    </row>
    <row r="30" spans="1:26" s="24" customFormat="1" hidden="1" outlineLevel="1" x14ac:dyDescent="0.25">
      <c r="A30" s="44"/>
      <c r="B30" s="11" t="str">
        <f>CONCATENATE("          ", "4086", " - ", "TAXABLE SALES-COMPUTER SUPPLIE")</f>
        <v xml:space="preserve">          4086 - TAXABLE SALES-COMPUTER SUPPLIE</v>
      </c>
      <c r="C30" s="11"/>
      <c r="D30" s="2">
        <f>--105</f>
        <v>105</v>
      </c>
      <c r="E30" s="2"/>
      <c r="F30" s="19"/>
      <c r="G30" s="2"/>
      <c r="H30" s="2">
        <f>--124.91</f>
        <v>124.91</v>
      </c>
      <c r="I30" s="2"/>
      <c r="J30" s="19"/>
      <c r="K30" s="2"/>
      <c r="L30" s="2">
        <f t="shared" si="0"/>
        <v>-19.909999999999997</v>
      </c>
      <c r="M30" s="2"/>
      <c r="N30" s="19">
        <f t="shared" si="1"/>
        <v>-0.15939476423024576</v>
      </c>
      <c r="O30" s="11"/>
      <c r="P30" s="2">
        <f>--639.79</f>
        <v>639.79</v>
      </c>
      <c r="Q30" s="2"/>
      <c r="R30" s="19"/>
      <c r="S30" s="2"/>
      <c r="T30" s="2">
        <f>--1095.4</f>
        <v>1095.4000000000001</v>
      </c>
      <c r="U30" s="2"/>
      <c r="V30" s="19"/>
      <c r="W30" s="2"/>
      <c r="X30" s="2">
        <f t="shared" si="2"/>
        <v>-455.61000000000013</v>
      </c>
      <c r="Y30" s="2"/>
      <c r="Z30" s="19">
        <f t="shared" si="3"/>
        <v>-0.41593025378857046</v>
      </c>
    </row>
    <row r="31" spans="1:26" s="24" customFormat="1" hidden="1" outlineLevel="1" x14ac:dyDescent="0.25">
      <c r="A31" s="44"/>
      <c r="B31" s="11" t="str">
        <f>CONCATENATE("          ", "4126", " - ", "NON-TAXABLE SALES-WRITING INST")</f>
        <v xml:space="preserve">          4126 - NON-TAXABLE SALES-WRITING INST</v>
      </c>
      <c r="C31" s="11"/>
      <c r="D31" s="2">
        <f t="shared" ref="D31:D33" si="5">0</f>
        <v>0</v>
      </c>
      <c r="E31" s="2"/>
      <c r="F31" s="19"/>
      <c r="G31" s="2"/>
      <c r="H31" s="2">
        <f t="shared" ref="H31:H33" si="6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--1.79</f>
        <v>1.79</v>
      </c>
      <c r="U31" s="2"/>
      <c r="V31" s="19"/>
      <c r="W31" s="2"/>
      <c r="X31" s="2">
        <f t="shared" si="2"/>
        <v>-1.79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"4127", " - ", "NON-TAXABLE SALES-SCHOOL SUPPL")</f>
        <v xml:space="preserve">          4127 - NON-TAXABLE SALES-SCHOOL SUPPL</v>
      </c>
      <c r="C32" s="11"/>
      <c r="D32" s="2">
        <f t="shared" si="5"/>
        <v>0</v>
      </c>
      <c r="E32" s="2"/>
      <c r="F32" s="19"/>
      <c r="G32" s="2"/>
      <c r="H32" s="2">
        <f t="shared" si="6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--12.17</f>
        <v>12.17</v>
      </c>
      <c r="Q32" s="2"/>
      <c r="R32" s="19"/>
      <c r="S32" s="2"/>
      <c r="T32" s="2">
        <f>--10.24</f>
        <v>10.24</v>
      </c>
      <c r="U32" s="2"/>
      <c r="V32" s="19"/>
      <c r="W32" s="2"/>
      <c r="X32" s="2">
        <f t="shared" si="2"/>
        <v>1.9299999999999997</v>
      </c>
      <c r="Y32" s="2"/>
      <c r="Z32" s="19">
        <f t="shared" si="3"/>
        <v>0.18847656249999997</v>
      </c>
    </row>
    <row r="33" spans="1:26" s="24" customFormat="1" hidden="1" outlineLevel="1" x14ac:dyDescent="0.25">
      <c r="A33" s="44"/>
      <c r="B33" s="11" t="str">
        <f>CONCATENATE("          ", "4128", " - ", "NON-TAXABLE SALES-ART/TECH")</f>
        <v xml:space="preserve">          4128 - NON-TAXABLE SALES-ART/TECH</v>
      </c>
      <c r="C33" s="11"/>
      <c r="D33" s="2">
        <f t="shared" si="5"/>
        <v>0</v>
      </c>
      <c r="E33" s="2"/>
      <c r="F33" s="19"/>
      <c r="G33" s="2"/>
      <c r="H33" s="2">
        <f t="shared" si="6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--95.4</f>
        <v>95.4</v>
      </c>
      <c r="Q33" s="2"/>
      <c r="R33" s="19"/>
      <c r="S33" s="2"/>
      <c r="T33" s="2">
        <f>--284.8</f>
        <v>284.8</v>
      </c>
      <c r="U33" s="2"/>
      <c r="V33" s="19"/>
      <c r="W33" s="2"/>
      <c r="X33" s="2">
        <f t="shared" si="2"/>
        <v>-189.4</v>
      </c>
      <c r="Y33" s="2"/>
      <c r="Z33" s="19">
        <f t="shared" si="3"/>
        <v>-0.66502808988764039</v>
      </c>
    </row>
    <row r="34" spans="1:26" s="24" customFormat="1" hidden="1" outlineLevel="1" x14ac:dyDescent="0.25">
      <c r="A34" s="44"/>
      <c r="B34" s="11" t="str">
        <f>CONCATENATE("          ", "4131", " - ", "NON-TAXABLE SALES-FOOD")</f>
        <v xml:space="preserve">          4131 - NON-TAXABLE SALES-FOOD</v>
      </c>
      <c r="C34" s="11"/>
      <c r="D34" s="2">
        <f>--8214.93</f>
        <v>8214.93</v>
      </c>
      <c r="E34" s="2"/>
      <c r="F34" s="19"/>
      <c r="G34" s="2"/>
      <c r="H34" s="2">
        <f>--6656.51</f>
        <v>6656.51</v>
      </c>
      <c r="I34" s="2"/>
      <c r="J34" s="19"/>
      <c r="K34" s="2"/>
      <c r="L34" s="2">
        <f t="shared" si="0"/>
        <v>1558.42</v>
      </c>
      <c r="M34" s="2"/>
      <c r="N34" s="19">
        <f t="shared" si="1"/>
        <v>0.23411968133451314</v>
      </c>
      <c r="O34" s="11"/>
      <c r="P34" s="2">
        <f>--34233.68</f>
        <v>34233.68</v>
      </c>
      <c r="Q34" s="2"/>
      <c r="R34" s="19"/>
      <c r="S34" s="2"/>
      <c r="T34" s="2">
        <f>--32587.88</f>
        <v>32587.88</v>
      </c>
      <c r="U34" s="2"/>
      <c r="V34" s="19"/>
      <c r="W34" s="2"/>
      <c r="X34" s="2">
        <f t="shared" si="2"/>
        <v>1645.7999999999993</v>
      </c>
      <c r="Y34" s="2"/>
      <c r="Z34" s="19">
        <f t="shared" si="3"/>
        <v>5.050343870175044E-2</v>
      </c>
    </row>
    <row r="35" spans="1:26" s="24" customFormat="1" hidden="1" outlineLevel="1" x14ac:dyDescent="0.25">
      <c r="A35" s="44"/>
      <c r="B35" s="11" t="str">
        <f>CONCATENATE("          ", "4132", " - ", "NON-TAXABLE SALES-JUICE")</f>
        <v xml:space="preserve">          4132 - NON-TAXABLE SALES-JUICE</v>
      </c>
      <c r="C35" s="11"/>
      <c r="D35" s="2">
        <f>--2505.59</f>
        <v>2505.59</v>
      </c>
      <c r="E35" s="2"/>
      <c r="F35" s="19"/>
      <c r="G35" s="2"/>
      <c r="H35" s="2">
        <f>--1795.11</f>
        <v>1795.11</v>
      </c>
      <c r="I35" s="2"/>
      <c r="J35" s="19"/>
      <c r="K35" s="2"/>
      <c r="L35" s="2">
        <f t="shared" si="0"/>
        <v>710.48000000000025</v>
      </c>
      <c r="M35" s="2"/>
      <c r="N35" s="19">
        <f t="shared" si="1"/>
        <v>0.39578633064269059</v>
      </c>
      <c r="O35" s="11"/>
      <c r="P35" s="2">
        <f>--10274.39</f>
        <v>10274.39</v>
      </c>
      <c r="Q35" s="2"/>
      <c r="R35" s="19"/>
      <c r="S35" s="2"/>
      <c r="T35" s="2">
        <f>--8636.19</f>
        <v>8636.19</v>
      </c>
      <c r="U35" s="2"/>
      <c r="V35" s="19"/>
      <c r="W35" s="2"/>
      <c r="X35" s="2">
        <f t="shared" si="2"/>
        <v>1638.1999999999989</v>
      </c>
      <c r="Y35" s="2"/>
      <c r="Z35" s="19">
        <f t="shared" si="3"/>
        <v>0.18969012955944681</v>
      </c>
    </row>
    <row r="36" spans="1:26" s="24" customFormat="1" hidden="1" outlineLevel="1" x14ac:dyDescent="0.25">
      <c r="A36" s="44"/>
      <c r="B36" s="11" t="str">
        <f>CONCATENATE("          ", "4133", " - ", "NON-TAXABLE SALES-CANDY")</f>
        <v xml:space="preserve">          4133 - NON-TAXABLE SALES-CANDY</v>
      </c>
      <c r="C36" s="11"/>
      <c r="D36" s="2">
        <f>--2153.98</f>
        <v>2153.98</v>
      </c>
      <c r="E36" s="2"/>
      <c r="F36" s="19"/>
      <c r="G36" s="2"/>
      <c r="H36" s="2">
        <f>--1482.24</f>
        <v>1482.24</v>
      </c>
      <c r="I36" s="2"/>
      <c r="J36" s="19"/>
      <c r="K36" s="2"/>
      <c r="L36" s="2">
        <f t="shared" si="0"/>
        <v>671.74</v>
      </c>
      <c r="M36" s="2"/>
      <c r="N36" s="19">
        <f t="shared" si="1"/>
        <v>0.45319246545768566</v>
      </c>
      <c r="O36" s="11"/>
      <c r="P36" s="2">
        <f>--9475.44</f>
        <v>9475.44</v>
      </c>
      <c r="Q36" s="2"/>
      <c r="R36" s="19"/>
      <c r="S36" s="2"/>
      <c r="T36" s="2">
        <f>--7384.95</f>
        <v>7384.95</v>
      </c>
      <c r="U36" s="2"/>
      <c r="V36" s="19"/>
      <c r="W36" s="2"/>
      <c r="X36" s="2">
        <f t="shared" si="2"/>
        <v>2090.4900000000007</v>
      </c>
      <c r="Y36" s="2"/>
      <c r="Z36" s="19">
        <f t="shared" si="3"/>
        <v>0.28307436069303121</v>
      </c>
    </row>
    <row r="37" spans="1:26" s="24" customFormat="1" hidden="1" outlineLevel="1" x14ac:dyDescent="0.25">
      <c r="A37" s="44"/>
      <c r="B37" s="11" t="str">
        <f>CONCATENATE("          ", "4134", " - ", "NON-TAXABLE SALES-SODA")</f>
        <v xml:space="preserve">          4134 - NON-TAXABLE SALES-SODA</v>
      </c>
      <c r="C37" s="11"/>
      <c r="D37" s="2">
        <f>0</f>
        <v>0</v>
      </c>
      <c r="E37" s="2"/>
      <c r="F37" s="19"/>
      <c r="G37" s="2"/>
      <c r="H37" s="2">
        <f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0</f>
        <v>0</v>
      </c>
      <c r="Q37" s="2"/>
      <c r="R37" s="19"/>
      <c r="S37" s="2"/>
      <c r="T37" s="2">
        <f>--109.47</f>
        <v>109.47</v>
      </c>
      <c r="U37" s="2"/>
      <c r="V37" s="19"/>
      <c r="W37" s="2"/>
      <c r="X37" s="2">
        <f t="shared" si="2"/>
        <v>-109.47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"4135", " - ", "NON-TAXABLE SALES")</f>
        <v xml:space="preserve">          4135 - NON-TAXABLE SALES</v>
      </c>
      <c r="C38" s="11"/>
      <c r="D38" s="2">
        <f>--10.77</f>
        <v>10.77</v>
      </c>
      <c r="E38" s="2"/>
      <c r="F38" s="19"/>
      <c r="G38" s="2"/>
      <c r="H38" s="2">
        <f>--3.59</f>
        <v>3.59</v>
      </c>
      <c r="I38" s="2"/>
      <c r="J38" s="19"/>
      <c r="K38" s="2"/>
      <c r="L38" s="2">
        <f t="shared" si="0"/>
        <v>7.18</v>
      </c>
      <c r="M38" s="2"/>
      <c r="N38" s="19">
        <f t="shared" si="1"/>
        <v>2</v>
      </c>
      <c r="O38" s="11"/>
      <c r="P38" s="2">
        <f>--64.57</f>
        <v>64.569999999999993</v>
      </c>
      <c r="Q38" s="2"/>
      <c r="R38" s="19"/>
      <c r="S38" s="2"/>
      <c r="T38" s="2">
        <f>--40.49</f>
        <v>40.49</v>
      </c>
      <c r="U38" s="2"/>
      <c r="V38" s="19"/>
      <c r="W38" s="2"/>
      <c r="X38" s="2">
        <f t="shared" si="2"/>
        <v>24.079999999999991</v>
      </c>
      <c r="Y38" s="2"/>
      <c r="Z38" s="19">
        <f t="shared" si="3"/>
        <v>0.59471474438132843</v>
      </c>
    </row>
    <row r="39" spans="1:26" s="24" customFormat="1" hidden="1" outlineLevel="1" x14ac:dyDescent="0.25">
      <c r="A39" s="44"/>
      <c r="B39" s="11" t="str">
        <f>CONCATENATE("          ", "4137", " - ", "NON-TAXABLE SALES-WATER")</f>
        <v xml:space="preserve">          4137 - NON-TAXABLE SALES-WATER</v>
      </c>
      <c r="C39" s="11"/>
      <c r="D39" s="2">
        <f>--1022.54</f>
        <v>1022.54</v>
      </c>
      <c r="E39" s="2"/>
      <c r="F39" s="19"/>
      <c r="G39" s="2"/>
      <c r="H39" s="2">
        <f>--952.1</f>
        <v>952.1</v>
      </c>
      <c r="I39" s="2"/>
      <c r="J39" s="19"/>
      <c r="K39" s="2"/>
      <c r="L39" s="2">
        <f t="shared" si="0"/>
        <v>70.439999999999941</v>
      </c>
      <c r="M39" s="2"/>
      <c r="N39" s="19">
        <f t="shared" si="1"/>
        <v>7.3983825228442324E-2</v>
      </c>
      <c r="O39" s="11"/>
      <c r="P39" s="2">
        <f>--5202.34</f>
        <v>5202.34</v>
      </c>
      <c r="Q39" s="2"/>
      <c r="R39" s="19"/>
      <c r="S39" s="2"/>
      <c r="T39" s="2">
        <f>--4724.96</f>
        <v>4724.96</v>
      </c>
      <c r="U39" s="2"/>
      <c r="V39" s="19"/>
      <c r="W39" s="2"/>
      <c r="X39" s="2">
        <f t="shared" si="2"/>
        <v>477.38000000000011</v>
      </c>
      <c r="Y39" s="2"/>
      <c r="Z39" s="19">
        <f t="shared" si="3"/>
        <v>0.1010336595442078</v>
      </c>
    </row>
    <row r="40" spans="1:26" s="24" customFormat="1" hidden="1" outlineLevel="1" x14ac:dyDescent="0.25">
      <c r="A40" s="44"/>
      <c r="B40" s="11" t="str">
        <f>CONCATENATE("          ", "4186", " - ", "NON-TAXABLE SALES-COMPUTER SUP")</f>
        <v xml:space="preserve">          4186 - NON-TAXABLE SALES-COMPUTER SUP</v>
      </c>
      <c r="C40" s="11"/>
      <c r="D40" s="2">
        <f t="shared" ref="D40:D41" si="7">0</f>
        <v>0</v>
      </c>
      <c r="E40" s="2"/>
      <c r="F40" s="19"/>
      <c r="G40" s="2"/>
      <c r="H40" s="2">
        <f>-14.99</f>
        <v>-14.99</v>
      </c>
      <c r="I40" s="2"/>
      <c r="J40" s="19"/>
      <c r="K40" s="2"/>
      <c r="L40" s="2">
        <f t="shared" si="0"/>
        <v>14.99</v>
      </c>
      <c r="M40" s="2"/>
      <c r="N40" s="19">
        <f t="shared" si="1"/>
        <v>-1</v>
      </c>
      <c r="O40" s="11"/>
      <c r="P40" s="2">
        <f>-30.97</f>
        <v>-30.97</v>
      </c>
      <c r="Q40" s="2"/>
      <c r="R40" s="19"/>
      <c r="S40" s="2"/>
      <c r="T40" s="2">
        <f>-82.97</f>
        <v>-82.97</v>
      </c>
      <c r="U40" s="2"/>
      <c r="V40" s="19"/>
      <c r="W40" s="2"/>
      <c r="X40" s="2">
        <f t="shared" si="2"/>
        <v>52</v>
      </c>
      <c r="Y40" s="2"/>
      <c r="Z40" s="19">
        <f t="shared" si="3"/>
        <v>-0.62673255393515725</v>
      </c>
    </row>
    <row r="41" spans="1:26" s="24" customFormat="1" hidden="1" outlineLevel="1" x14ac:dyDescent="0.25">
      <c r="A41" s="44"/>
      <c r="B41" s="11" t="str">
        <f>CONCATENATE("          ", "4225", " - ", "SALES RETURN TAXABLE-TEST FORM")</f>
        <v xml:space="preserve">          4225 - SALES RETURN TAXABLE-TEST FORM</v>
      </c>
      <c r="C41" s="11"/>
      <c r="D41" s="2">
        <f t="shared" si="7"/>
        <v>0</v>
      </c>
      <c r="E41" s="2"/>
      <c r="F41" s="19"/>
      <c r="G41" s="2"/>
      <c r="H41" s="2">
        <f t="shared" ref="H41:H43" si="8"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-0.49</f>
        <v>-0.49</v>
      </c>
      <c r="Q41" s="2"/>
      <c r="R41" s="19"/>
      <c r="S41" s="2"/>
      <c r="T41" s="2">
        <f>0</f>
        <v>0</v>
      </c>
      <c r="U41" s="2"/>
      <c r="V41" s="19"/>
      <c r="W41" s="2"/>
      <c r="X41" s="2">
        <f t="shared" si="2"/>
        <v>-0.49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"4226", " - ", "SALES RETURN TAXABLE-WRITING I")</f>
        <v xml:space="preserve">          4226 - SALES RETURN TAXABLE-WRITING I</v>
      </c>
      <c r="C42" s="11"/>
      <c r="D42" s="2">
        <f>-2.99</f>
        <v>-2.99</v>
      </c>
      <c r="E42" s="2"/>
      <c r="F42" s="19"/>
      <c r="G42" s="2"/>
      <c r="H42" s="2">
        <f t="shared" si="8"/>
        <v>0</v>
      </c>
      <c r="I42" s="2"/>
      <c r="J42" s="19"/>
      <c r="K42" s="2"/>
      <c r="L42" s="2">
        <f t="shared" si="0"/>
        <v>-2.99</v>
      </c>
      <c r="M42" s="2"/>
      <c r="N42" s="19">
        <f t="shared" si="1"/>
        <v>0</v>
      </c>
      <c r="O42" s="11"/>
      <c r="P42" s="2">
        <f>-5.98</f>
        <v>-5.98</v>
      </c>
      <c r="Q42" s="2"/>
      <c r="R42" s="19"/>
      <c r="S42" s="2"/>
      <c r="T42" s="2">
        <f>-59.99</f>
        <v>-59.99</v>
      </c>
      <c r="U42" s="2"/>
      <c r="V42" s="19"/>
      <c r="W42" s="2"/>
      <c r="X42" s="2">
        <f t="shared" si="2"/>
        <v>54.010000000000005</v>
      </c>
      <c r="Y42" s="2"/>
      <c r="Z42" s="19">
        <f t="shared" si="3"/>
        <v>-0.90031671945324221</v>
      </c>
    </row>
    <row r="43" spans="1:26" s="24" customFormat="1" hidden="1" outlineLevel="1" x14ac:dyDescent="0.25">
      <c r="A43" s="44"/>
      <c r="B43" s="11" t="str">
        <f>CONCATENATE("          ", "4227", " - ", "SALES RETURN TAXABLE-SCHOOL SU")</f>
        <v xml:space="preserve">          4227 - SALES RETURN TAXABLE-SCHOOL SU</v>
      </c>
      <c r="C43" s="11"/>
      <c r="D43" s="2">
        <f>-3.27</f>
        <v>-3.27</v>
      </c>
      <c r="E43" s="2"/>
      <c r="F43" s="19"/>
      <c r="G43" s="2"/>
      <c r="H43" s="2">
        <f t="shared" si="8"/>
        <v>0</v>
      </c>
      <c r="I43" s="2"/>
      <c r="J43" s="19"/>
      <c r="K43" s="2"/>
      <c r="L43" s="2">
        <f t="shared" si="0"/>
        <v>-3.27</v>
      </c>
      <c r="M43" s="2"/>
      <c r="N43" s="19">
        <f t="shared" si="1"/>
        <v>0</v>
      </c>
      <c r="O43" s="11"/>
      <c r="P43" s="2">
        <f>-25.49</f>
        <v>-25.49</v>
      </c>
      <c r="Q43" s="2"/>
      <c r="R43" s="19"/>
      <c r="S43" s="2"/>
      <c r="T43" s="2">
        <f>-40</f>
        <v>-40</v>
      </c>
      <c r="U43" s="2"/>
      <c r="V43" s="19"/>
      <c r="W43" s="2"/>
      <c r="X43" s="2">
        <f t="shared" si="2"/>
        <v>14.510000000000002</v>
      </c>
      <c r="Y43" s="2"/>
      <c r="Z43" s="19">
        <f t="shared" si="3"/>
        <v>-0.36275000000000002</v>
      </c>
    </row>
    <row r="44" spans="1:26" s="24" customFormat="1" hidden="1" outlineLevel="1" x14ac:dyDescent="0.25">
      <c r="A44" s="44"/>
      <c r="B44" s="11" t="str">
        <f>CONCATENATE("          ", "4228", " - ", "SALES RETURN TAXABLE-ART/TECH")</f>
        <v xml:space="preserve">          4228 - SALES RETURN TAXABLE-ART/TECH</v>
      </c>
      <c r="C44" s="11"/>
      <c r="D44" s="2">
        <f>-430.25</f>
        <v>-430.25</v>
      </c>
      <c r="E44" s="2"/>
      <c r="F44" s="19"/>
      <c r="G44" s="2"/>
      <c r="H44" s="2">
        <f>-345.16</f>
        <v>-345.16</v>
      </c>
      <c r="I44" s="2"/>
      <c r="J44" s="19"/>
      <c r="K44" s="2"/>
      <c r="L44" s="2">
        <f t="shared" si="0"/>
        <v>-85.089999999999975</v>
      </c>
      <c r="M44" s="2"/>
      <c r="N44" s="19">
        <f t="shared" si="1"/>
        <v>0.24652335148916435</v>
      </c>
      <c r="O44" s="11"/>
      <c r="P44" s="2">
        <f>-2633.54</f>
        <v>-2633.54</v>
      </c>
      <c r="Q44" s="2"/>
      <c r="R44" s="19"/>
      <c r="S44" s="2"/>
      <c r="T44" s="2">
        <f>-4116.19</f>
        <v>-4116.1899999999996</v>
      </c>
      <c r="U44" s="2"/>
      <c r="V44" s="19"/>
      <c r="W44" s="2"/>
      <c r="X44" s="2">
        <f t="shared" si="2"/>
        <v>1482.6499999999996</v>
      </c>
      <c r="Y44" s="2"/>
      <c r="Z44" s="19">
        <f t="shared" si="3"/>
        <v>-0.36019960205918572</v>
      </c>
    </row>
    <row r="45" spans="1:26" s="24" customFormat="1" hidden="1" outlineLevel="1" x14ac:dyDescent="0.25">
      <c r="A45" s="44"/>
      <c r="B45" s="11" t="str">
        <f>CONCATENATE("          ", "4233", " - ", "SALES RETURN TAXABLE-CANDY")</f>
        <v xml:space="preserve">          4233 - SALES RETURN TAXABLE-CANDY</v>
      </c>
      <c r="C45" s="11"/>
      <c r="D45" s="2">
        <f>-1.29</f>
        <v>-1.29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-1.29</v>
      </c>
      <c r="M45" s="2"/>
      <c r="N45" s="19">
        <f t="shared" si="1"/>
        <v>0</v>
      </c>
      <c r="O45" s="11"/>
      <c r="P45" s="2">
        <f>-1.29</f>
        <v>-1.29</v>
      </c>
      <c r="Q45" s="2"/>
      <c r="R45" s="19"/>
      <c r="S45" s="2"/>
      <c r="T45" s="2">
        <f>-1.89</f>
        <v>-1.89</v>
      </c>
      <c r="U45" s="2"/>
      <c r="V45" s="19"/>
      <c r="W45" s="2"/>
      <c r="X45" s="2">
        <f t="shared" si="2"/>
        <v>0.59999999999999987</v>
      </c>
      <c r="Y45" s="2"/>
      <c r="Z45" s="19">
        <f t="shared" si="3"/>
        <v>-0.31746031746031739</v>
      </c>
    </row>
    <row r="46" spans="1:26" s="24" customFormat="1" hidden="1" outlineLevel="1" x14ac:dyDescent="0.25">
      <c r="A46" s="44"/>
      <c r="B46" s="11" t="str">
        <f>CONCATENATE("          ", "4281", " - ", "SALES RETURN TAXABLE-ELECTRONI")</f>
        <v xml:space="preserve">          4281 - SALES RETURN TAXABLE-ELECTRONI</v>
      </c>
      <c r="C46" s="11"/>
      <c r="D46" s="2">
        <f>0</f>
        <v>0</v>
      </c>
      <c r="E46" s="2"/>
      <c r="F46" s="19"/>
      <c r="G46" s="2"/>
      <c r="H46" s="2">
        <f>-24.99</f>
        <v>-24.99</v>
      </c>
      <c r="I46" s="2"/>
      <c r="J46" s="19"/>
      <c r="K46" s="2"/>
      <c r="L46" s="2">
        <f t="shared" si="0"/>
        <v>24.99</v>
      </c>
      <c r="M46" s="2"/>
      <c r="N46" s="19">
        <f t="shared" si="1"/>
        <v>-1</v>
      </c>
      <c r="O46" s="11"/>
      <c r="P46" s="2">
        <f>-44.98</f>
        <v>-44.98</v>
      </c>
      <c r="Q46" s="2"/>
      <c r="R46" s="19"/>
      <c r="S46" s="2"/>
      <c r="T46" s="2">
        <f>-24.99</f>
        <v>-24.99</v>
      </c>
      <c r="U46" s="2"/>
      <c r="V46" s="19"/>
      <c r="W46" s="2"/>
      <c r="X46" s="2">
        <f t="shared" si="2"/>
        <v>-19.989999999999998</v>
      </c>
      <c r="Y46" s="2"/>
      <c r="Z46" s="19">
        <f t="shared" si="3"/>
        <v>0.79991996798719489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collapsed="1" x14ac:dyDescent="0.25">
      <c r="A48" s="10"/>
      <c r="B48" s="28" t="s">
        <v>8</v>
      </c>
      <c r="C48" s="10"/>
      <c r="D48" s="4">
        <f>SUM(OSRRefD16x_0)</f>
        <v>24588.93</v>
      </c>
      <c r="E48" s="4"/>
      <c r="F48" s="12">
        <f t="shared" ref="F48:F67" si="9">IF(D$12=0,0,D48/D$12)</f>
        <v>0.53445028667908923</v>
      </c>
      <c r="G48" s="4"/>
      <c r="H48" s="4">
        <f>SUM(OSRRefH16x_0)</f>
        <v>19239.12</v>
      </c>
      <c r="I48" s="4"/>
      <c r="J48" s="12">
        <f t="shared" ref="J48:J67" si="10">IF(H$12=0,0,H48/H$12)</f>
        <v>0.53874266160568907</v>
      </c>
      <c r="K48" s="4"/>
      <c r="L48" s="4">
        <f t="shared" ref="L48:L67" si="11">+D48-H48</f>
        <v>5349.8100000000013</v>
      </c>
      <c r="M48" s="4"/>
      <c r="N48" s="12">
        <f t="shared" ref="N48:N67" si="12">IF(H48=0,0,L48/H48)</f>
        <v>0.27806937115626917</v>
      </c>
      <c r="O48" s="10"/>
      <c r="P48" s="4">
        <f>SUM(OSRRefP16x_0)</f>
        <v>129763.64000000003</v>
      </c>
      <c r="Q48" s="4"/>
      <c r="R48" s="12">
        <f t="shared" ref="R48:R67" si="13">IF(P$12=0,0,P48/P$12)</f>
        <v>0.52510269281585309</v>
      </c>
      <c r="S48" s="4"/>
      <c r="T48" s="4">
        <f>SUM(OSRRefT16x_0)</f>
        <v>128126.15</v>
      </c>
      <c r="U48" s="4"/>
      <c r="V48" s="12">
        <f t="shared" ref="V48:V67" si="14">IF(T$12=0,0,T48/T$12)</f>
        <v>0.53867260405726447</v>
      </c>
      <c r="W48" s="4"/>
      <c r="X48" s="4">
        <f t="shared" ref="X48:X67" si="15">+P48-T48</f>
        <v>1637.4900000000343</v>
      </c>
      <c r="Y48" s="4"/>
      <c r="Z48" s="12">
        <f t="shared" ref="Z48:Z67" si="16">IF(T48=0,0,X48/T48)</f>
        <v>1.2780295045156936E-2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/>
      <c r="E49" s="2"/>
      <c r="F49" s="19">
        <f t="shared" si="9"/>
        <v>0</v>
      </c>
      <c r="G49" s="2"/>
      <c r="H49" s="2"/>
      <c r="I49" s="2"/>
      <c r="J49" s="19">
        <f t="shared" si="10"/>
        <v>0</v>
      </c>
      <c r="K49" s="2"/>
      <c r="L49" s="2">
        <f t="shared" si="11"/>
        <v>0</v>
      </c>
      <c r="M49" s="2"/>
      <c r="N49" s="19">
        <f t="shared" si="12"/>
        <v>0</v>
      </c>
      <c r="O49" s="11"/>
      <c r="P49" s="2">
        <v>14.46</v>
      </c>
      <c r="Q49" s="2"/>
      <c r="R49" s="19">
        <f t="shared" si="13"/>
        <v>5.8513963835456793E-5</v>
      </c>
      <c r="S49" s="2"/>
      <c r="T49" s="2"/>
      <c r="U49" s="2"/>
      <c r="V49" s="19">
        <f t="shared" si="14"/>
        <v>0</v>
      </c>
      <c r="W49" s="2"/>
      <c r="X49" s="2">
        <f t="shared" si="15"/>
        <v>14.46</v>
      </c>
      <c r="Y49" s="2"/>
      <c r="Z49" s="19">
        <f t="shared" si="16"/>
        <v>0</v>
      </c>
    </row>
    <row r="50" spans="1:26" s="24" customFormat="1" hidden="1" outlineLevel="1" x14ac:dyDescent="0.25">
      <c r="A50" s="44"/>
      <c r="B50" s="11" t="str">
        <f>CONCATENATE("          ", "5025", " - ", "PURCHASES @ COST-TEST FORMS")</f>
        <v xml:space="preserve">          5025 - PURCHASES @ COST-TEST FORMS</v>
      </c>
      <c r="C50" s="11"/>
      <c r="D50" s="2">
        <v>-34.1</v>
      </c>
      <c r="E50" s="2"/>
      <c r="F50" s="19">
        <f t="shared" si="9"/>
        <v>-7.4117721982033954E-4</v>
      </c>
      <c r="G50" s="2"/>
      <c r="H50" s="2">
        <v>145.18</v>
      </c>
      <c r="I50" s="2"/>
      <c r="J50" s="19">
        <f t="shared" si="10"/>
        <v>4.065396941851495E-3</v>
      </c>
      <c r="K50" s="2"/>
      <c r="L50" s="2">
        <f t="shared" si="11"/>
        <v>-179.28</v>
      </c>
      <c r="M50" s="2"/>
      <c r="N50" s="19">
        <f t="shared" si="12"/>
        <v>-1.2348808375809339</v>
      </c>
      <c r="O50" s="11"/>
      <c r="P50" s="2">
        <v>404.28</v>
      </c>
      <c r="Q50" s="2"/>
      <c r="R50" s="19">
        <f t="shared" si="13"/>
        <v>1.6359630220884143E-3</v>
      </c>
      <c r="S50" s="2"/>
      <c r="T50" s="2">
        <v>265.18</v>
      </c>
      <c r="U50" s="2"/>
      <c r="V50" s="19">
        <f t="shared" si="14"/>
        <v>1.1148793680595679E-3</v>
      </c>
      <c r="W50" s="2"/>
      <c r="X50" s="2">
        <f t="shared" si="15"/>
        <v>139.09999999999997</v>
      </c>
      <c r="Y50" s="2"/>
      <c r="Z50" s="19">
        <f t="shared" si="16"/>
        <v>0.52454936269703578</v>
      </c>
    </row>
    <row r="51" spans="1:26" s="24" customFormat="1" hidden="1" outlineLevel="1" x14ac:dyDescent="0.25">
      <c r="A51" s="44"/>
      <c r="B51" s="11" t="str">
        <f>CONCATENATE("          ", "5026", " - ", "PURCHASES @ COST-WRITING INSTR")</f>
        <v xml:space="preserve">          5026 - PURCHASES @ COST-WRITING INSTR</v>
      </c>
      <c r="C51" s="11"/>
      <c r="D51" s="2">
        <v>723.67</v>
      </c>
      <c r="E51" s="2"/>
      <c r="F51" s="19">
        <f t="shared" si="9"/>
        <v>1.5729258611946777E-2</v>
      </c>
      <c r="G51" s="2"/>
      <c r="H51" s="2">
        <v>-16.28</v>
      </c>
      <c r="I51" s="2"/>
      <c r="J51" s="19">
        <f t="shared" si="10"/>
        <v>-4.5588002626630627E-4</v>
      </c>
      <c r="K51" s="2"/>
      <c r="L51" s="2">
        <f t="shared" si="11"/>
        <v>739.94999999999993</v>
      </c>
      <c r="M51" s="2"/>
      <c r="N51" s="19">
        <f t="shared" si="12"/>
        <v>-45.451474201474191</v>
      </c>
      <c r="O51" s="11"/>
      <c r="P51" s="2">
        <v>2577.5100000000002</v>
      </c>
      <c r="Q51" s="2"/>
      <c r="R51" s="19">
        <f t="shared" si="13"/>
        <v>1.0430174752802784E-2</v>
      </c>
      <c r="S51" s="2"/>
      <c r="T51" s="2">
        <v>1430.12</v>
      </c>
      <c r="U51" s="2"/>
      <c r="V51" s="19">
        <f t="shared" si="14"/>
        <v>6.0125623419916624E-3</v>
      </c>
      <c r="W51" s="2"/>
      <c r="X51" s="2">
        <f t="shared" si="15"/>
        <v>1147.3900000000003</v>
      </c>
      <c r="Y51" s="2"/>
      <c r="Z51" s="19">
        <f t="shared" si="16"/>
        <v>0.80230330321931054</v>
      </c>
    </row>
    <row r="52" spans="1:26" s="24" customFormat="1" hidden="1" outlineLevel="1" x14ac:dyDescent="0.25">
      <c r="A52" s="44"/>
      <c r="B52" s="11" t="str">
        <f>CONCATENATE("          ", "5027", " - ", "PURCHASES @ COST-SCHOOL SUPPLI")</f>
        <v xml:space="preserve">          5027 - PURCHASES @ COST-SCHOOL SUPPLI</v>
      </c>
      <c r="C52" s="11"/>
      <c r="D52" s="2">
        <v>92.71</v>
      </c>
      <c r="E52" s="2"/>
      <c r="F52" s="19">
        <f t="shared" si="9"/>
        <v>2.015089151013011E-3</v>
      </c>
      <c r="G52" s="2"/>
      <c r="H52" s="2">
        <v>188.5</v>
      </c>
      <c r="I52" s="2"/>
      <c r="J52" s="19">
        <f t="shared" si="10"/>
        <v>5.2784634490908311E-3</v>
      </c>
      <c r="K52" s="2"/>
      <c r="L52" s="2">
        <f t="shared" si="11"/>
        <v>-95.79</v>
      </c>
      <c r="M52" s="2"/>
      <c r="N52" s="19">
        <f t="shared" si="12"/>
        <v>-0.50816976127320956</v>
      </c>
      <c r="O52" s="11"/>
      <c r="P52" s="2">
        <v>1855.07</v>
      </c>
      <c r="Q52" s="2"/>
      <c r="R52" s="19">
        <f t="shared" si="13"/>
        <v>7.5067426619806936E-3</v>
      </c>
      <c r="S52" s="2"/>
      <c r="T52" s="2">
        <v>1755.62</v>
      </c>
      <c r="U52" s="2"/>
      <c r="V52" s="19">
        <f t="shared" si="14"/>
        <v>7.3810412404884925E-3</v>
      </c>
      <c r="W52" s="2"/>
      <c r="X52" s="2">
        <f t="shared" si="15"/>
        <v>99.450000000000045</v>
      </c>
      <c r="Y52" s="2"/>
      <c r="Z52" s="19">
        <f t="shared" si="16"/>
        <v>5.6646654743053762E-2</v>
      </c>
    </row>
    <row r="53" spans="1:26" s="24" customFormat="1" hidden="1" outlineLevel="1" x14ac:dyDescent="0.25">
      <c r="A53" s="44"/>
      <c r="B53" s="11" t="str">
        <f>CONCATENATE("          ", "5028", " - ", "PURCHASES @ COST-ART/TECH")</f>
        <v xml:space="preserve">          5028 - PURCHASES @ COST-ART/TECH</v>
      </c>
      <c r="C53" s="11"/>
      <c r="D53" s="2">
        <v>4926.5200000000004</v>
      </c>
      <c r="E53" s="2"/>
      <c r="F53" s="19">
        <f t="shared" si="9"/>
        <v>0.10707989433986215</v>
      </c>
      <c r="G53" s="2"/>
      <c r="H53" s="2">
        <v>2995.39</v>
      </c>
      <c r="I53" s="2"/>
      <c r="J53" s="19">
        <f t="shared" si="10"/>
        <v>8.387828451338028E-2</v>
      </c>
      <c r="K53" s="2"/>
      <c r="L53" s="2">
        <f t="shared" si="11"/>
        <v>1931.1300000000006</v>
      </c>
      <c r="M53" s="2"/>
      <c r="N53" s="19">
        <f t="shared" si="12"/>
        <v>0.64470069006039299</v>
      </c>
      <c r="O53" s="11"/>
      <c r="P53" s="2">
        <v>91992.25</v>
      </c>
      <c r="Q53" s="2"/>
      <c r="R53" s="19">
        <f t="shared" si="13"/>
        <v>0.37225665211910791</v>
      </c>
      <c r="S53" s="2"/>
      <c r="T53" s="2">
        <v>82812.36</v>
      </c>
      <c r="U53" s="2"/>
      <c r="V53" s="19">
        <f t="shared" si="14"/>
        <v>0.34816272563662959</v>
      </c>
      <c r="W53" s="2"/>
      <c r="X53" s="2">
        <f t="shared" si="15"/>
        <v>9179.89</v>
      </c>
      <c r="Y53" s="2"/>
      <c r="Z53" s="19">
        <f t="shared" si="16"/>
        <v>0.11085168928889358</v>
      </c>
    </row>
    <row r="54" spans="1:26" s="24" customFormat="1" hidden="1" outlineLevel="1" x14ac:dyDescent="0.25">
      <c r="A54" s="44"/>
      <c r="B54" s="11" t="str">
        <f>CONCATENATE("          ", "5031", " - ", "PURCHASES @ COST-FOOD")</f>
        <v xml:space="preserve">          5031 - PURCHASES @ COST-FOOD</v>
      </c>
      <c r="C54" s="11"/>
      <c r="D54" s="2">
        <v>4726.8599999999997</v>
      </c>
      <c r="E54" s="2"/>
      <c r="F54" s="19">
        <f t="shared" si="9"/>
        <v>0.10274020390850351</v>
      </c>
      <c r="G54" s="2"/>
      <c r="H54" s="2">
        <v>3669.2</v>
      </c>
      <c r="I54" s="2"/>
      <c r="J54" s="19">
        <f t="shared" si="10"/>
        <v>0.10274662115333727</v>
      </c>
      <c r="K54" s="2"/>
      <c r="L54" s="2">
        <f t="shared" si="11"/>
        <v>1057.6599999999999</v>
      </c>
      <c r="M54" s="2"/>
      <c r="N54" s="19">
        <f t="shared" si="12"/>
        <v>0.28825357026054721</v>
      </c>
      <c r="O54" s="11"/>
      <c r="P54" s="2">
        <v>20548.649999999998</v>
      </c>
      <c r="Q54" s="2"/>
      <c r="R54" s="19">
        <f t="shared" si="13"/>
        <v>8.3152348752936311E-2</v>
      </c>
      <c r="S54" s="2"/>
      <c r="T54" s="2">
        <v>16693.289999999997</v>
      </c>
      <c r="U54" s="2"/>
      <c r="V54" s="19">
        <f t="shared" si="14"/>
        <v>7.018253490472548E-2</v>
      </c>
      <c r="W54" s="2"/>
      <c r="X54" s="2">
        <f t="shared" si="15"/>
        <v>3855.3600000000006</v>
      </c>
      <c r="Y54" s="2"/>
      <c r="Z54" s="19">
        <f t="shared" si="16"/>
        <v>0.23095267619504611</v>
      </c>
    </row>
    <row r="55" spans="1:26" s="24" customFormat="1" hidden="1" outlineLevel="1" x14ac:dyDescent="0.25">
      <c r="A55" s="44"/>
      <c r="B55" s="11" t="str">
        <f>CONCATENATE("          ", "5032", " - ", "PURCHASES @ COST-JUICE")</f>
        <v xml:space="preserve">          5032 - PURCHASES @ COST-JUICE</v>
      </c>
      <c r="C55" s="11"/>
      <c r="D55" s="2">
        <v>1278.21</v>
      </c>
      <c r="E55" s="2"/>
      <c r="F55" s="19">
        <f t="shared" si="9"/>
        <v>2.7782408625998716E-2</v>
      </c>
      <c r="G55" s="2"/>
      <c r="H55" s="2">
        <v>842.58</v>
      </c>
      <c r="I55" s="2"/>
      <c r="J55" s="19">
        <f t="shared" si="10"/>
        <v>2.3594311580556779E-2</v>
      </c>
      <c r="K55" s="2"/>
      <c r="L55" s="2">
        <f t="shared" si="11"/>
        <v>435.63</v>
      </c>
      <c r="M55" s="2"/>
      <c r="N55" s="19">
        <f t="shared" si="12"/>
        <v>0.51701915545111443</v>
      </c>
      <c r="O55" s="11"/>
      <c r="P55" s="2">
        <v>4662.49</v>
      </c>
      <c r="Q55" s="2"/>
      <c r="R55" s="19">
        <f t="shared" si="13"/>
        <v>1.8867273253331877E-2</v>
      </c>
      <c r="S55" s="2"/>
      <c r="T55" s="2">
        <v>4678.3500000000004</v>
      </c>
      <c r="U55" s="2"/>
      <c r="V55" s="19">
        <f t="shared" si="14"/>
        <v>1.9668888647565729E-2</v>
      </c>
      <c r="W55" s="2"/>
      <c r="X55" s="2">
        <f t="shared" si="15"/>
        <v>-15.860000000000582</v>
      </c>
      <c r="Y55" s="2"/>
      <c r="Z55" s="19">
        <f t="shared" si="16"/>
        <v>-3.3900841108511722E-3</v>
      </c>
    </row>
    <row r="56" spans="1:26" s="24" customFormat="1" hidden="1" outlineLevel="1" x14ac:dyDescent="0.25">
      <c r="A56" s="44"/>
      <c r="B56" s="11" t="str">
        <f>CONCATENATE("          ", "5033", " - ", "PURCHASES @ COST-CANDY")</f>
        <v xml:space="preserve">          5033 - PURCHASES @ COST-CANDY</v>
      </c>
      <c r="C56" s="11"/>
      <c r="D56" s="2">
        <v>1347.65</v>
      </c>
      <c r="E56" s="2"/>
      <c r="F56" s="19">
        <f t="shared" si="9"/>
        <v>2.9291714964541953E-2</v>
      </c>
      <c r="G56" s="2"/>
      <c r="H56" s="2">
        <v>859.22</v>
      </c>
      <c r="I56" s="2"/>
      <c r="J56" s="19">
        <f t="shared" si="10"/>
        <v>2.4060272491924797E-2</v>
      </c>
      <c r="K56" s="2"/>
      <c r="L56" s="2">
        <f t="shared" si="11"/>
        <v>488.43000000000006</v>
      </c>
      <c r="M56" s="2"/>
      <c r="N56" s="19">
        <f t="shared" si="12"/>
        <v>0.56845743814157035</v>
      </c>
      <c r="O56" s="11"/>
      <c r="P56" s="2">
        <v>5648.86</v>
      </c>
      <c r="Q56" s="2"/>
      <c r="R56" s="19">
        <f t="shared" si="13"/>
        <v>2.2858726815460473E-2</v>
      </c>
      <c r="S56" s="2"/>
      <c r="T56" s="2">
        <v>3826.17</v>
      </c>
      <c r="U56" s="2"/>
      <c r="V56" s="19">
        <f t="shared" si="14"/>
        <v>1.6086122602339832E-2</v>
      </c>
      <c r="W56" s="2"/>
      <c r="X56" s="2">
        <f t="shared" si="15"/>
        <v>1822.6899999999996</v>
      </c>
      <c r="Y56" s="2"/>
      <c r="Z56" s="19">
        <f t="shared" si="16"/>
        <v>0.4763745468706303</v>
      </c>
    </row>
    <row r="57" spans="1:26" s="24" customFormat="1" hidden="1" outlineLevel="1" x14ac:dyDescent="0.25">
      <c r="A57" s="44"/>
      <c r="B57" s="11" t="str">
        <f>CONCATENATE("          ", "5034", " - ", "PURCHASES @ COST-SODA")</f>
        <v xml:space="preserve">          5034 - PURCHASES @ COST-SODA</v>
      </c>
      <c r="C57" s="11"/>
      <c r="D57" s="2">
        <v>587.38</v>
      </c>
      <c r="E57" s="2"/>
      <c r="F57" s="19">
        <f t="shared" si="9"/>
        <v>1.2766940626922903E-2</v>
      </c>
      <c r="G57" s="2"/>
      <c r="H57" s="2">
        <v>417.49</v>
      </c>
      <c r="I57" s="2"/>
      <c r="J57" s="19">
        <f t="shared" si="10"/>
        <v>1.1690746447538095E-2</v>
      </c>
      <c r="K57" s="2"/>
      <c r="L57" s="2">
        <f t="shared" si="11"/>
        <v>169.89</v>
      </c>
      <c r="M57" s="2"/>
      <c r="N57" s="19">
        <f t="shared" si="12"/>
        <v>0.40693190256054035</v>
      </c>
      <c r="O57" s="11"/>
      <c r="P57" s="2">
        <v>2081.92</v>
      </c>
      <c r="Q57" s="2"/>
      <c r="R57" s="19">
        <f t="shared" si="13"/>
        <v>8.424715877476778E-3</v>
      </c>
      <c r="S57" s="2"/>
      <c r="T57" s="2">
        <v>1669.6</v>
      </c>
      <c r="U57" s="2"/>
      <c r="V57" s="19">
        <f t="shared" si="14"/>
        <v>7.0193928384955674E-3</v>
      </c>
      <c r="W57" s="2"/>
      <c r="X57" s="2">
        <f t="shared" si="15"/>
        <v>412.32000000000016</v>
      </c>
      <c r="Y57" s="2"/>
      <c r="Z57" s="19">
        <f t="shared" si="16"/>
        <v>0.24695735505510313</v>
      </c>
    </row>
    <row r="58" spans="1:26" s="24" customFormat="1" hidden="1" outlineLevel="1" x14ac:dyDescent="0.25">
      <c r="A58" s="44"/>
      <c r="B58" s="11" t="str">
        <f>CONCATENATE("          ", "5035", " - ", "PURCHASES @ COST-HEALTH &amp; BEAU")</f>
        <v xml:space="preserve">          5035 - PURCHASES @ COST-HEALTH &amp; BEAU</v>
      </c>
      <c r="C58" s="11"/>
      <c r="D58" s="2">
        <v>222.52</v>
      </c>
      <c r="E58" s="2"/>
      <c r="F58" s="19">
        <f t="shared" si="9"/>
        <v>4.8365617288686795E-3</v>
      </c>
      <c r="G58" s="2"/>
      <c r="H58" s="2">
        <v>88.54</v>
      </c>
      <c r="I58" s="2"/>
      <c r="J58" s="19">
        <f t="shared" si="10"/>
        <v>2.4793376858488181E-3</v>
      </c>
      <c r="K58" s="2"/>
      <c r="L58" s="2">
        <f t="shared" si="11"/>
        <v>133.98000000000002</v>
      </c>
      <c r="M58" s="2"/>
      <c r="N58" s="19">
        <f t="shared" si="12"/>
        <v>1.5132143663880733</v>
      </c>
      <c r="O58" s="11"/>
      <c r="P58" s="2">
        <v>766.72</v>
      </c>
      <c r="Q58" s="2"/>
      <c r="R58" s="19">
        <f t="shared" si="13"/>
        <v>3.102615930285023E-3</v>
      </c>
      <c r="S58" s="2"/>
      <c r="T58" s="2">
        <v>479.69</v>
      </c>
      <c r="U58" s="2"/>
      <c r="V58" s="19">
        <f t="shared" si="14"/>
        <v>2.016730085468339E-3</v>
      </c>
      <c r="W58" s="2"/>
      <c r="X58" s="2">
        <f t="shared" si="15"/>
        <v>287.03000000000003</v>
      </c>
      <c r="Y58" s="2"/>
      <c r="Z58" s="19">
        <f t="shared" si="16"/>
        <v>0.59836561112385089</v>
      </c>
    </row>
    <row r="59" spans="1:26" s="24" customFormat="1" hidden="1" outlineLevel="1" x14ac:dyDescent="0.25">
      <c r="A59" s="44"/>
      <c r="B59" s="11" t="str">
        <f>CONCATENATE("          ", "5037", " - ", "PURCHASES @ COST-WATER")</f>
        <v xml:space="preserve">          5037 - PURCHASES @ COST-WATER</v>
      </c>
      <c r="C59" s="11"/>
      <c r="D59" s="2">
        <v>667.52</v>
      </c>
      <c r="E59" s="2"/>
      <c r="F59" s="19">
        <f t="shared" si="9"/>
        <v>1.4508815770512405E-2</v>
      </c>
      <c r="G59" s="2"/>
      <c r="H59" s="2">
        <v>805.53</v>
      </c>
      <c r="I59" s="2"/>
      <c r="J59" s="19">
        <f t="shared" si="10"/>
        <v>2.2556820488838922E-2</v>
      </c>
      <c r="K59" s="2"/>
      <c r="L59" s="2">
        <f t="shared" si="11"/>
        <v>-138.01</v>
      </c>
      <c r="M59" s="2"/>
      <c r="N59" s="19">
        <f t="shared" si="12"/>
        <v>-0.17132819385994313</v>
      </c>
      <c r="O59" s="11"/>
      <c r="P59" s="2">
        <v>3493.61</v>
      </c>
      <c r="Q59" s="2"/>
      <c r="R59" s="19">
        <f t="shared" si="13"/>
        <v>1.4137273111700568E-2</v>
      </c>
      <c r="S59" s="2"/>
      <c r="T59" s="2">
        <v>3454.97</v>
      </c>
      <c r="U59" s="2"/>
      <c r="V59" s="19">
        <f t="shared" si="14"/>
        <v>1.4525510107341297E-2</v>
      </c>
      <c r="W59" s="2"/>
      <c r="X59" s="2">
        <f t="shared" si="15"/>
        <v>38.640000000000327</v>
      </c>
      <c r="Y59" s="2"/>
      <c r="Z59" s="19">
        <f t="shared" si="16"/>
        <v>1.1183888716834105E-2</v>
      </c>
    </row>
    <row r="60" spans="1:26" s="24" customFormat="1" hidden="1" outlineLevel="1" x14ac:dyDescent="0.25">
      <c r="A60" s="44"/>
      <c r="B60" s="11" t="str">
        <f>CONCATENATE("          ", "5081", " - ", "PURCHASES @ COST-ELECTRONICS")</f>
        <v xml:space="preserve">          5081 - PURCHASES @ COST-ELECTRONICS</v>
      </c>
      <c r="C60" s="11"/>
      <c r="D60" s="2">
        <v>281.74</v>
      </c>
      <c r="E60" s="2"/>
      <c r="F60" s="19">
        <f t="shared" si="9"/>
        <v>6.1237322554892216E-3</v>
      </c>
      <c r="G60" s="2"/>
      <c r="H60" s="2">
        <v>315.07</v>
      </c>
      <c r="I60" s="2"/>
      <c r="J60" s="19">
        <f t="shared" si="10"/>
        <v>8.8227346361010508E-3</v>
      </c>
      <c r="K60" s="2"/>
      <c r="L60" s="2">
        <f t="shared" si="11"/>
        <v>-33.329999999999984</v>
      </c>
      <c r="M60" s="2"/>
      <c r="N60" s="19">
        <f t="shared" si="12"/>
        <v>-0.10578601580601131</v>
      </c>
      <c r="O60" s="11"/>
      <c r="P60" s="2">
        <v>1244.81</v>
      </c>
      <c r="Q60" s="2"/>
      <c r="R60" s="19">
        <f t="shared" si="13"/>
        <v>5.0372591509000664E-3</v>
      </c>
      <c r="S60" s="2"/>
      <c r="T60" s="2">
        <v>1844.8</v>
      </c>
      <c r="U60" s="2"/>
      <c r="V60" s="19">
        <f t="shared" si="14"/>
        <v>7.7559750290228935E-3</v>
      </c>
      <c r="W60" s="2"/>
      <c r="X60" s="2">
        <f t="shared" si="15"/>
        <v>-599.99</v>
      </c>
      <c r="Y60" s="2"/>
      <c r="Z60" s="19">
        <f t="shared" si="16"/>
        <v>-0.32523308759757158</v>
      </c>
    </row>
    <row r="61" spans="1:26" s="24" customFormat="1" hidden="1" outlineLevel="1" x14ac:dyDescent="0.25">
      <c r="A61" s="44"/>
      <c r="B61" s="11" t="str">
        <f>CONCATENATE("          ", "5082", " - ", "PURCHASES @ COST-COMPUTER HARD")</f>
        <v xml:space="preserve">          5082 - PURCHASES @ COST-COMPUTER HARD</v>
      </c>
      <c r="C61" s="11"/>
      <c r="D61" s="2">
        <v>95</v>
      </c>
      <c r="E61" s="2"/>
      <c r="F61" s="19">
        <f t="shared" si="9"/>
        <v>2.0648632223733798E-3</v>
      </c>
      <c r="G61" s="2"/>
      <c r="H61" s="2">
        <v>29</v>
      </c>
      <c r="I61" s="2"/>
      <c r="J61" s="19">
        <f t="shared" si="10"/>
        <v>8.1207129986012787E-4</v>
      </c>
      <c r="K61" s="2"/>
      <c r="L61" s="2">
        <f t="shared" si="11"/>
        <v>66</v>
      </c>
      <c r="M61" s="2"/>
      <c r="N61" s="19">
        <f t="shared" si="12"/>
        <v>2.2758620689655173</v>
      </c>
      <c r="O61" s="11"/>
      <c r="P61" s="2">
        <v>244.6</v>
      </c>
      <c r="Q61" s="2"/>
      <c r="R61" s="19">
        <f t="shared" si="13"/>
        <v>9.8980052241720139E-4</v>
      </c>
      <c r="S61" s="2"/>
      <c r="T61" s="2">
        <v>500</v>
      </c>
      <c r="U61" s="2"/>
      <c r="V61" s="19">
        <f t="shared" si="14"/>
        <v>2.1021181236510443E-3</v>
      </c>
      <c r="W61" s="2"/>
      <c r="X61" s="2">
        <f t="shared" si="15"/>
        <v>-255.4</v>
      </c>
      <c r="Y61" s="2"/>
      <c r="Z61" s="19">
        <f t="shared" si="16"/>
        <v>-0.51080000000000003</v>
      </c>
    </row>
    <row r="62" spans="1:26" s="24" customFormat="1" hidden="1" outlineLevel="1" x14ac:dyDescent="0.25">
      <c r="A62" s="44"/>
      <c r="B62" s="11" t="str">
        <f>CONCATENATE("          ", "5083", " - ", "PURCHASES @ COST-COMPUTER EQUI")</f>
        <v xml:space="preserve">          5083 - PURCHASES @ COST-COMPUTER EQUI</v>
      </c>
      <c r="C62" s="11"/>
      <c r="D62" s="2"/>
      <c r="E62" s="2"/>
      <c r="F62" s="19">
        <f t="shared" si="9"/>
        <v>0</v>
      </c>
      <c r="G62" s="2"/>
      <c r="H62" s="2">
        <v>146.77000000000001</v>
      </c>
      <c r="I62" s="2"/>
      <c r="J62" s="19">
        <f t="shared" si="10"/>
        <v>4.1099208510507234E-3</v>
      </c>
      <c r="K62" s="2"/>
      <c r="L62" s="2">
        <f t="shared" si="11"/>
        <v>-146.77000000000001</v>
      </c>
      <c r="M62" s="2"/>
      <c r="N62" s="19">
        <f t="shared" si="12"/>
        <v>-1</v>
      </c>
      <c r="O62" s="11"/>
      <c r="P62" s="2">
        <v>192.2</v>
      </c>
      <c r="Q62" s="2"/>
      <c r="R62" s="19">
        <f t="shared" si="13"/>
        <v>7.7775821916838139E-4</v>
      </c>
      <c r="S62" s="2"/>
      <c r="T62" s="2">
        <v>422.89</v>
      </c>
      <c r="U62" s="2"/>
      <c r="V62" s="19">
        <f t="shared" si="14"/>
        <v>1.7779294666215803E-3</v>
      </c>
      <c r="W62" s="2"/>
      <c r="X62" s="2">
        <f t="shared" si="15"/>
        <v>-230.69</v>
      </c>
      <c r="Y62" s="2"/>
      <c r="Z62" s="19">
        <f t="shared" si="16"/>
        <v>-0.54550828820733521</v>
      </c>
    </row>
    <row r="63" spans="1:26" s="24" customFormat="1" hidden="1" outlineLevel="1" x14ac:dyDescent="0.25">
      <c r="A63" s="44"/>
      <c r="B63" s="11" t="str">
        <f>CONCATENATE("          ", "5086", " - ", "PURCHASES @ COST-COMPUTER SUPP")</f>
        <v xml:space="preserve">          5086 - PURCHASES @ COST-COMPUTER SUPP</v>
      </c>
      <c r="C63" s="11"/>
      <c r="D63" s="2">
        <v>87</v>
      </c>
      <c r="E63" s="2"/>
      <c r="F63" s="19">
        <f t="shared" si="9"/>
        <v>1.8909800036472006E-3</v>
      </c>
      <c r="G63" s="2"/>
      <c r="H63" s="2">
        <v>31.23</v>
      </c>
      <c r="I63" s="2"/>
      <c r="J63" s="19">
        <f t="shared" si="10"/>
        <v>8.745167825735101E-4</v>
      </c>
      <c r="K63" s="2"/>
      <c r="L63" s="2">
        <f t="shared" si="11"/>
        <v>55.769999999999996</v>
      </c>
      <c r="M63" s="2"/>
      <c r="N63" s="19">
        <f t="shared" si="12"/>
        <v>1.7857829010566761</v>
      </c>
      <c r="O63" s="11"/>
      <c r="P63" s="2">
        <v>228</v>
      </c>
      <c r="Q63" s="2"/>
      <c r="R63" s="19">
        <f t="shared" si="13"/>
        <v>9.2262681566280418E-4</v>
      </c>
      <c r="S63" s="2"/>
      <c r="T63" s="2">
        <v>488.76</v>
      </c>
      <c r="U63" s="2"/>
      <c r="V63" s="19">
        <f t="shared" si="14"/>
        <v>2.0548625082313691E-3</v>
      </c>
      <c r="W63" s="2"/>
      <c r="X63" s="2">
        <f t="shared" si="15"/>
        <v>-260.76</v>
      </c>
      <c r="Y63" s="2"/>
      <c r="Z63" s="19">
        <f t="shared" si="16"/>
        <v>-0.53351338080039279</v>
      </c>
    </row>
    <row r="64" spans="1:26" s="24" customFormat="1" hidden="1" outlineLevel="1" x14ac:dyDescent="0.25">
      <c r="A64" s="44"/>
      <c r="B64" s="11" t="str">
        <f>CONCATENATE("          ", "5200", " - ", "PURCHASES OFFSET")</f>
        <v xml:space="preserve">          5200 - PURCHASES OFFSET</v>
      </c>
      <c r="C64" s="11"/>
      <c r="D64" s="2">
        <v>-15106</v>
      </c>
      <c r="E64" s="2"/>
      <c r="F64" s="19">
        <f t="shared" si="9"/>
        <v>-0.32833498775970815</v>
      </c>
      <c r="G64" s="2"/>
      <c r="H64" s="2">
        <v>-13919</v>
      </c>
      <c r="I64" s="2"/>
      <c r="J64" s="19">
        <f t="shared" si="10"/>
        <v>-0.3897662214742455</v>
      </c>
      <c r="K64" s="2"/>
      <c r="L64" s="2">
        <f t="shared" si="11"/>
        <v>-1187</v>
      </c>
      <c r="M64" s="2"/>
      <c r="N64" s="19">
        <f t="shared" si="12"/>
        <v>8.527911487894245E-2</v>
      </c>
      <c r="O64" s="11"/>
      <c r="P64" s="2">
        <v>-136847</v>
      </c>
      <c r="Q64" s="2"/>
      <c r="R64" s="19">
        <f t="shared" si="13"/>
        <v>-0.55376628001319195</v>
      </c>
      <c r="S64" s="2"/>
      <c r="T64" s="2">
        <v>-124897</v>
      </c>
      <c r="U64" s="2"/>
      <c r="V64" s="19">
        <f t="shared" si="14"/>
        <v>-0.52509649457928897</v>
      </c>
      <c r="W64" s="2"/>
      <c r="X64" s="2">
        <f t="shared" si="15"/>
        <v>-11950</v>
      </c>
      <c r="Y64" s="2"/>
      <c r="Z64" s="19">
        <f t="shared" si="16"/>
        <v>9.5678839363635637E-2</v>
      </c>
    </row>
    <row r="65" spans="1:26" s="24" customFormat="1" hidden="1" outlineLevel="1" x14ac:dyDescent="0.25">
      <c r="A65" s="44"/>
      <c r="B65" s="11" t="str">
        <f>CONCATENATE("          ", "5300", " - ", "COG$ OFFSET")</f>
        <v xml:space="preserve">          5300 - COG$ OFFSET</v>
      </c>
      <c r="C65" s="11"/>
      <c r="D65" s="2">
        <v>24591</v>
      </c>
      <c r="E65" s="2"/>
      <c r="F65" s="19">
        <f t="shared" si="9"/>
        <v>0.53449527896193461</v>
      </c>
      <c r="G65" s="2"/>
      <c r="H65" s="2">
        <v>19240</v>
      </c>
      <c r="I65" s="2"/>
      <c r="J65" s="19">
        <f t="shared" si="10"/>
        <v>0.53876730376927107</v>
      </c>
      <c r="K65" s="2"/>
      <c r="L65" s="2">
        <f t="shared" si="11"/>
        <v>5351</v>
      </c>
      <c r="M65" s="2"/>
      <c r="N65" s="19">
        <f t="shared" si="12"/>
        <v>0.27811850311850311</v>
      </c>
      <c r="O65" s="11"/>
      <c r="P65" s="2">
        <v>129767</v>
      </c>
      <c r="Q65" s="2"/>
      <c r="R65" s="19">
        <f t="shared" si="13"/>
        <v>0.52511628942155752</v>
      </c>
      <c r="S65" s="2"/>
      <c r="T65" s="2">
        <v>128124</v>
      </c>
      <c r="U65" s="2"/>
      <c r="V65" s="19">
        <f t="shared" si="14"/>
        <v>0.53866356494933287</v>
      </c>
      <c r="W65" s="2"/>
      <c r="X65" s="2">
        <f t="shared" si="15"/>
        <v>1643</v>
      </c>
      <c r="Y65" s="2"/>
      <c r="Z65" s="19">
        <f t="shared" si="16"/>
        <v>1.2823514720114889E-2</v>
      </c>
    </row>
    <row r="66" spans="1:26" s="24" customFormat="1" hidden="1" outlineLevel="1" x14ac:dyDescent="0.25">
      <c r="A66" s="44"/>
      <c r="B66" s="11" t="str">
        <f>CONCATENATE("          ", "5527", " - ", "FREIGHT-IN-SCHOOL SUPPLIES")</f>
        <v xml:space="preserve">          5527 - FREIGHT-IN-SCHOOL SUPPLIES</v>
      </c>
      <c r="C66" s="11"/>
      <c r="D66" s="2"/>
      <c r="E66" s="2"/>
      <c r="F66" s="19">
        <f t="shared" si="9"/>
        <v>0</v>
      </c>
      <c r="G66" s="2"/>
      <c r="H66" s="2"/>
      <c r="I66" s="2"/>
      <c r="J66" s="19">
        <f t="shared" si="10"/>
        <v>0</v>
      </c>
      <c r="K66" s="2"/>
      <c r="L66" s="2">
        <f t="shared" si="11"/>
        <v>0</v>
      </c>
      <c r="M66" s="2"/>
      <c r="N66" s="19">
        <f t="shared" si="12"/>
        <v>0</v>
      </c>
      <c r="O66" s="11"/>
      <c r="P66" s="2">
        <v>12.52</v>
      </c>
      <c r="Q66" s="2"/>
      <c r="R66" s="19">
        <f t="shared" si="13"/>
        <v>5.0663542684641703E-5</v>
      </c>
      <c r="S66" s="2"/>
      <c r="T66" s="2">
        <v>88.48</v>
      </c>
      <c r="U66" s="2"/>
      <c r="V66" s="19">
        <f t="shared" si="14"/>
        <v>3.7199082316128886E-4</v>
      </c>
      <c r="W66" s="2"/>
      <c r="X66" s="2">
        <f t="shared" si="15"/>
        <v>-75.960000000000008</v>
      </c>
      <c r="Y66" s="2"/>
      <c r="Z66" s="19">
        <f t="shared" si="16"/>
        <v>-0.85849909584086803</v>
      </c>
    </row>
    <row r="67" spans="1:26" s="24" customFormat="1" hidden="1" outlineLevel="1" x14ac:dyDescent="0.25">
      <c r="A67" s="44"/>
      <c r="B67" s="11" t="str">
        <f>CONCATENATE("          ", "5528", " - ", "FREIGHT-IN-ART/TECH")</f>
        <v xml:space="preserve">          5528 - FREIGHT-IN-ART/TECH</v>
      </c>
      <c r="C67" s="11"/>
      <c r="D67" s="2">
        <v>101.25</v>
      </c>
      <c r="E67" s="2"/>
      <c r="F67" s="19">
        <f t="shared" si="9"/>
        <v>2.2007094870032076E-3</v>
      </c>
      <c r="G67" s="2"/>
      <c r="H67" s="2">
        <v>3400.7</v>
      </c>
      <c r="I67" s="2"/>
      <c r="J67" s="19">
        <f t="shared" si="10"/>
        <v>9.5227961014977131E-2</v>
      </c>
      <c r="K67" s="2"/>
      <c r="L67" s="2">
        <f t="shared" si="11"/>
        <v>-3299.45</v>
      </c>
      <c r="M67" s="2"/>
      <c r="N67" s="19">
        <f t="shared" si="12"/>
        <v>-0.97022671802864113</v>
      </c>
      <c r="O67" s="11"/>
      <c r="P67" s="2">
        <v>875.69</v>
      </c>
      <c r="Q67" s="2"/>
      <c r="R67" s="19">
        <f t="shared" si="13"/>
        <v>3.5435748956480747E-3</v>
      </c>
      <c r="S67" s="2"/>
      <c r="T67" s="2">
        <v>4488.87</v>
      </c>
      <c r="U67" s="2"/>
      <c r="V67" s="19">
        <f t="shared" si="14"/>
        <v>1.8872269963426926E-2</v>
      </c>
      <c r="W67" s="2"/>
      <c r="X67" s="2">
        <f t="shared" si="15"/>
        <v>-3613.18</v>
      </c>
      <c r="Y67" s="2"/>
      <c r="Z67" s="19">
        <f t="shared" si="16"/>
        <v>-0.80491972367210451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9" t="s">
        <v>6</v>
      </c>
      <c r="C69" s="29"/>
      <c r="D69" s="21">
        <f>D12-D48</f>
        <v>21418.959999999999</v>
      </c>
      <c r="E69" s="14"/>
      <c r="F69" s="20">
        <f>IF(D$12=0,0,D69/D$12)</f>
        <v>0.46554971332091083</v>
      </c>
      <c r="G69" s="14"/>
      <c r="H69" s="21">
        <f>H12-H48</f>
        <v>16472.029999999995</v>
      </c>
      <c r="I69" s="14"/>
      <c r="J69" s="20">
        <f>IF(H$12=0,0,H69/H$12)</f>
        <v>0.46125733839431093</v>
      </c>
      <c r="K69" s="15"/>
      <c r="L69" s="21">
        <f>+D69-H69</f>
        <v>4946.9300000000039</v>
      </c>
      <c r="M69" s="15"/>
      <c r="N69" s="20">
        <f>IF(H69=0,0,L69/H69)</f>
        <v>0.30032303243741088</v>
      </c>
      <c r="O69" s="28"/>
      <c r="P69" s="21">
        <f>P12-P48</f>
        <v>117356.85999999997</v>
      </c>
      <c r="Q69" s="14"/>
      <c r="R69" s="20">
        <f>IF(P$12=0,0,P69/P$12)</f>
        <v>0.47489730718414691</v>
      </c>
      <c r="S69" s="14"/>
      <c r="T69" s="21">
        <f>T12-T48</f>
        <v>109729.18000000002</v>
      </c>
      <c r="U69" s="14"/>
      <c r="V69" s="20">
        <f>IF(T$12=0,0,T69/T$12)</f>
        <v>0.46132739594273553</v>
      </c>
      <c r="W69" s="15"/>
      <c r="X69" s="21">
        <f>+P69-T69</f>
        <v>7627.6799999999494</v>
      </c>
      <c r="Y69" s="15"/>
      <c r="Z69" s="20">
        <f>IF(T69=0,0,X69/T69)</f>
        <v>6.9513688154782052E-2</v>
      </c>
    </row>
    <row r="70" spans="1:26" x14ac:dyDescent="0.25">
      <c r="A70" s="9"/>
      <c r="B70" s="10"/>
      <c r="C70" s="9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9</v>
      </c>
      <c r="C71" s="10"/>
      <c r="D71" s="22">
        <f>SUM(OSRRefD22x_0)</f>
        <v>13652.4</v>
      </c>
      <c r="E71" s="22"/>
      <c r="F71" s="33">
        <f t="shared" ref="F71:F80" si="17">IF(D$12=0,0,D71/D$12)</f>
        <v>0.29674040691716136</v>
      </c>
      <c r="G71" s="22"/>
      <c r="H71" s="22">
        <f>SUM(OSRRefH22x_0)</f>
        <v>5162.3900000000003</v>
      </c>
      <c r="I71" s="22"/>
      <c r="J71" s="33">
        <f t="shared" ref="J71:J80" si="18">IF(H$12=0,0,H71/H$12)</f>
        <v>0.14455961233396294</v>
      </c>
      <c r="K71" s="4"/>
      <c r="L71" s="22">
        <f t="shared" ref="L71:L80" si="19">+D71-H71</f>
        <v>8490.0099999999984</v>
      </c>
      <c r="M71" s="4"/>
      <c r="N71" s="33">
        <f t="shared" ref="N71:N80" si="20">IF(H71=0,0,L71/H71)</f>
        <v>1.6445890372482508</v>
      </c>
      <c r="O71" s="10"/>
      <c r="P71" s="22">
        <f>SUM(OSRRefP22x_0)</f>
        <v>60628.880000000012</v>
      </c>
      <c r="Q71" s="22"/>
      <c r="R71" s="33">
        <f t="shared" ref="R71:R80" si="21">IF(P$12=0,0,P71/P$12)</f>
        <v>0.24534136180527319</v>
      </c>
      <c r="S71" s="22"/>
      <c r="T71" s="22">
        <f>SUM(OSRRefT22x_0)</f>
        <v>55200.759999999995</v>
      </c>
      <c r="U71" s="22"/>
      <c r="V71" s="33">
        <f t="shared" ref="V71:V80" si="22">IF(T$12=0,0,T71/T$12)</f>
        <v>0.23207703607062322</v>
      </c>
      <c r="W71" s="4"/>
      <c r="X71" s="22">
        <f t="shared" ref="X71:X80" si="23">+P71-T71</f>
        <v>5428.1200000000172</v>
      </c>
      <c r="Y71" s="4"/>
      <c r="Z71" s="33">
        <f t="shared" ref="Z71:Z80" si="24">IF(T71=0,0,X71/T71)</f>
        <v>9.8334153370352465E-2</v>
      </c>
    </row>
    <row r="72" spans="1:26" s="25" customFormat="1" outlineLevel="1" collapsed="1" x14ac:dyDescent="0.25">
      <c r="A72" s="27"/>
      <c r="B72" s="13" t="str">
        <f>CONCATENATE("     ","*Benefits                                         ")</f>
        <v xml:space="preserve">     *Benefits                                         </v>
      </c>
      <c r="C72" s="13"/>
      <c r="D72" s="1">
        <f>SUM(OSRRefD22_0x_0)</f>
        <v>3259.03</v>
      </c>
      <c r="E72" s="1"/>
      <c r="F72" s="5">
        <f t="shared" si="17"/>
        <v>7.0836328290647538E-2</v>
      </c>
      <c r="G72" s="1"/>
      <c r="H72" s="1">
        <f>SUM(OSRRefH22_0x_0)</f>
        <v>1464.5700000000002</v>
      </c>
      <c r="I72" s="1"/>
      <c r="J72" s="5">
        <f t="shared" si="18"/>
        <v>4.1011560815039573E-2</v>
      </c>
      <c r="K72" s="1"/>
      <c r="L72" s="1">
        <f t="shared" si="19"/>
        <v>1794.46</v>
      </c>
      <c r="M72" s="1"/>
      <c r="N72" s="5">
        <f t="shared" si="20"/>
        <v>1.2252470008261809</v>
      </c>
      <c r="O72" s="13"/>
      <c r="P72" s="1">
        <f>SUM(OSRRefP22_0x_0)</f>
        <v>9501.84</v>
      </c>
      <c r="Q72" s="1"/>
      <c r="R72" s="5">
        <f t="shared" si="21"/>
        <v>3.8450229746216924E-2</v>
      </c>
      <c r="S72" s="1"/>
      <c r="T72" s="1">
        <f>SUM(OSRRefT22_0x_0)</f>
        <v>9246.93</v>
      </c>
      <c r="U72" s="1"/>
      <c r="V72" s="5">
        <f t="shared" si="22"/>
        <v>3.8876278282265107E-2</v>
      </c>
      <c r="W72" s="1"/>
      <c r="X72" s="1">
        <f t="shared" si="23"/>
        <v>254.90999999999985</v>
      </c>
      <c r="Y72" s="1"/>
      <c r="Z72" s="5">
        <f t="shared" si="24"/>
        <v>2.7566987097339318E-2</v>
      </c>
    </row>
    <row r="73" spans="1:26" s="24" customFormat="1" hidden="1" outlineLevel="2" x14ac:dyDescent="0.25">
      <c r="A73" s="26"/>
      <c r="B73" s="11" t="str">
        <f>CONCATENATE("          ", "6111", " - ", "F.I.C.A.")</f>
        <v xml:space="preserve">          6111 - F.I.C.A.</v>
      </c>
      <c r="C73" s="11"/>
      <c r="D73" s="6">
        <v>320.3</v>
      </c>
      <c r="E73" s="2"/>
      <c r="F73" s="7">
        <f t="shared" si="17"/>
        <v>6.9618493697494064E-3</v>
      </c>
      <c r="G73" s="2"/>
      <c r="H73" s="6">
        <v>250.69</v>
      </c>
      <c r="I73" s="2"/>
      <c r="J73" s="7">
        <f t="shared" si="18"/>
        <v>7.019936350411567E-3</v>
      </c>
      <c r="K73" s="2"/>
      <c r="L73" s="6">
        <f t="shared" si="19"/>
        <v>69.610000000000014</v>
      </c>
      <c r="M73" s="2"/>
      <c r="N73" s="7">
        <f t="shared" si="20"/>
        <v>0.27767362080657393</v>
      </c>
      <c r="O73" s="11"/>
      <c r="P73" s="6">
        <v>1522.65</v>
      </c>
      <c r="Q73" s="2"/>
      <c r="R73" s="7">
        <f t="shared" si="21"/>
        <v>6.161568951179688E-3</v>
      </c>
      <c r="S73" s="2"/>
      <c r="T73" s="6">
        <v>2227.6799999999998</v>
      </c>
      <c r="U73" s="2"/>
      <c r="V73" s="7">
        <f t="shared" si="22"/>
        <v>9.3656930033899164E-3</v>
      </c>
      <c r="W73" s="2"/>
      <c r="X73" s="6">
        <f t="shared" si="23"/>
        <v>-705.02999999999975</v>
      </c>
      <c r="Y73" s="2"/>
      <c r="Z73" s="7">
        <f t="shared" si="24"/>
        <v>-0.31648620986856274</v>
      </c>
    </row>
    <row r="74" spans="1:26" s="24" customFormat="1" hidden="1" outlineLevel="2" x14ac:dyDescent="0.25">
      <c r="A74" s="26"/>
      <c r="B74" s="11" t="str">
        <f>CONCATENATE("          ", "6112", " - ", "COMPENSATION INSURANCE")</f>
        <v xml:space="preserve">          6112 - COMPENSATION INSURANCE</v>
      </c>
      <c r="C74" s="11"/>
      <c r="D74" s="6">
        <v>210.21</v>
      </c>
      <c r="E74" s="2"/>
      <c r="F74" s="7">
        <f t="shared" si="17"/>
        <v>4.5689989260537705E-3</v>
      </c>
      <c r="G74" s="2"/>
      <c r="H74" s="6">
        <v>96.45</v>
      </c>
      <c r="I74" s="2"/>
      <c r="J74" s="7">
        <f t="shared" si="18"/>
        <v>2.7008371335003217E-3</v>
      </c>
      <c r="K74" s="2"/>
      <c r="L74" s="6">
        <f t="shared" si="19"/>
        <v>113.76</v>
      </c>
      <c r="M74" s="2"/>
      <c r="N74" s="7">
        <f t="shared" si="20"/>
        <v>1.1794712286158631</v>
      </c>
      <c r="O74" s="11"/>
      <c r="P74" s="6">
        <v>584.05999999999995</v>
      </c>
      <c r="Q74" s="2"/>
      <c r="R74" s="7">
        <f t="shared" si="21"/>
        <v>2.3634623594562163E-3</v>
      </c>
      <c r="S74" s="2"/>
      <c r="T74" s="6">
        <v>476.17</v>
      </c>
      <c r="U74" s="2"/>
      <c r="V74" s="7">
        <f t="shared" si="22"/>
        <v>2.0019311738778355E-3</v>
      </c>
      <c r="W74" s="2"/>
      <c r="X74" s="6">
        <f t="shared" si="23"/>
        <v>107.88999999999993</v>
      </c>
      <c r="Y74" s="2"/>
      <c r="Z74" s="7">
        <f t="shared" si="24"/>
        <v>0.22657874288594393</v>
      </c>
    </row>
    <row r="75" spans="1:26" s="24" customFormat="1" hidden="1" outlineLevel="2" x14ac:dyDescent="0.25">
      <c r="A75" s="26"/>
      <c r="B75" s="11" t="str">
        <f>CONCATENATE("          ", "6113", " - ", "GROUP INSURANCE")</f>
        <v xml:space="preserve">          6113 - GROUP INSURANCE</v>
      </c>
      <c r="C75" s="11"/>
      <c r="D75" s="6">
        <v>1992.63</v>
      </c>
      <c r="E75" s="2"/>
      <c r="F75" s="7">
        <f t="shared" si="17"/>
        <v>4.3310614766293352E-2</v>
      </c>
      <c r="G75" s="2"/>
      <c r="H75" s="6">
        <v>526.20000000000005</v>
      </c>
      <c r="I75" s="2"/>
      <c r="J75" s="7">
        <f t="shared" si="18"/>
        <v>1.4734893723668941E-2</v>
      </c>
      <c r="K75" s="2"/>
      <c r="L75" s="6">
        <f t="shared" si="19"/>
        <v>1466.43</v>
      </c>
      <c r="M75" s="2"/>
      <c r="N75" s="7">
        <f t="shared" si="20"/>
        <v>2.7868301026225768</v>
      </c>
      <c r="O75" s="11"/>
      <c r="P75" s="6">
        <v>4095.07</v>
      </c>
      <c r="Q75" s="2"/>
      <c r="R75" s="7">
        <f t="shared" si="21"/>
        <v>1.6571146464983682E-2</v>
      </c>
      <c r="S75" s="2"/>
      <c r="T75" s="6">
        <v>2630.1</v>
      </c>
      <c r="U75" s="2"/>
      <c r="V75" s="7">
        <f t="shared" si="22"/>
        <v>1.1057561754029223E-2</v>
      </c>
      <c r="W75" s="2"/>
      <c r="X75" s="6">
        <f t="shared" si="23"/>
        <v>1464.9700000000003</v>
      </c>
      <c r="Y75" s="2"/>
      <c r="Z75" s="7">
        <f t="shared" si="24"/>
        <v>0.55700163491882448</v>
      </c>
    </row>
    <row r="76" spans="1:26" s="24" customFormat="1" hidden="1" outlineLevel="2" x14ac:dyDescent="0.25">
      <c r="A76" s="26"/>
      <c r="B76" s="11" t="str">
        <f>CONCATENATE("          ", "6114", " - ", "STATE UNEMPLOYMENT INSURANCE")</f>
        <v xml:space="preserve">          6114 - STATE UNEMPLOYMENT INSURANCE</v>
      </c>
      <c r="C76" s="11"/>
      <c r="D76" s="6">
        <v>28.77</v>
      </c>
      <c r="E76" s="2"/>
      <c r="F76" s="7">
        <f t="shared" si="17"/>
        <v>6.2532752534402247E-4</v>
      </c>
      <c r="G76" s="2"/>
      <c r="H76" s="6">
        <v>21.07</v>
      </c>
      <c r="I76" s="2"/>
      <c r="J76" s="7">
        <f t="shared" si="18"/>
        <v>5.9001180303630671E-4</v>
      </c>
      <c r="K76" s="2"/>
      <c r="L76" s="6">
        <f t="shared" si="19"/>
        <v>7.6999999999999993</v>
      </c>
      <c r="M76" s="2"/>
      <c r="N76" s="7">
        <f t="shared" si="20"/>
        <v>0.36544850498338866</v>
      </c>
      <c r="O76" s="11"/>
      <c r="P76" s="6">
        <v>102.32</v>
      </c>
      <c r="Q76" s="2"/>
      <c r="R76" s="7">
        <f t="shared" si="21"/>
        <v>4.140490165728865E-4</v>
      </c>
      <c r="S76" s="2"/>
      <c r="T76" s="6">
        <v>104.04</v>
      </c>
      <c r="U76" s="2"/>
      <c r="V76" s="7">
        <f t="shared" si="22"/>
        <v>4.3740873916930934E-4</v>
      </c>
      <c r="W76" s="2"/>
      <c r="X76" s="6">
        <f t="shared" si="23"/>
        <v>-1.7200000000000131</v>
      </c>
      <c r="Y76" s="2"/>
      <c r="Z76" s="7">
        <f t="shared" si="24"/>
        <v>-1.6532103037293473E-2</v>
      </c>
    </row>
    <row r="77" spans="1:26" s="24" customFormat="1" hidden="1" outlineLevel="2" x14ac:dyDescent="0.25">
      <c r="A77" s="26"/>
      <c r="B77" s="11" t="str">
        <f>CONCATENATE("          ", "6115", " - ", "P.E.R.S.")</f>
        <v xml:space="preserve">          6115 - P.E.R.S.</v>
      </c>
      <c r="C77" s="11"/>
      <c r="D77" s="6">
        <v>299.39</v>
      </c>
      <c r="E77" s="2"/>
      <c r="F77" s="7">
        <f t="shared" si="17"/>
        <v>6.5073621068038549E-3</v>
      </c>
      <c r="G77" s="2"/>
      <c r="H77" s="6">
        <v>187.84</v>
      </c>
      <c r="I77" s="2"/>
      <c r="J77" s="7">
        <f t="shared" si="18"/>
        <v>5.2599818264043594E-3</v>
      </c>
      <c r="K77" s="2"/>
      <c r="L77" s="6">
        <f t="shared" si="19"/>
        <v>111.54999999999998</v>
      </c>
      <c r="M77" s="2"/>
      <c r="N77" s="7">
        <f t="shared" si="20"/>
        <v>0.59385647359454841</v>
      </c>
      <c r="O77" s="11"/>
      <c r="P77" s="6">
        <v>1037.01</v>
      </c>
      <c r="Q77" s="2"/>
      <c r="R77" s="7">
        <f t="shared" si="21"/>
        <v>4.1963738338179147E-3</v>
      </c>
      <c r="S77" s="2"/>
      <c r="T77" s="6">
        <v>1311.22</v>
      </c>
      <c r="U77" s="2"/>
      <c r="V77" s="7">
        <f t="shared" si="22"/>
        <v>5.5126786521874447E-3</v>
      </c>
      <c r="W77" s="2"/>
      <c r="X77" s="6">
        <f t="shared" si="23"/>
        <v>-274.21000000000004</v>
      </c>
      <c r="Y77" s="2"/>
      <c r="Z77" s="7">
        <f t="shared" si="24"/>
        <v>-0.2091258522597276</v>
      </c>
    </row>
    <row r="78" spans="1:26" s="24" customFormat="1" hidden="1" outlineLevel="2" x14ac:dyDescent="0.25">
      <c r="A78" s="26"/>
      <c r="B78" s="11" t="str">
        <f>CONCATENATE("          ", "6118", " - ", "VACATION")</f>
        <v xml:space="preserve">          6118 - VACATION</v>
      </c>
      <c r="C78" s="11"/>
      <c r="D78" s="6">
        <v>540.55999999999995</v>
      </c>
      <c r="E78" s="2"/>
      <c r="F78" s="7">
        <f t="shared" si="17"/>
        <v>1.1749289089327939E-2</v>
      </c>
      <c r="G78" s="2"/>
      <c r="H78" s="6">
        <v>105.69</v>
      </c>
      <c r="I78" s="2"/>
      <c r="J78" s="7">
        <f t="shared" si="18"/>
        <v>2.9595798511109278E-3</v>
      </c>
      <c r="K78" s="2"/>
      <c r="L78" s="6">
        <f t="shared" si="19"/>
        <v>434.86999999999995</v>
      </c>
      <c r="M78" s="2"/>
      <c r="N78" s="7">
        <f t="shared" si="20"/>
        <v>4.114580376572996</v>
      </c>
      <c r="O78" s="11"/>
      <c r="P78" s="6">
        <v>1103.48</v>
      </c>
      <c r="Q78" s="2"/>
      <c r="R78" s="7">
        <f t="shared" si="21"/>
        <v>4.4653519234543471E-3</v>
      </c>
      <c r="S78" s="2"/>
      <c r="T78" s="6">
        <v>703.58</v>
      </c>
      <c r="U78" s="2"/>
      <c r="V78" s="7">
        <f t="shared" si="22"/>
        <v>2.9580165388768038E-3</v>
      </c>
      <c r="W78" s="2"/>
      <c r="X78" s="6">
        <f t="shared" si="23"/>
        <v>399.9</v>
      </c>
      <c r="Y78" s="2"/>
      <c r="Z78" s="7">
        <f t="shared" si="24"/>
        <v>0.56837886238949364</v>
      </c>
    </row>
    <row r="79" spans="1:26" s="24" customFormat="1" hidden="1" outlineLevel="2" x14ac:dyDescent="0.25">
      <c r="A79" s="26"/>
      <c r="B79" s="11" t="str">
        <f>CONCATENATE("          ", "6119", " - ", "SICK LEAVE")</f>
        <v xml:space="preserve">          6119 - SICK LEAVE</v>
      </c>
      <c r="C79" s="11"/>
      <c r="D79" s="6">
        <v>-269.18</v>
      </c>
      <c r="E79" s="2"/>
      <c r="F79" s="7">
        <f t="shared" si="17"/>
        <v>-5.85073560208912E-3</v>
      </c>
      <c r="G79" s="2"/>
      <c r="H79" s="6">
        <v>126.63</v>
      </c>
      <c r="I79" s="2"/>
      <c r="J79" s="7">
        <f t="shared" si="18"/>
        <v>3.5459513345271719E-3</v>
      </c>
      <c r="K79" s="2"/>
      <c r="L79" s="6">
        <f t="shared" si="19"/>
        <v>-395.81</v>
      </c>
      <c r="M79" s="2"/>
      <c r="N79" s="7">
        <f t="shared" si="20"/>
        <v>-3.1257206033325438</v>
      </c>
      <c r="O79" s="11"/>
      <c r="P79" s="6">
        <v>273.25</v>
      </c>
      <c r="Q79" s="2"/>
      <c r="R79" s="7">
        <f t="shared" si="21"/>
        <v>1.1057358657011458E-3</v>
      </c>
      <c r="S79" s="2"/>
      <c r="T79" s="6">
        <v>1045.4000000000001</v>
      </c>
      <c r="U79" s="2"/>
      <c r="V79" s="7">
        <f t="shared" si="22"/>
        <v>4.3951085729296039E-3</v>
      </c>
      <c r="W79" s="2"/>
      <c r="X79" s="6">
        <f t="shared" si="23"/>
        <v>-772.15000000000009</v>
      </c>
      <c r="Y79" s="2"/>
      <c r="Z79" s="7">
        <f t="shared" si="24"/>
        <v>-0.73861679739812514</v>
      </c>
    </row>
    <row r="80" spans="1:26" s="24" customFormat="1" hidden="1" outlineLevel="2" x14ac:dyDescent="0.25">
      <c r="A80" s="26"/>
      <c r="B80" s="11" t="str">
        <f>CONCATENATE("          ", "6156", " - ", "EMPLOYEE MEALS")</f>
        <v xml:space="preserve">          6156 - EMPLOYEE MEALS</v>
      </c>
      <c r="C80" s="11"/>
      <c r="D80" s="6">
        <v>136.35</v>
      </c>
      <c r="E80" s="2"/>
      <c r="F80" s="7">
        <f t="shared" si="17"/>
        <v>2.9636221091643195E-3</v>
      </c>
      <c r="G80" s="2"/>
      <c r="H80" s="6">
        <v>150</v>
      </c>
      <c r="I80" s="2"/>
      <c r="J80" s="7">
        <f t="shared" si="18"/>
        <v>4.2003687923799719E-3</v>
      </c>
      <c r="K80" s="2"/>
      <c r="L80" s="6">
        <f t="shared" si="19"/>
        <v>-13.650000000000006</v>
      </c>
      <c r="M80" s="2"/>
      <c r="N80" s="7">
        <f t="shared" si="20"/>
        <v>-9.1000000000000039E-2</v>
      </c>
      <c r="O80" s="11"/>
      <c r="P80" s="6">
        <v>784</v>
      </c>
      <c r="Q80" s="2"/>
      <c r="R80" s="7">
        <f t="shared" si="21"/>
        <v>3.172541331051046E-3</v>
      </c>
      <c r="S80" s="2"/>
      <c r="T80" s="6">
        <v>748.74</v>
      </c>
      <c r="U80" s="2"/>
      <c r="V80" s="7">
        <f t="shared" si="22"/>
        <v>3.1478798478049661E-3</v>
      </c>
      <c r="W80" s="2"/>
      <c r="X80" s="6">
        <f t="shared" si="23"/>
        <v>35.259999999999991</v>
      </c>
      <c r="Y80" s="2"/>
      <c r="Z80" s="7">
        <f t="shared" si="24"/>
        <v>4.709244864706038E-2</v>
      </c>
    </row>
    <row r="81" spans="1:26" s="25" customFormat="1" outlineLevel="1" collapsed="1" x14ac:dyDescent="0.25">
      <c r="A81" s="27"/>
      <c r="B81" s="13" t="str">
        <f>CONCATENATE("     ","*Payroll                                          ")</f>
        <v xml:space="preserve">     *Payroll                                          </v>
      </c>
      <c r="C81" s="13"/>
      <c r="D81" s="1">
        <f>SUM(OSRRefD22_1x_0)</f>
        <v>9083.49</v>
      </c>
      <c r="E81" s="1"/>
      <c r="F81" s="5">
        <f t="shared" ref="F81:F85" si="25">IF(D$12=0,0,D81/D$12)</f>
        <v>0.19743330980838286</v>
      </c>
      <c r="G81" s="1"/>
      <c r="H81" s="1">
        <f>SUM(OSRRefH22_1x_0)</f>
        <v>2361.3200000000002</v>
      </c>
      <c r="I81" s="1"/>
      <c r="J81" s="5">
        <f t="shared" ref="J81:J85" si="26">IF(H$12=0,0,H81/H$12)</f>
        <v>6.6122765578817841E-2</v>
      </c>
      <c r="K81" s="1"/>
      <c r="L81" s="1">
        <f t="shared" ref="L81:L85" si="27">+D81-H81</f>
        <v>6722.17</v>
      </c>
      <c r="M81" s="1"/>
      <c r="N81" s="5">
        <f t="shared" ref="N81:N85" si="28">IF(H81=0,0,L81/H81)</f>
        <v>2.846784849152169</v>
      </c>
      <c r="O81" s="13"/>
      <c r="P81" s="1">
        <f>SUM(OSRRefP22_1x_0)</f>
        <v>40654.619999999995</v>
      </c>
      <c r="Q81" s="1"/>
      <c r="R81" s="5">
        <f t="shared" ref="R81:R85" si="29">IF(P$12=0,0,P81/P$12)</f>
        <v>0.16451334470430415</v>
      </c>
      <c r="S81" s="1"/>
      <c r="T81" s="1">
        <f>SUM(OSRRefT22_1x_0)</f>
        <v>35150.75</v>
      </c>
      <c r="U81" s="1"/>
      <c r="V81" s="5">
        <f t="shared" ref="V81:V85" si="30">IF(T$12=0,0,T81/T$12)</f>
        <v>0.14778205726985388</v>
      </c>
      <c r="W81" s="1"/>
      <c r="X81" s="1">
        <f t="shared" ref="X81:X85" si="31">+P81-T81</f>
        <v>5503.8699999999953</v>
      </c>
      <c r="Y81" s="1"/>
      <c r="Z81" s="5">
        <f t="shared" ref="Z81:Z85" si="32">IF(T81=0,0,X81/T81)</f>
        <v>0.15657902036229654</v>
      </c>
    </row>
    <row r="82" spans="1:26" s="24" customFormat="1" hidden="1" outlineLevel="2" x14ac:dyDescent="0.25">
      <c r="A82" s="26"/>
      <c r="B82" s="11" t="str">
        <f>CONCATENATE("          ", "6002", " - ", "STAFF SALARIES")</f>
        <v xml:space="preserve">          6002 - STAFF SALARIES</v>
      </c>
      <c r="C82" s="11"/>
      <c r="D82" s="6">
        <v>2563.85</v>
      </c>
      <c r="E82" s="2"/>
      <c r="F82" s="7">
        <f t="shared" si="25"/>
        <v>5.5726311291389365E-2</v>
      </c>
      <c r="G82" s="2"/>
      <c r="H82" s="6">
        <v>-1407.12</v>
      </c>
      <c r="I82" s="2"/>
      <c r="J82" s="7">
        <f t="shared" si="26"/>
        <v>-3.9402819567558034E-2</v>
      </c>
      <c r="K82" s="2"/>
      <c r="L82" s="6">
        <f t="shared" si="27"/>
        <v>3970.97</v>
      </c>
      <c r="M82" s="2"/>
      <c r="N82" s="7">
        <f t="shared" si="28"/>
        <v>-2.8220549775427823</v>
      </c>
      <c r="O82" s="11"/>
      <c r="P82" s="6">
        <v>13939.85</v>
      </c>
      <c r="Q82" s="2"/>
      <c r="R82" s="7">
        <f t="shared" si="29"/>
        <v>5.6409120247005007E-2</v>
      </c>
      <c r="S82" s="2"/>
      <c r="T82" s="6">
        <v>14127.16</v>
      </c>
      <c r="U82" s="2"/>
      <c r="V82" s="7">
        <f t="shared" si="30"/>
        <v>5.9393918143436177E-2</v>
      </c>
      <c r="W82" s="2"/>
      <c r="X82" s="6">
        <f t="shared" si="31"/>
        <v>-187.30999999999949</v>
      </c>
      <c r="Y82" s="2"/>
      <c r="Z82" s="7">
        <f t="shared" si="32"/>
        <v>-1.3258857406584161E-2</v>
      </c>
    </row>
    <row r="83" spans="1:26" s="24" customFormat="1" hidden="1" outlineLevel="2" x14ac:dyDescent="0.25">
      <c r="A83" s="26"/>
      <c r="B83" s="11" t="str">
        <f>CONCATENATE("          ", "6005", " - ", "TEMPORARY WAGES-HOURLY")</f>
        <v xml:space="preserve">          6005 - TEMPORARY WAGES-HOURLY</v>
      </c>
      <c r="C83" s="11"/>
      <c r="D83" s="6">
        <v>1265.1300000000001</v>
      </c>
      <c r="E83" s="2"/>
      <c r="F83" s="7">
        <f t="shared" si="25"/>
        <v>2.7498109563381414E-2</v>
      </c>
      <c r="G83" s="2"/>
      <c r="H83" s="6"/>
      <c r="I83" s="2"/>
      <c r="J83" s="7">
        <f t="shared" si="26"/>
        <v>0</v>
      </c>
      <c r="K83" s="2"/>
      <c r="L83" s="6">
        <f t="shared" si="27"/>
        <v>1265.1300000000001</v>
      </c>
      <c r="M83" s="2"/>
      <c r="N83" s="7">
        <f t="shared" si="28"/>
        <v>0</v>
      </c>
      <c r="O83" s="11"/>
      <c r="P83" s="6">
        <v>1682.01</v>
      </c>
      <c r="Q83" s="2"/>
      <c r="R83" s="7">
        <f t="shared" si="29"/>
        <v>6.8064365360219004E-3</v>
      </c>
      <c r="S83" s="2"/>
      <c r="T83" s="6"/>
      <c r="U83" s="2"/>
      <c r="V83" s="7">
        <f t="shared" si="30"/>
        <v>0</v>
      </c>
      <c r="W83" s="2"/>
      <c r="X83" s="6">
        <f t="shared" si="31"/>
        <v>1682.01</v>
      </c>
      <c r="Y83" s="2"/>
      <c r="Z83" s="7">
        <f t="shared" si="32"/>
        <v>0</v>
      </c>
    </row>
    <row r="84" spans="1:26" s="24" customFormat="1" hidden="1" outlineLevel="2" x14ac:dyDescent="0.25">
      <c r="A84" s="26"/>
      <c r="B84" s="11" t="str">
        <f>CONCATENATE("          ", "6006", " - ", "TEMPORARY PART TIME")</f>
        <v xml:space="preserve">          6006 - TEMPORARY PART TIME</v>
      </c>
      <c r="C84" s="11"/>
      <c r="D84" s="6"/>
      <c r="E84" s="2"/>
      <c r="F84" s="7">
        <f t="shared" si="25"/>
        <v>0</v>
      </c>
      <c r="G84" s="2"/>
      <c r="H84" s="6">
        <v>514.25</v>
      </c>
      <c r="I84" s="2"/>
      <c r="J84" s="7">
        <f t="shared" si="26"/>
        <v>1.4400264343209335E-2</v>
      </c>
      <c r="K84" s="2"/>
      <c r="L84" s="6">
        <f t="shared" si="27"/>
        <v>-514.25</v>
      </c>
      <c r="M84" s="2"/>
      <c r="N84" s="7">
        <f t="shared" si="28"/>
        <v>-1</v>
      </c>
      <c r="O84" s="11"/>
      <c r="P84" s="6">
        <v>25.5</v>
      </c>
      <c r="Q84" s="2"/>
      <c r="R84" s="7">
        <f t="shared" si="29"/>
        <v>1.0318852543597152E-4</v>
      </c>
      <c r="S84" s="2"/>
      <c r="T84" s="6">
        <v>3434.75</v>
      </c>
      <c r="U84" s="2"/>
      <c r="V84" s="7">
        <f t="shared" si="30"/>
        <v>1.444050045042085E-2</v>
      </c>
      <c r="W84" s="2"/>
      <c r="X84" s="6">
        <f t="shared" si="31"/>
        <v>-3409.25</v>
      </c>
      <c r="Y84" s="2"/>
      <c r="Z84" s="7">
        <f t="shared" si="32"/>
        <v>-0.99257587888492615</v>
      </c>
    </row>
    <row r="85" spans="1:26" s="24" customFormat="1" hidden="1" outlineLevel="2" x14ac:dyDescent="0.25">
      <c r="A85" s="26"/>
      <c r="B85" s="11" t="str">
        <f>CONCATENATE("          ", "6007", " - ", "STUDENT HOURLY")</f>
        <v xml:space="preserve">          6007 - STUDENT HOURLY</v>
      </c>
      <c r="C85" s="11"/>
      <c r="D85" s="6">
        <v>5254.51</v>
      </c>
      <c r="E85" s="2"/>
      <c r="F85" s="7">
        <f t="shared" si="25"/>
        <v>0.11420888895361209</v>
      </c>
      <c r="G85" s="2"/>
      <c r="H85" s="6">
        <v>3254.19</v>
      </c>
      <c r="I85" s="2"/>
      <c r="J85" s="7">
        <f t="shared" si="26"/>
        <v>9.1125320803166529E-2</v>
      </c>
      <c r="K85" s="2"/>
      <c r="L85" s="6">
        <f t="shared" si="27"/>
        <v>2000.3200000000002</v>
      </c>
      <c r="M85" s="2"/>
      <c r="N85" s="7">
        <f t="shared" si="28"/>
        <v>0.61469059888943178</v>
      </c>
      <c r="O85" s="11"/>
      <c r="P85" s="6">
        <v>25007.26</v>
      </c>
      <c r="Q85" s="2"/>
      <c r="R85" s="7">
        <f t="shared" si="29"/>
        <v>0.1011945993958413</v>
      </c>
      <c r="S85" s="2"/>
      <c r="T85" s="6">
        <v>17588.84</v>
      </c>
      <c r="U85" s="2"/>
      <c r="V85" s="7">
        <f t="shared" si="30"/>
        <v>7.3947638675996866E-2</v>
      </c>
      <c r="W85" s="2"/>
      <c r="X85" s="6">
        <f t="shared" si="31"/>
        <v>7418.4199999999983</v>
      </c>
      <c r="Y85" s="2"/>
      <c r="Z85" s="7">
        <f t="shared" si="32"/>
        <v>0.42176857598340756</v>
      </c>
    </row>
    <row r="86" spans="1:26" s="25" customFormat="1" outlineLevel="1" collapsed="1" x14ac:dyDescent="0.25">
      <c r="A86" s="27"/>
      <c r="B86" s="13" t="str">
        <f>CONCATENATE("     ","Advertising/Promo                                 ")</f>
        <v xml:space="preserve">     Advertising/Promo                                 </v>
      </c>
      <c r="C86" s="13"/>
      <c r="D86" s="1">
        <f>SUM(OSRRefD22_2x_0)</f>
        <v>115</v>
      </c>
      <c r="E86" s="1"/>
      <c r="F86" s="5">
        <f t="shared" ref="F86:F92" si="33">IF(D$12=0,0,D86/D$12)</f>
        <v>2.4995712691888283E-3</v>
      </c>
      <c r="G86" s="1"/>
      <c r="H86" s="1">
        <f>SUM(OSRRefH22_2x_0)</f>
        <v>0</v>
      </c>
      <c r="I86" s="1"/>
      <c r="J86" s="5">
        <f t="shared" ref="J86:J92" si="34">IF(H$12=0,0,H86/H$12)</f>
        <v>0</v>
      </c>
      <c r="K86" s="1"/>
      <c r="L86" s="1">
        <f t="shared" ref="L86:L92" si="35">+D86-H86</f>
        <v>115</v>
      </c>
      <c r="M86" s="1"/>
      <c r="N86" s="5">
        <f t="shared" ref="N86:N92" si="36">IF(H86=0,0,L86/H86)</f>
        <v>0</v>
      </c>
      <c r="O86" s="13"/>
      <c r="P86" s="1">
        <f>SUM(OSRRefP22_2x_0)</f>
        <v>963.62</v>
      </c>
      <c r="Q86" s="1"/>
      <c r="R86" s="5">
        <f t="shared" ref="R86:R92" si="37">IF(P$12=0,0,P86/P$12)</f>
        <v>3.8993932110043482E-3</v>
      </c>
      <c r="S86" s="1"/>
      <c r="T86" s="1">
        <f>SUM(OSRRefT22_2x_0)</f>
        <v>0</v>
      </c>
      <c r="U86" s="1"/>
      <c r="V86" s="5">
        <f t="shared" ref="V86:V92" si="38">IF(T$12=0,0,T86/T$12)</f>
        <v>0</v>
      </c>
      <c r="W86" s="1"/>
      <c r="X86" s="1">
        <f t="shared" ref="X86:X92" si="39">+P86-T86</f>
        <v>963.62</v>
      </c>
      <c r="Y86" s="1"/>
      <c r="Z86" s="5">
        <f t="shared" ref="Z86:Z92" si="40">IF(T86=0,0,X86/T86)</f>
        <v>0</v>
      </c>
    </row>
    <row r="87" spans="1:26" s="24" customFormat="1" hidden="1" outlineLevel="2" x14ac:dyDescent="0.25">
      <c r="A87" s="26"/>
      <c r="B87" s="11" t="str">
        <f>CONCATENATE("          ", "6362", " - ", "ADVERTISING EXPENSE")</f>
        <v xml:space="preserve">          6362 - ADVERTISING EXPENSE</v>
      </c>
      <c r="C87" s="11"/>
      <c r="D87" s="6">
        <v>115</v>
      </c>
      <c r="E87" s="2"/>
      <c r="F87" s="7">
        <f t="shared" si="33"/>
        <v>2.4995712691888283E-3</v>
      </c>
      <c r="G87" s="2"/>
      <c r="H87" s="6"/>
      <c r="I87" s="2"/>
      <c r="J87" s="7">
        <f t="shared" si="34"/>
        <v>0</v>
      </c>
      <c r="K87" s="2"/>
      <c r="L87" s="6">
        <f t="shared" si="35"/>
        <v>115</v>
      </c>
      <c r="M87" s="2"/>
      <c r="N87" s="7">
        <f t="shared" si="36"/>
        <v>0</v>
      </c>
      <c r="O87" s="11"/>
      <c r="P87" s="6">
        <v>963.62</v>
      </c>
      <c r="Q87" s="2"/>
      <c r="R87" s="7">
        <f t="shared" si="37"/>
        <v>3.8993932110043482E-3</v>
      </c>
      <c r="S87" s="2"/>
      <c r="T87" s="6"/>
      <c r="U87" s="2"/>
      <c r="V87" s="7">
        <f t="shared" si="38"/>
        <v>0</v>
      </c>
      <c r="W87" s="2"/>
      <c r="X87" s="6">
        <f t="shared" si="39"/>
        <v>963.62</v>
      </c>
      <c r="Y87" s="2"/>
      <c r="Z87" s="7">
        <f t="shared" si="40"/>
        <v>0</v>
      </c>
    </row>
    <row r="88" spans="1:26" s="25" customFormat="1" outlineLevel="1" collapsed="1" x14ac:dyDescent="0.25">
      <c r="A88" s="27"/>
      <c r="B88" s="13" t="str">
        <f>CONCATENATE("     ","Bad Debts/Over/Short                              ")</f>
        <v xml:space="preserve">     Bad Debts/Over/Short                              </v>
      </c>
      <c r="C88" s="13"/>
      <c r="D88" s="1">
        <f>SUM(OSRRefD22_3x_0)</f>
        <v>0.35</v>
      </c>
      <c r="E88" s="1"/>
      <c r="F88" s="5">
        <f t="shared" si="33"/>
        <v>7.6073908192703467E-6</v>
      </c>
      <c r="G88" s="1"/>
      <c r="H88" s="1">
        <f>SUM(OSRRefH22_3x_0)</f>
        <v>16.75</v>
      </c>
      <c r="I88" s="1"/>
      <c r="J88" s="5">
        <f t="shared" si="34"/>
        <v>4.6904118181576352E-4</v>
      </c>
      <c r="K88" s="1"/>
      <c r="L88" s="1">
        <f t="shared" si="35"/>
        <v>-16.399999999999999</v>
      </c>
      <c r="M88" s="1"/>
      <c r="N88" s="5">
        <f t="shared" si="36"/>
        <v>-0.97910447761194019</v>
      </c>
      <c r="O88" s="13"/>
      <c r="P88" s="1">
        <f>SUM(OSRRefP22_3x_0)</f>
        <v>-47.21</v>
      </c>
      <c r="Q88" s="1"/>
      <c r="R88" s="5">
        <f t="shared" si="37"/>
        <v>-1.9104040336596925E-4</v>
      </c>
      <c r="S88" s="1"/>
      <c r="T88" s="1">
        <f>SUM(OSRRefT22_3x_0)</f>
        <v>14.39</v>
      </c>
      <c r="U88" s="1"/>
      <c r="V88" s="5">
        <f t="shared" si="38"/>
        <v>6.0498959598677059E-5</v>
      </c>
      <c r="W88" s="1"/>
      <c r="X88" s="1">
        <f t="shared" si="39"/>
        <v>-61.6</v>
      </c>
      <c r="Y88" s="1"/>
      <c r="Z88" s="5">
        <f t="shared" si="40"/>
        <v>-4.2807505211952748</v>
      </c>
    </row>
    <row r="89" spans="1:26" s="24" customFormat="1" hidden="1" outlineLevel="2" x14ac:dyDescent="0.25">
      <c r="A89" s="26"/>
      <c r="B89" s="11" t="str">
        <f>CONCATENATE("          ", "6272", " - ", "CASH (OVER/SHORT)")</f>
        <v xml:space="preserve">          6272 - CASH (OVER/SHORT)</v>
      </c>
      <c r="C89" s="11"/>
      <c r="D89" s="6">
        <v>0.35</v>
      </c>
      <c r="E89" s="2"/>
      <c r="F89" s="7">
        <f t="shared" si="33"/>
        <v>7.6073908192703467E-6</v>
      </c>
      <c r="G89" s="2"/>
      <c r="H89" s="6">
        <v>16.75</v>
      </c>
      <c r="I89" s="2"/>
      <c r="J89" s="7">
        <f t="shared" si="34"/>
        <v>4.6904118181576352E-4</v>
      </c>
      <c r="K89" s="2"/>
      <c r="L89" s="6">
        <f t="shared" si="35"/>
        <v>-16.399999999999999</v>
      </c>
      <c r="M89" s="2"/>
      <c r="N89" s="7">
        <f t="shared" si="36"/>
        <v>-0.97910447761194019</v>
      </c>
      <c r="O89" s="11"/>
      <c r="P89" s="6">
        <v>-47.21</v>
      </c>
      <c r="Q89" s="2"/>
      <c r="R89" s="7">
        <f t="shared" si="37"/>
        <v>-1.9104040336596925E-4</v>
      </c>
      <c r="S89" s="2"/>
      <c r="T89" s="6">
        <v>14.39</v>
      </c>
      <c r="U89" s="2"/>
      <c r="V89" s="7">
        <f t="shared" si="38"/>
        <v>6.0498959598677059E-5</v>
      </c>
      <c r="W89" s="2"/>
      <c r="X89" s="6">
        <f t="shared" si="39"/>
        <v>-61.6</v>
      </c>
      <c r="Y89" s="2"/>
      <c r="Z89" s="7">
        <f t="shared" si="40"/>
        <v>-4.2807505211952748</v>
      </c>
    </row>
    <row r="90" spans="1:26" s="25" customFormat="1" outlineLevel="1" collapsed="1" x14ac:dyDescent="0.25">
      <c r="A90" s="27"/>
      <c r="B90" s="13" t="str">
        <f>CONCATENATE("     ","Discounts and Markdowns                           ")</f>
        <v xml:space="preserve">     Discounts and Markdowns                           </v>
      </c>
      <c r="C90" s="13"/>
      <c r="D90" s="1">
        <f>SUM(OSRRefD22_4x_0)</f>
        <v>539</v>
      </c>
      <c r="E90" s="1"/>
      <c r="F90" s="5">
        <f t="shared" si="33"/>
        <v>1.1715381861676335E-2</v>
      </c>
      <c r="G90" s="1"/>
      <c r="H90" s="1">
        <f>SUM(OSRRefH22_4x_0)</f>
        <v>475.59</v>
      </c>
      <c r="I90" s="1"/>
      <c r="J90" s="5">
        <f t="shared" si="34"/>
        <v>1.3317689293119937E-2</v>
      </c>
      <c r="K90" s="1"/>
      <c r="L90" s="1">
        <f t="shared" si="35"/>
        <v>63.410000000000025</v>
      </c>
      <c r="M90" s="1"/>
      <c r="N90" s="5">
        <f t="shared" si="36"/>
        <v>0.13332912803044644</v>
      </c>
      <c r="O90" s="13"/>
      <c r="P90" s="1">
        <f>SUM(OSRRefP22_4x_0)</f>
        <v>5275.61</v>
      </c>
      <c r="Q90" s="1"/>
      <c r="R90" s="5">
        <f t="shared" si="37"/>
        <v>2.1348330065696693E-2</v>
      </c>
      <c r="S90" s="1"/>
      <c r="T90" s="1">
        <f>SUM(OSRRefT22_4x_0)</f>
        <v>5184.22</v>
      </c>
      <c r="U90" s="1"/>
      <c r="V90" s="5">
        <f t="shared" si="38"/>
        <v>2.1795685637988435E-2</v>
      </c>
      <c r="W90" s="1"/>
      <c r="X90" s="1">
        <f t="shared" si="39"/>
        <v>91.389999999999418</v>
      </c>
      <c r="Y90" s="1"/>
      <c r="Z90" s="5">
        <f t="shared" si="40"/>
        <v>1.7628495704271697E-2</v>
      </c>
    </row>
    <row r="91" spans="1:26" s="24" customFormat="1" hidden="1" outlineLevel="2" x14ac:dyDescent="0.25">
      <c r="A91" s="26"/>
      <c r="B91" s="11" t="str">
        <f>CONCATENATE("          ", "6382", " - ", "DISCOUNTS/MARK DOWNS")</f>
        <v xml:space="preserve">          6382 - DISCOUNTS/MARK DOWNS</v>
      </c>
      <c r="C91" s="11"/>
      <c r="D91" s="6">
        <v>539</v>
      </c>
      <c r="E91" s="2"/>
      <c r="F91" s="7">
        <f t="shared" si="33"/>
        <v>1.1715381861676335E-2</v>
      </c>
      <c r="G91" s="2"/>
      <c r="H91" s="6">
        <v>475.59</v>
      </c>
      <c r="I91" s="2"/>
      <c r="J91" s="7">
        <f t="shared" si="34"/>
        <v>1.3317689293119937E-2</v>
      </c>
      <c r="K91" s="2"/>
      <c r="L91" s="6">
        <f t="shared" si="35"/>
        <v>63.410000000000025</v>
      </c>
      <c r="M91" s="2"/>
      <c r="N91" s="7">
        <f t="shared" si="36"/>
        <v>0.13332912803044644</v>
      </c>
      <c r="O91" s="11"/>
      <c r="P91" s="6">
        <v>5275.61</v>
      </c>
      <c r="Q91" s="2"/>
      <c r="R91" s="7">
        <f t="shared" si="37"/>
        <v>2.1348330065696693E-2</v>
      </c>
      <c r="S91" s="2"/>
      <c r="T91" s="6">
        <v>5253.18</v>
      </c>
      <c r="U91" s="2"/>
      <c r="V91" s="7">
        <f t="shared" si="38"/>
        <v>2.2085609769602388E-2</v>
      </c>
      <c r="W91" s="2"/>
      <c r="X91" s="6">
        <f t="shared" si="39"/>
        <v>22.429999999999382</v>
      </c>
      <c r="Y91" s="2"/>
      <c r="Z91" s="7">
        <f t="shared" si="40"/>
        <v>4.2697946767480616E-3</v>
      </c>
    </row>
    <row r="92" spans="1:26" s="24" customFormat="1" hidden="1" outlineLevel="2" x14ac:dyDescent="0.25">
      <c r="A92" s="26"/>
      <c r="B92" s="11" t="str">
        <f>CONCATENATE("          ", "9175", " - ", "EARNED DISCOUNTS")</f>
        <v xml:space="preserve">          9175 - EARNED DISCOUNTS</v>
      </c>
      <c r="C92" s="11"/>
      <c r="D92" s="6"/>
      <c r="E92" s="2"/>
      <c r="F92" s="7">
        <f t="shared" si="33"/>
        <v>0</v>
      </c>
      <c r="G92" s="2"/>
      <c r="H92" s="6"/>
      <c r="I92" s="2"/>
      <c r="J92" s="7">
        <f t="shared" si="34"/>
        <v>0</v>
      </c>
      <c r="K92" s="2"/>
      <c r="L92" s="6">
        <f t="shared" si="35"/>
        <v>0</v>
      </c>
      <c r="M92" s="2"/>
      <c r="N92" s="7">
        <f t="shared" si="36"/>
        <v>0</v>
      </c>
      <c r="O92" s="11"/>
      <c r="P92" s="6">
        <v>0</v>
      </c>
      <c r="Q92" s="2"/>
      <c r="R92" s="7">
        <f t="shared" si="37"/>
        <v>0</v>
      </c>
      <c r="S92" s="2"/>
      <c r="T92" s="6">
        <v>-68.959999999999994</v>
      </c>
      <c r="U92" s="2"/>
      <c r="V92" s="7">
        <f t="shared" si="38"/>
        <v>-2.8992413161395199E-4</v>
      </c>
      <c r="W92" s="2"/>
      <c r="X92" s="6">
        <f t="shared" si="39"/>
        <v>68.959999999999994</v>
      </c>
      <c r="Y92" s="2"/>
      <c r="Z92" s="7">
        <f t="shared" si="40"/>
        <v>-1</v>
      </c>
    </row>
    <row r="93" spans="1:26" s="25" customFormat="1" outlineLevel="1" collapsed="1" x14ac:dyDescent="0.25">
      <c r="A93" s="27"/>
      <c r="B93" s="13" t="str">
        <f>CONCATENATE("     ","General                                           ")</f>
        <v xml:space="preserve">     General                                           </v>
      </c>
      <c r="C93" s="13"/>
      <c r="D93" s="1">
        <f>SUM(OSRRefD22_5x_0)</f>
        <v>0</v>
      </c>
      <c r="E93" s="1"/>
      <c r="F93" s="5">
        <f t="shared" ref="F93:F103" si="41">IF(D$12=0,0,D93/D$12)</f>
        <v>0</v>
      </c>
      <c r="G93" s="1"/>
      <c r="H93" s="1">
        <f>SUM(OSRRefH22_5x_0)</f>
        <v>0</v>
      </c>
      <c r="I93" s="1"/>
      <c r="J93" s="5">
        <f t="shared" ref="J93:J103" si="42">IF(H$12=0,0,H93/H$12)</f>
        <v>0</v>
      </c>
      <c r="K93" s="1"/>
      <c r="L93" s="1">
        <f t="shared" ref="L93:L103" si="43">+D93-H93</f>
        <v>0</v>
      </c>
      <c r="M93" s="1"/>
      <c r="N93" s="5">
        <f t="shared" ref="N93:N103" si="44">IF(H93=0,0,L93/H93)</f>
        <v>0</v>
      </c>
      <c r="O93" s="13"/>
      <c r="P93" s="1">
        <f>SUM(OSRRefP22_5x_0)</f>
        <v>794.05</v>
      </c>
      <c r="Q93" s="1"/>
      <c r="R93" s="5">
        <f t="shared" ref="R93:R103" si="45">IF(P$12=0,0,P93/P$12)</f>
        <v>3.2132097498993404E-3</v>
      </c>
      <c r="S93" s="1"/>
      <c r="T93" s="1">
        <f>SUM(OSRRefT22_5x_0)</f>
        <v>669.2</v>
      </c>
      <c r="U93" s="1"/>
      <c r="V93" s="5">
        <f t="shared" ref="V93:V103" si="46">IF(T$12=0,0,T93/T$12)</f>
        <v>2.8134748966945579E-3</v>
      </c>
      <c r="W93" s="1"/>
      <c r="X93" s="1">
        <f t="shared" ref="X93:X103" si="47">+P93-T93</f>
        <v>124.84999999999991</v>
      </c>
      <c r="Y93" s="1"/>
      <c r="Z93" s="5">
        <f t="shared" ref="Z93:Z103" si="48">IF(T93=0,0,X93/T93)</f>
        <v>0.1865660490137476</v>
      </c>
    </row>
    <row r="94" spans="1:26" s="24" customFormat="1" hidden="1" outlineLevel="2" x14ac:dyDescent="0.25">
      <c r="A94" s="26"/>
      <c r="B94" s="11" t="str">
        <f>CONCATENATE("          ", "6279", " - ", "GENERAL EXPENSE")</f>
        <v xml:space="preserve">          6279 - GENERAL EXPENSE</v>
      </c>
      <c r="C94" s="11"/>
      <c r="D94" s="6"/>
      <c r="E94" s="2"/>
      <c r="F94" s="7">
        <f t="shared" si="41"/>
        <v>0</v>
      </c>
      <c r="G94" s="2"/>
      <c r="H94" s="6"/>
      <c r="I94" s="2"/>
      <c r="J94" s="7">
        <f t="shared" si="42"/>
        <v>0</v>
      </c>
      <c r="K94" s="2"/>
      <c r="L94" s="6">
        <f t="shared" si="43"/>
        <v>0</v>
      </c>
      <c r="M94" s="2"/>
      <c r="N94" s="7">
        <f t="shared" si="44"/>
        <v>0</v>
      </c>
      <c r="O94" s="11"/>
      <c r="P94" s="6">
        <v>794.05</v>
      </c>
      <c r="Q94" s="2"/>
      <c r="R94" s="7">
        <f t="shared" si="45"/>
        <v>3.2132097498993404E-3</v>
      </c>
      <c r="S94" s="2"/>
      <c r="T94" s="6">
        <v>669.2</v>
      </c>
      <c r="U94" s="2"/>
      <c r="V94" s="7">
        <f t="shared" si="46"/>
        <v>2.8134748966945579E-3</v>
      </c>
      <c r="W94" s="2"/>
      <c r="X94" s="6">
        <f t="shared" si="47"/>
        <v>124.84999999999991</v>
      </c>
      <c r="Y94" s="2"/>
      <c r="Z94" s="7">
        <f t="shared" si="48"/>
        <v>0.1865660490137476</v>
      </c>
    </row>
    <row r="95" spans="1:26" s="25" customFormat="1" outlineLevel="1" collapsed="1" x14ac:dyDescent="0.25">
      <c r="A95" s="27"/>
      <c r="B95" s="13" t="str">
        <f>CONCATENATE("     ","Inventory Adjustment                              ")</f>
        <v xml:space="preserve">     Inventory Adjustment                              </v>
      </c>
      <c r="C95" s="13"/>
      <c r="D95" s="1">
        <f>SUM(OSRRefD22_6x_0)</f>
        <v>0</v>
      </c>
      <c r="E95" s="1"/>
      <c r="F95" s="5">
        <f t="shared" si="41"/>
        <v>0</v>
      </c>
      <c r="G95" s="1"/>
      <c r="H95" s="1">
        <f>SUM(OSRRefH22_6x_0)</f>
        <v>400</v>
      </c>
      <c r="I95" s="1"/>
      <c r="J95" s="5">
        <f t="shared" si="42"/>
        <v>1.1200983446346591E-2</v>
      </c>
      <c r="K95" s="1"/>
      <c r="L95" s="1">
        <f t="shared" si="43"/>
        <v>-400</v>
      </c>
      <c r="M95" s="1"/>
      <c r="N95" s="5">
        <f t="shared" si="44"/>
        <v>-1</v>
      </c>
      <c r="O95" s="13"/>
      <c r="P95" s="1">
        <f>SUM(OSRRefP22_6x_0)</f>
        <v>0</v>
      </c>
      <c r="Q95" s="1"/>
      <c r="R95" s="5">
        <f t="shared" si="45"/>
        <v>0</v>
      </c>
      <c r="S95" s="1"/>
      <c r="T95" s="1">
        <f>SUM(OSRRefT22_6x_0)</f>
        <v>2000</v>
      </c>
      <c r="U95" s="1"/>
      <c r="V95" s="5">
        <f t="shared" si="46"/>
        <v>8.4084724946041772E-3</v>
      </c>
      <c r="W95" s="1"/>
      <c r="X95" s="1">
        <f t="shared" si="47"/>
        <v>-2000</v>
      </c>
      <c r="Y95" s="1"/>
      <c r="Z95" s="5">
        <f t="shared" si="48"/>
        <v>-1</v>
      </c>
    </row>
    <row r="96" spans="1:26" s="24" customFormat="1" hidden="1" outlineLevel="2" x14ac:dyDescent="0.25">
      <c r="A96" s="26"/>
      <c r="B96" s="11" t="str">
        <f>CONCATENATE("          ", "6408", " - ", "INVENTORY ADJUSTMENT")</f>
        <v xml:space="preserve">          6408 - INVENTORY ADJUSTMENT</v>
      </c>
      <c r="C96" s="11"/>
      <c r="D96" s="6"/>
      <c r="E96" s="2"/>
      <c r="F96" s="7">
        <f t="shared" si="41"/>
        <v>0</v>
      </c>
      <c r="G96" s="2"/>
      <c r="H96" s="6">
        <v>400</v>
      </c>
      <c r="I96" s="2"/>
      <c r="J96" s="7">
        <f t="shared" si="42"/>
        <v>1.1200983446346591E-2</v>
      </c>
      <c r="K96" s="2"/>
      <c r="L96" s="6">
        <f t="shared" si="43"/>
        <v>-400</v>
      </c>
      <c r="M96" s="2"/>
      <c r="N96" s="7">
        <f t="shared" si="44"/>
        <v>-1</v>
      </c>
      <c r="O96" s="11"/>
      <c r="P96" s="6"/>
      <c r="Q96" s="2"/>
      <c r="R96" s="7">
        <f t="shared" si="45"/>
        <v>0</v>
      </c>
      <c r="S96" s="2"/>
      <c r="T96" s="6">
        <v>2000</v>
      </c>
      <c r="U96" s="2"/>
      <c r="V96" s="7">
        <f t="shared" si="46"/>
        <v>8.4084724946041772E-3</v>
      </c>
      <c r="W96" s="2"/>
      <c r="X96" s="6">
        <f t="shared" si="47"/>
        <v>-2000</v>
      </c>
      <c r="Y96" s="2"/>
      <c r="Z96" s="7">
        <f t="shared" si="48"/>
        <v>-1</v>
      </c>
    </row>
    <row r="97" spans="1:26" s="25" customFormat="1" outlineLevel="1" collapsed="1" x14ac:dyDescent="0.25">
      <c r="A97" s="27"/>
      <c r="B97" s="13" t="str">
        <f>CONCATENATE("     ","Professional Services                             ")</f>
        <v xml:space="preserve">     Professional Services                             </v>
      </c>
      <c r="C97" s="13"/>
      <c r="D97" s="1">
        <f>SUM(OSRRefD22_7x_0)</f>
        <v>0</v>
      </c>
      <c r="E97" s="1"/>
      <c r="F97" s="5">
        <f t="shared" si="41"/>
        <v>0</v>
      </c>
      <c r="G97" s="1"/>
      <c r="H97" s="1">
        <f>SUM(OSRRefH22_7x_0)</f>
        <v>0</v>
      </c>
      <c r="I97" s="1"/>
      <c r="J97" s="5">
        <f t="shared" si="42"/>
        <v>0</v>
      </c>
      <c r="K97" s="1"/>
      <c r="L97" s="1">
        <f t="shared" si="43"/>
        <v>0</v>
      </c>
      <c r="M97" s="1"/>
      <c r="N97" s="5">
        <f t="shared" si="44"/>
        <v>0</v>
      </c>
      <c r="O97" s="13"/>
      <c r="P97" s="1">
        <f>SUM(OSRRefP22_7x_0)</f>
        <v>750</v>
      </c>
      <c r="Q97" s="1"/>
      <c r="R97" s="5">
        <f t="shared" si="45"/>
        <v>3.0349566304697507E-3</v>
      </c>
      <c r="S97" s="1"/>
      <c r="T97" s="1">
        <f>SUM(OSRRefT22_7x_0)</f>
        <v>750</v>
      </c>
      <c r="U97" s="1"/>
      <c r="V97" s="5">
        <f t="shared" si="46"/>
        <v>3.1531771854765665E-3</v>
      </c>
      <c r="W97" s="1"/>
      <c r="X97" s="1">
        <f t="shared" si="47"/>
        <v>0</v>
      </c>
      <c r="Y97" s="1"/>
      <c r="Z97" s="5">
        <f t="shared" si="48"/>
        <v>0</v>
      </c>
    </row>
    <row r="98" spans="1:26" s="24" customFormat="1" hidden="1" outlineLevel="2" x14ac:dyDescent="0.25">
      <c r="A98" s="26"/>
      <c r="B98" s="11" t="str">
        <f>CONCATENATE("          ", "6336", " - ", "PROFESSIONAL SERVICES")</f>
        <v xml:space="preserve">          6336 - PROFESSIONAL SERVICES</v>
      </c>
      <c r="C98" s="11"/>
      <c r="D98" s="6"/>
      <c r="E98" s="2"/>
      <c r="F98" s="7">
        <f t="shared" si="41"/>
        <v>0</v>
      </c>
      <c r="G98" s="2"/>
      <c r="H98" s="6"/>
      <c r="I98" s="2"/>
      <c r="J98" s="7">
        <f t="shared" si="42"/>
        <v>0</v>
      </c>
      <c r="K98" s="2"/>
      <c r="L98" s="6">
        <f t="shared" si="43"/>
        <v>0</v>
      </c>
      <c r="M98" s="2"/>
      <c r="N98" s="7">
        <f t="shared" si="44"/>
        <v>0</v>
      </c>
      <c r="O98" s="11"/>
      <c r="P98" s="6">
        <v>750</v>
      </c>
      <c r="Q98" s="2"/>
      <c r="R98" s="7">
        <f t="shared" si="45"/>
        <v>3.0349566304697507E-3</v>
      </c>
      <c r="S98" s="2"/>
      <c r="T98" s="6">
        <v>750</v>
      </c>
      <c r="U98" s="2"/>
      <c r="V98" s="7">
        <f t="shared" si="46"/>
        <v>3.1531771854765665E-3</v>
      </c>
      <c r="W98" s="2"/>
      <c r="X98" s="6">
        <f t="shared" si="47"/>
        <v>0</v>
      </c>
      <c r="Y98" s="2"/>
      <c r="Z98" s="7">
        <f t="shared" si="48"/>
        <v>0</v>
      </c>
    </row>
    <row r="99" spans="1:26" s="25" customFormat="1" outlineLevel="1" collapsed="1" x14ac:dyDescent="0.25">
      <c r="A99" s="27"/>
      <c r="B99" s="13" t="str">
        <f>CONCATENATE("     ","Rent                                              ")</f>
        <v xml:space="preserve">     Rent                                              </v>
      </c>
      <c r="C99" s="13"/>
      <c r="D99" s="1">
        <f>SUM(OSRRefD22_8x_0)</f>
        <v>0</v>
      </c>
      <c r="E99" s="1"/>
      <c r="F99" s="5">
        <f t="shared" si="41"/>
        <v>0</v>
      </c>
      <c r="G99" s="1"/>
      <c r="H99" s="1">
        <f>SUM(OSRRefH22_8x_0)</f>
        <v>-0.23</v>
      </c>
      <c r="I99" s="1"/>
      <c r="J99" s="5">
        <f t="shared" si="42"/>
        <v>-6.44056548164929E-6</v>
      </c>
      <c r="K99" s="1"/>
      <c r="L99" s="1">
        <f t="shared" si="43"/>
        <v>0.23</v>
      </c>
      <c r="M99" s="1"/>
      <c r="N99" s="5">
        <f t="shared" si="44"/>
        <v>-1</v>
      </c>
      <c r="O99" s="13"/>
      <c r="P99" s="1">
        <f>SUM(OSRRefP22_8x_0)</f>
        <v>0</v>
      </c>
      <c r="Q99" s="1"/>
      <c r="R99" s="5">
        <f t="shared" si="45"/>
        <v>0</v>
      </c>
      <c r="S99" s="1"/>
      <c r="T99" s="1">
        <f>SUM(OSRRefT22_8x_0)</f>
        <v>-0.23</v>
      </c>
      <c r="U99" s="1"/>
      <c r="V99" s="5">
        <f t="shared" si="46"/>
        <v>-9.6697433687948054E-7</v>
      </c>
      <c r="W99" s="1"/>
      <c r="X99" s="1">
        <f t="shared" si="47"/>
        <v>0.23</v>
      </c>
      <c r="Y99" s="1"/>
      <c r="Z99" s="5">
        <f t="shared" si="48"/>
        <v>-1</v>
      </c>
    </row>
    <row r="100" spans="1:26" s="24" customFormat="1" hidden="1" outlineLevel="2" x14ac:dyDescent="0.25">
      <c r="A100" s="26"/>
      <c r="B100" s="11" t="str">
        <f>CONCATENATE("          ", "6273", " - ", "RENT")</f>
        <v xml:space="preserve">          6273 - RENT</v>
      </c>
      <c r="C100" s="11"/>
      <c r="D100" s="6"/>
      <c r="E100" s="2"/>
      <c r="F100" s="7">
        <f t="shared" si="41"/>
        <v>0</v>
      </c>
      <c r="G100" s="2"/>
      <c r="H100" s="6">
        <v>-0.23</v>
      </c>
      <c r="I100" s="2"/>
      <c r="J100" s="7">
        <f t="shared" si="42"/>
        <v>-6.44056548164929E-6</v>
      </c>
      <c r="K100" s="2"/>
      <c r="L100" s="6">
        <f t="shared" si="43"/>
        <v>0.23</v>
      </c>
      <c r="M100" s="2"/>
      <c r="N100" s="7">
        <f t="shared" si="44"/>
        <v>-1</v>
      </c>
      <c r="O100" s="11"/>
      <c r="P100" s="6"/>
      <c r="Q100" s="2"/>
      <c r="R100" s="7">
        <f t="shared" si="45"/>
        <v>0</v>
      </c>
      <c r="S100" s="2"/>
      <c r="T100" s="6">
        <v>-0.23</v>
      </c>
      <c r="U100" s="2"/>
      <c r="V100" s="7">
        <f t="shared" si="46"/>
        <v>-9.6697433687948054E-7</v>
      </c>
      <c r="W100" s="2"/>
      <c r="X100" s="6">
        <f t="shared" si="47"/>
        <v>0.23</v>
      </c>
      <c r="Y100" s="2"/>
      <c r="Z100" s="7">
        <f t="shared" si="48"/>
        <v>-1</v>
      </c>
    </row>
    <row r="101" spans="1:26" s="25" customFormat="1" outlineLevel="1" collapsed="1" x14ac:dyDescent="0.25">
      <c r="A101" s="27"/>
      <c r="B101" s="13" t="str">
        <f>CONCATENATE("     ","Repair and Maintenance                            ")</f>
        <v xml:space="preserve">     Repair and Maintenance                            </v>
      </c>
      <c r="C101" s="13"/>
      <c r="D101" s="1">
        <f>SUM(OSRRefD22_9x_0)</f>
        <v>0</v>
      </c>
      <c r="E101" s="1"/>
      <c r="F101" s="5">
        <f t="shared" si="41"/>
        <v>0</v>
      </c>
      <c r="G101" s="1"/>
      <c r="H101" s="1">
        <f>SUM(OSRRefH22_9x_0)</f>
        <v>0</v>
      </c>
      <c r="I101" s="1"/>
      <c r="J101" s="5">
        <f t="shared" si="42"/>
        <v>0</v>
      </c>
      <c r="K101" s="1"/>
      <c r="L101" s="1">
        <f t="shared" si="43"/>
        <v>0</v>
      </c>
      <c r="M101" s="1"/>
      <c r="N101" s="5">
        <f t="shared" si="44"/>
        <v>0</v>
      </c>
      <c r="O101" s="13"/>
      <c r="P101" s="1">
        <f>SUM(OSRRefP22_9x_0)</f>
        <v>68.42</v>
      </c>
      <c r="Q101" s="1"/>
      <c r="R101" s="5">
        <f t="shared" si="45"/>
        <v>2.7686897687565377E-4</v>
      </c>
      <c r="S101" s="1"/>
      <c r="T101" s="1">
        <f>SUM(OSRRefT22_9x_0)</f>
        <v>49.62</v>
      </c>
      <c r="U101" s="1"/>
      <c r="V101" s="5">
        <f t="shared" si="46"/>
        <v>2.0861420259112964E-4</v>
      </c>
      <c r="W101" s="1"/>
      <c r="X101" s="1">
        <f t="shared" si="47"/>
        <v>18.800000000000004</v>
      </c>
      <c r="Y101" s="1"/>
      <c r="Z101" s="5">
        <f t="shared" si="48"/>
        <v>0.37887948407900052</v>
      </c>
    </row>
    <row r="102" spans="1:26" s="24" customFormat="1" hidden="1" outlineLevel="2" x14ac:dyDescent="0.25">
      <c r="A102" s="26"/>
      <c r="B102" s="11" t="str">
        <f>CONCATENATE("          ", "6373", " - ", "MAINTENANCE CONTRACTS")</f>
        <v xml:space="preserve">          6373 - MAINTENANCE CONTRACTS</v>
      </c>
      <c r="C102" s="11"/>
      <c r="D102" s="6"/>
      <c r="E102" s="2"/>
      <c r="F102" s="7">
        <f t="shared" si="41"/>
        <v>0</v>
      </c>
      <c r="G102" s="2"/>
      <c r="H102" s="6"/>
      <c r="I102" s="2"/>
      <c r="J102" s="7">
        <f t="shared" si="42"/>
        <v>0</v>
      </c>
      <c r="K102" s="2"/>
      <c r="L102" s="6">
        <f t="shared" si="43"/>
        <v>0</v>
      </c>
      <c r="M102" s="2"/>
      <c r="N102" s="7">
        <f t="shared" si="44"/>
        <v>0</v>
      </c>
      <c r="O102" s="11"/>
      <c r="P102" s="6">
        <v>58.62</v>
      </c>
      <c r="Q102" s="2"/>
      <c r="R102" s="7">
        <f t="shared" si="45"/>
        <v>2.372122102375157E-4</v>
      </c>
      <c r="S102" s="2"/>
      <c r="T102" s="6">
        <v>49.62</v>
      </c>
      <c r="U102" s="2"/>
      <c r="V102" s="7">
        <f t="shared" si="46"/>
        <v>2.0861420259112964E-4</v>
      </c>
      <c r="W102" s="2"/>
      <c r="X102" s="6">
        <f t="shared" si="47"/>
        <v>9</v>
      </c>
      <c r="Y102" s="2"/>
      <c r="Z102" s="7">
        <f t="shared" si="48"/>
        <v>0.18137847642079807</v>
      </c>
    </row>
    <row r="103" spans="1:26" s="24" customFormat="1" hidden="1" outlineLevel="2" x14ac:dyDescent="0.25">
      <c r="A103" s="26"/>
      <c r="B103" s="11" t="str">
        <f>CONCATENATE("          ", "6375", " - ", "OUTSIDE REPAIRS &amp; MAINTENANCE")</f>
        <v xml:space="preserve">          6375 - OUTSIDE REPAIRS &amp; MAINTENANCE</v>
      </c>
      <c r="C103" s="11"/>
      <c r="D103" s="6"/>
      <c r="E103" s="2"/>
      <c r="F103" s="7">
        <f t="shared" si="41"/>
        <v>0</v>
      </c>
      <c r="G103" s="2"/>
      <c r="H103" s="6"/>
      <c r="I103" s="2"/>
      <c r="J103" s="7">
        <f t="shared" si="42"/>
        <v>0</v>
      </c>
      <c r="K103" s="2"/>
      <c r="L103" s="6">
        <f t="shared" si="43"/>
        <v>0</v>
      </c>
      <c r="M103" s="2"/>
      <c r="N103" s="7">
        <f t="shared" si="44"/>
        <v>0</v>
      </c>
      <c r="O103" s="11"/>
      <c r="P103" s="6">
        <v>9.8000000000000007</v>
      </c>
      <c r="Q103" s="2"/>
      <c r="R103" s="7">
        <f t="shared" si="45"/>
        <v>3.9656766638138078E-5</v>
      </c>
      <c r="S103" s="2"/>
      <c r="T103" s="6"/>
      <c r="U103" s="2"/>
      <c r="V103" s="7">
        <f t="shared" si="46"/>
        <v>0</v>
      </c>
      <c r="W103" s="2"/>
      <c r="X103" s="6">
        <f t="shared" si="47"/>
        <v>9.8000000000000007</v>
      </c>
      <c r="Y103" s="2"/>
      <c r="Z103" s="7">
        <f t="shared" si="48"/>
        <v>0</v>
      </c>
    </row>
    <row r="104" spans="1:26" s="25" customFormat="1" outlineLevel="1" collapsed="1" x14ac:dyDescent="0.25">
      <c r="A104" s="27"/>
      <c r="B104" s="13" t="str">
        <f>CONCATENATE("     ","Services                                          ")</f>
        <v xml:space="preserve">     Services                                          </v>
      </c>
      <c r="C104" s="13"/>
      <c r="D104" s="1">
        <f>SUM(OSRRefD22_10x_0)</f>
        <v>150.81</v>
      </c>
      <c r="E104" s="1"/>
      <c r="F104" s="5">
        <f t="shared" ref="F104:F106" si="49">IF(D$12=0,0,D104/D$12)</f>
        <v>3.2779160270118889E-3</v>
      </c>
      <c r="G104" s="1"/>
      <c r="H104" s="1">
        <f>SUM(OSRRefH22_10x_0)</f>
        <v>180.66000000000003</v>
      </c>
      <c r="I104" s="1"/>
      <c r="J104" s="5">
        <f t="shared" ref="J104:J106" si="50">IF(H$12=0,0,H104/H$12)</f>
        <v>5.0589241735424385E-3</v>
      </c>
      <c r="K104" s="1"/>
      <c r="L104" s="1">
        <f t="shared" ref="L104:L106" si="51">+D104-H104</f>
        <v>-29.850000000000023</v>
      </c>
      <c r="M104" s="1"/>
      <c r="N104" s="5">
        <f t="shared" ref="N104:N106" si="52">IF(H104=0,0,L104/H104)</f>
        <v>-0.16522749916971116</v>
      </c>
      <c r="O104" s="13"/>
      <c r="P104" s="1">
        <f>SUM(OSRRefP22_10x_0)</f>
        <v>1121.03</v>
      </c>
      <c r="Q104" s="1"/>
      <c r="R104" s="5">
        <f t="shared" ref="R104:R106" si="53">IF(P$12=0,0,P104/P$12)</f>
        <v>4.5363699086073388E-3</v>
      </c>
      <c r="S104" s="1"/>
      <c r="T104" s="1">
        <f>SUM(OSRRefT22_10x_0)</f>
        <v>1018.78</v>
      </c>
      <c r="U104" s="1"/>
      <c r="V104" s="5">
        <f t="shared" ref="V104:V106" si="54">IF(T$12=0,0,T104/T$12)</f>
        <v>4.2831918040264223E-3</v>
      </c>
      <c r="W104" s="1"/>
      <c r="X104" s="1">
        <f t="shared" ref="X104:X106" si="55">+P104-T104</f>
        <v>102.25</v>
      </c>
      <c r="Y104" s="1"/>
      <c r="Z104" s="5">
        <f t="shared" ref="Z104:Z106" si="56">IF(T104=0,0,X104/T104)</f>
        <v>0.10036514262156697</v>
      </c>
    </row>
    <row r="105" spans="1:26" s="24" customFormat="1" hidden="1" outlineLevel="2" x14ac:dyDescent="0.25">
      <c r="A105" s="26"/>
      <c r="B105" s="11" t="str">
        <f>CONCATENATE("          ", "6282", " - ", "JANITORIAL/EXTERMINATOR EXPENS")</f>
        <v xml:space="preserve">          6282 - JANITORIAL/EXTERMINATOR EXPENS</v>
      </c>
      <c r="C105" s="11"/>
      <c r="D105" s="6">
        <v>44</v>
      </c>
      <c r="E105" s="2"/>
      <c r="F105" s="7">
        <f t="shared" si="49"/>
        <v>9.563577029939865E-4</v>
      </c>
      <c r="G105" s="2"/>
      <c r="H105" s="6">
        <v>76.290000000000006</v>
      </c>
      <c r="I105" s="2"/>
      <c r="J105" s="7">
        <f t="shared" si="50"/>
        <v>2.1363075678044537E-3</v>
      </c>
      <c r="K105" s="2"/>
      <c r="L105" s="6">
        <f t="shared" si="51"/>
        <v>-32.290000000000006</v>
      </c>
      <c r="M105" s="2"/>
      <c r="N105" s="7">
        <f t="shared" si="52"/>
        <v>-0.42325337527854245</v>
      </c>
      <c r="O105" s="11"/>
      <c r="P105" s="6">
        <v>220</v>
      </c>
      <c r="Q105" s="2"/>
      <c r="R105" s="7">
        <f t="shared" si="53"/>
        <v>8.9025394493779351E-4</v>
      </c>
      <c r="S105" s="2"/>
      <c r="T105" s="6">
        <v>200.79</v>
      </c>
      <c r="U105" s="2"/>
      <c r="V105" s="7">
        <f t="shared" si="54"/>
        <v>8.4416859609578641E-4</v>
      </c>
      <c r="W105" s="2"/>
      <c r="X105" s="6">
        <f t="shared" si="55"/>
        <v>19.210000000000008</v>
      </c>
      <c r="Y105" s="2"/>
      <c r="Z105" s="7">
        <f t="shared" si="56"/>
        <v>9.5672095223865772E-2</v>
      </c>
    </row>
    <row r="106" spans="1:26" s="24" customFormat="1" hidden="1" outlineLevel="2" x14ac:dyDescent="0.25">
      <c r="A106" s="26"/>
      <c r="B106" s="11" t="str">
        <f>CONCATENATE("          ", "6285", " - ", "JANITORIAL SERVICES")</f>
        <v xml:space="preserve">          6285 - JANITORIAL SERVICES</v>
      </c>
      <c r="C106" s="11"/>
      <c r="D106" s="6">
        <v>106.81</v>
      </c>
      <c r="E106" s="2"/>
      <c r="F106" s="7">
        <f t="shared" si="49"/>
        <v>2.3215583240179024E-3</v>
      </c>
      <c r="G106" s="2"/>
      <c r="H106" s="6">
        <v>104.37</v>
      </c>
      <c r="I106" s="2"/>
      <c r="J106" s="7">
        <f t="shared" si="50"/>
        <v>2.9226166057379844E-3</v>
      </c>
      <c r="K106" s="2"/>
      <c r="L106" s="6">
        <f t="shared" si="51"/>
        <v>2.4399999999999977</v>
      </c>
      <c r="M106" s="2"/>
      <c r="N106" s="7">
        <f t="shared" si="52"/>
        <v>2.3378365430679292E-2</v>
      </c>
      <c r="O106" s="11"/>
      <c r="P106" s="6">
        <v>901.03</v>
      </c>
      <c r="Q106" s="2"/>
      <c r="R106" s="7">
        <f t="shared" si="53"/>
        <v>3.6461159636695458E-3</v>
      </c>
      <c r="S106" s="2"/>
      <c r="T106" s="6">
        <v>817.99</v>
      </c>
      <c r="U106" s="2"/>
      <c r="V106" s="7">
        <f t="shared" si="54"/>
        <v>3.4390232079306356E-3</v>
      </c>
      <c r="W106" s="2"/>
      <c r="X106" s="6">
        <f t="shared" si="55"/>
        <v>83.039999999999964</v>
      </c>
      <c r="Y106" s="2"/>
      <c r="Z106" s="7">
        <f t="shared" si="56"/>
        <v>0.10151713346128921</v>
      </c>
    </row>
    <row r="107" spans="1:26" s="25" customFormat="1" outlineLevel="1" collapsed="1" x14ac:dyDescent="0.25">
      <c r="A107" s="27"/>
      <c r="B107" s="13" t="str">
        <f>CONCATENATE("     ","Supplies                                          ")</f>
        <v xml:space="preserve">     Supplies                                          </v>
      </c>
      <c r="C107" s="13"/>
      <c r="D107" s="1">
        <f>SUM(OSRRefD22_11x_0)</f>
        <v>405.98</v>
      </c>
      <c r="E107" s="1"/>
      <c r="F107" s="5">
        <f t="shared" ref="F107:F109" si="57">IF(D$12=0,0,D107/D$12)</f>
        <v>8.8241386423067881E-3</v>
      </c>
      <c r="G107" s="1"/>
      <c r="H107" s="1">
        <f>SUM(OSRRefH22_11x_0)</f>
        <v>158.72999999999999</v>
      </c>
      <c r="I107" s="1"/>
      <c r="J107" s="5">
        <f t="shared" ref="J107:J109" si="58">IF(H$12=0,0,H107/H$12)</f>
        <v>4.4448302560964855E-3</v>
      </c>
      <c r="K107" s="1"/>
      <c r="L107" s="1">
        <f t="shared" ref="L107:L109" si="59">+D107-H107</f>
        <v>247.25000000000003</v>
      </c>
      <c r="M107" s="1"/>
      <c r="N107" s="5">
        <f t="shared" ref="N107:N109" si="60">IF(H107=0,0,L107/H107)</f>
        <v>1.5576765576765579</v>
      </c>
      <c r="O107" s="13"/>
      <c r="P107" s="1">
        <f>SUM(OSRRefP22_11x_0)</f>
        <v>978.17</v>
      </c>
      <c r="Q107" s="1"/>
      <c r="R107" s="5">
        <f t="shared" ref="R107:R109" si="61">IF(P$12=0,0,P107/P$12)</f>
        <v>3.9582713696354613E-3</v>
      </c>
      <c r="S107" s="1"/>
      <c r="T107" s="1">
        <f>SUM(OSRRefT22_11x_0)</f>
        <v>668.35</v>
      </c>
      <c r="U107" s="1"/>
      <c r="V107" s="5">
        <f t="shared" ref="V107:V109" si="62">IF(T$12=0,0,T107/T$12)</f>
        <v>2.8099012958843509E-3</v>
      </c>
      <c r="W107" s="1"/>
      <c r="X107" s="1">
        <f t="shared" ref="X107:X109" si="63">+P107-T107</f>
        <v>309.81999999999994</v>
      </c>
      <c r="Y107" s="1"/>
      <c r="Z107" s="5">
        <f t="shared" ref="Z107:Z109" si="64">IF(T107=0,0,X107/T107)</f>
        <v>0.46355951223161507</v>
      </c>
    </row>
    <row r="108" spans="1:26" s="24" customFormat="1" hidden="1" outlineLevel="2" x14ac:dyDescent="0.25">
      <c r="A108" s="26"/>
      <c r="B108" s="11" t="str">
        <f>CONCATENATE("          ", "6241", " - ", "OFFICE EXPENSE")</f>
        <v xml:space="preserve">          6241 - OFFICE EXPENSE</v>
      </c>
      <c r="C108" s="11"/>
      <c r="D108" s="6">
        <v>405.98</v>
      </c>
      <c r="E108" s="2"/>
      <c r="F108" s="7">
        <f t="shared" si="57"/>
        <v>8.8241386423067881E-3</v>
      </c>
      <c r="G108" s="2"/>
      <c r="H108" s="6">
        <v>159.03</v>
      </c>
      <c r="I108" s="2"/>
      <c r="J108" s="7">
        <f t="shared" si="58"/>
        <v>4.4532309936812457E-3</v>
      </c>
      <c r="K108" s="2"/>
      <c r="L108" s="6">
        <f t="shared" si="59"/>
        <v>246.95000000000002</v>
      </c>
      <c r="M108" s="2"/>
      <c r="N108" s="7">
        <f t="shared" si="60"/>
        <v>1.5528516632081999</v>
      </c>
      <c r="O108" s="11"/>
      <c r="P108" s="6">
        <v>978.27</v>
      </c>
      <c r="Q108" s="2"/>
      <c r="R108" s="7">
        <f t="shared" si="61"/>
        <v>3.9586760305195239E-3</v>
      </c>
      <c r="S108" s="2"/>
      <c r="T108" s="6">
        <v>669.25</v>
      </c>
      <c r="U108" s="2"/>
      <c r="V108" s="7">
        <f t="shared" si="62"/>
        <v>2.8136851085069229E-3</v>
      </c>
      <c r="W108" s="2"/>
      <c r="X108" s="6">
        <f t="shared" si="63"/>
        <v>309.02</v>
      </c>
      <c r="Y108" s="2"/>
      <c r="Z108" s="7">
        <f t="shared" si="64"/>
        <v>0.46174075457601793</v>
      </c>
    </row>
    <row r="109" spans="1:26" s="24" customFormat="1" hidden="1" outlineLevel="2" x14ac:dyDescent="0.25">
      <c r="A109" s="26"/>
      <c r="B109" s="11" t="str">
        <f>CONCATENATE("          ", "6247", " - ", "STORE SUPPLIES")</f>
        <v xml:space="preserve">          6247 - STORE SUPPLIES</v>
      </c>
      <c r="C109" s="11"/>
      <c r="D109" s="6"/>
      <c r="E109" s="2"/>
      <c r="F109" s="7">
        <f t="shared" si="57"/>
        <v>0</v>
      </c>
      <c r="G109" s="2"/>
      <c r="H109" s="6">
        <v>-0.3</v>
      </c>
      <c r="I109" s="2"/>
      <c r="J109" s="7">
        <f t="shared" si="58"/>
        <v>-8.4007375847599426E-6</v>
      </c>
      <c r="K109" s="2"/>
      <c r="L109" s="6">
        <f t="shared" si="59"/>
        <v>0.3</v>
      </c>
      <c r="M109" s="2"/>
      <c r="N109" s="7">
        <f t="shared" si="60"/>
        <v>-1</v>
      </c>
      <c r="O109" s="11"/>
      <c r="P109" s="6">
        <v>-0.1</v>
      </c>
      <c r="Q109" s="2"/>
      <c r="R109" s="7">
        <f t="shared" si="61"/>
        <v>-4.0466088406263343E-7</v>
      </c>
      <c r="S109" s="2"/>
      <c r="T109" s="6">
        <v>-0.9</v>
      </c>
      <c r="U109" s="2"/>
      <c r="V109" s="7">
        <f t="shared" si="62"/>
        <v>-3.7838126225718802E-6</v>
      </c>
      <c r="W109" s="2"/>
      <c r="X109" s="6">
        <f t="shared" si="63"/>
        <v>0.8</v>
      </c>
      <c r="Y109" s="2"/>
      <c r="Z109" s="7">
        <f t="shared" si="64"/>
        <v>-0.88888888888888895</v>
      </c>
    </row>
    <row r="110" spans="1:26" s="25" customFormat="1" outlineLevel="1" collapsed="1" x14ac:dyDescent="0.25">
      <c r="A110" s="27"/>
      <c r="B110" s="13" t="str">
        <f>CONCATENATE("     ","Telephone/Data Lines                              ")</f>
        <v xml:space="preserve">     Telephone/Data Lines                              </v>
      </c>
      <c r="C110" s="13"/>
      <c r="D110" s="1">
        <f>SUM(OSRRefD22_12x_0)</f>
        <v>98.74</v>
      </c>
      <c r="E110" s="1"/>
      <c r="F110" s="5">
        <f t="shared" ref="F110:F113" si="65">IF(D$12=0,0,D110/D$12)</f>
        <v>2.1461536271278688E-3</v>
      </c>
      <c r="G110" s="1"/>
      <c r="H110" s="1">
        <f>SUM(OSRRefH22_12x_0)</f>
        <v>105</v>
      </c>
      <c r="I110" s="1"/>
      <c r="J110" s="5">
        <f t="shared" ref="J110:J113" si="66">IF(H$12=0,0,H110/H$12)</f>
        <v>2.94025815466598E-3</v>
      </c>
      <c r="K110" s="1"/>
      <c r="L110" s="1">
        <f t="shared" ref="L110:L113" si="67">+D110-H110</f>
        <v>-6.2600000000000051</v>
      </c>
      <c r="M110" s="1"/>
      <c r="N110" s="5">
        <f t="shared" ref="N110:N113" si="68">IF(H110=0,0,L110/H110)</f>
        <v>-5.9619047619047669E-2</v>
      </c>
      <c r="O110" s="13"/>
      <c r="P110" s="1">
        <f>SUM(OSRRefP22_12x_0)</f>
        <v>488.73</v>
      </c>
      <c r="Q110" s="1"/>
      <c r="R110" s="5">
        <f t="shared" ref="R110:R113" si="69">IF(P$12=0,0,P110/P$12)</f>
        <v>1.9776991386793084E-3</v>
      </c>
      <c r="S110" s="1"/>
      <c r="T110" s="1">
        <f>SUM(OSRRefT22_12x_0)</f>
        <v>448.75</v>
      </c>
      <c r="U110" s="1"/>
      <c r="V110" s="5">
        <f t="shared" ref="V110:V113" si="70">IF(T$12=0,0,T110/T$12)</f>
        <v>1.8866510159768124E-3</v>
      </c>
      <c r="W110" s="1"/>
      <c r="X110" s="1">
        <f t="shared" ref="X110:X113" si="71">+P110-T110</f>
        <v>39.980000000000018</v>
      </c>
      <c r="Y110" s="1"/>
      <c r="Z110" s="5">
        <f t="shared" ref="Z110:Z113" si="72">IF(T110=0,0,X110/T110)</f>
        <v>8.9091922005571075E-2</v>
      </c>
    </row>
    <row r="111" spans="1:26" s="24" customFormat="1" hidden="1" outlineLevel="2" x14ac:dyDescent="0.25">
      <c r="A111" s="26"/>
      <c r="B111" s="11" t="str">
        <f>CONCATENATE("          ", "6309", " - ", "TELEPHONE")</f>
        <v xml:space="preserve">          6309 - TELEPHONE</v>
      </c>
      <c r="C111" s="11"/>
      <c r="D111" s="6">
        <v>98.74</v>
      </c>
      <c r="E111" s="2"/>
      <c r="F111" s="7">
        <f t="shared" si="65"/>
        <v>2.1461536271278688E-3</v>
      </c>
      <c r="G111" s="2"/>
      <c r="H111" s="6">
        <v>105</v>
      </c>
      <c r="I111" s="2"/>
      <c r="J111" s="7">
        <f t="shared" si="66"/>
        <v>2.94025815466598E-3</v>
      </c>
      <c r="K111" s="2"/>
      <c r="L111" s="6">
        <f t="shared" si="67"/>
        <v>-6.2600000000000051</v>
      </c>
      <c r="M111" s="2"/>
      <c r="N111" s="7">
        <f t="shared" si="68"/>
        <v>-5.9619047619047669E-2</v>
      </c>
      <c r="O111" s="11"/>
      <c r="P111" s="6">
        <v>488.73</v>
      </c>
      <c r="Q111" s="2"/>
      <c r="R111" s="7">
        <f t="shared" si="69"/>
        <v>1.9776991386793084E-3</v>
      </c>
      <c r="S111" s="2"/>
      <c r="T111" s="6">
        <v>448.75</v>
      </c>
      <c r="U111" s="2"/>
      <c r="V111" s="7">
        <f t="shared" si="70"/>
        <v>1.8866510159768124E-3</v>
      </c>
      <c r="W111" s="2"/>
      <c r="X111" s="6">
        <f t="shared" si="71"/>
        <v>39.980000000000018</v>
      </c>
      <c r="Y111" s="2"/>
      <c r="Z111" s="7">
        <f t="shared" si="72"/>
        <v>8.9091922005571075E-2</v>
      </c>
    </row>
    <row r="112" spans="1:26" s="25" customFormat="1" outlineLevel="1" collapsed="1" x14ac:dyDescent="0.25">
      <c r="A112" s="27"/>
      <c r="B112" s="13" t="str">
        <f>CONCATENATE("     ","Training                                          ")</f>
        <v xml:space="preserve">     Training                                          </v>
      </c>
      <c r="C112" s="13"/>
      <c r="D112" s="1">
        <f>SUM(OSRRefD22_13x_0)</f>
        <v>0</v>
      </c>
      <c r="E112" s="1"/>
      <c r="F112" s="5">
        <f t="shared" si="65"/>
        <v>0</v>
      </c>
      <c r="G112" s="1"/>
      <c r="H112" s="1">
        <f>SUM(OSRRefH22_13x_0)</f>
        <v>0</v>
      </c>
      <c r="I112" s="1"/>
      <c r="J112" s="5">
        <f t="shared" si="66"/>
        <v>0</v>
      </c>
      <c r="K112" s="1"/>
      <c r="L112" s="1">
        <f t="shared" si="67"/>
        <v>0</v>
      </c>
      <c r="M112" s="1"/>
      <c r="N112" s="5">
        <f t="shared" si="68"/>
        <v>0</v>
      </c>
      <c r="O112" s="13"/>
      <c r="P112" s="1">
        <f>SUM(OSRRefP22_13x_0)</f>
        <v>80</v>
      </c>
      <c r="Q112" s="1"/>
      <c r="R112" s="5">
        <f t="shared" si="69"/>
        <v>3.2372870725010675E-4</v>
      </c>
      <c r="S112" s="1"/>
      <c r="T112" s="1">
        <f>SUM(OSRRefT22_13x_0)</f>
        <v>0</v>
      </c>
      <c r="U112" s="1"/>
      <c r="V112" s="5">
        <f t="shared" si="70"/>
        <v>0</v>
      </c>
      <c r="W112" s="1"/>
      <c r="X112" s="1">
        <f t="shared" si="71"/>
        <v>80</v>
      </c>
      <c r="Y112" s="1"/>
      <c r="Z112" s="5">
        <f t="shared" si="72"/>
        <v>0</v>
      </c>
    </row>
    <row r="113" spans="1:26" s="24" customFormat="1" hidden="1" outlineLevel="2" x14ac:dyDescent="0.25">
      <c r="A113" s="26"/>
      <c r="B113" s="11" t="str">
        <f>CONCATENATE("          ", "6376", " - ", "TRAINING")</f>
        <v xml:space="preserve">          6376 - TRAINING</v>
      </c>
      <c r="C113" s="11"/>
      <c r="D113" s="6"/>
      <c r="E113" s="2"/>
      <c r="F113" s="7">
        <f t="shared" si="65"/>
        <v>0</v>
      </c>
      <c r="G113" s="2"/>
      <c r="H113" s="6"/>
      <c r="I113" s="2"/>
      <c r="J113" s="7">
        <f t="shared" si="66"/>
        <v>0</v>
      </c>
      <c r="K113" s="2"/>
      <c r="L113" s="6">
        <f t="shared" si="67"/>
        <v>0</v>
      </c>
      <c r="M113" s="2"/>
      <c r="N113" s="7">
        <f t="shared" si="68"/>
        <v>0</v>
      </c>
      <c r="O113" s="11"/>
      <c r="P113" s="6">
        <v>80</v>
      </c>
      <c r="Q113" s="2"/>
      <c r="R113" s="7">
        <f t="shared" si="69"/>
        <v>3.2372870725010675E-4</v>
      </c>
      <c r="S113" s="2"/>
      <c r="T113" s="6"/>
      <c r="U113" s="2"/>
      <c r="V113" s="7">
        <f t="shared" si="70"/>
        <v>0</v>
      </c>
      <c r="W113" s="2"/>
      <c r="X113" s="6">
        <f t="shared" si="71"/>
        <v>80</v>
      </c>
      <c r="Y113" s="2"/>
      <c r="Z113" s="7">
        <f t="shared" si="72"/>
        <v>0</v>
      </c>
    </row>
    <row r="114" spans="1:26" s="53" customFormat="1" x14ac:dyDescent="0.25">
      <c r="A114" s="37"/>
      <c r="B114" s="37"/>
      <c r="C114" s="37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7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x14ac:dyDescent="0.25">
      <c r="A115" s="10"/>
      <c r="B115" s="28" t="s">
        <v>0</v>
      </c>
      <c r="C115" s="10"/>
      <c r="D115" s="4">
        <f>SUM(0)</f>
        <v>0</v>
      </c>
      <c r="E115" s="4"/>
      <c r="F115" s="12">
        <f>IF(D$12=0,0,D115/D$12)</f>
        <v>0</v>
      </c>
      <c r="G115" s="4"/>
      <c r="H115" s="4">
        <f>SUM(0)</f>
        <v>0</v>
      </c>
      <c r="I115" s="4"/>
      <c r="J115" s="12">
        <f>IF(H$12=0,0,H115/H$12)</f>
        <v>0</v>
      </c>
      <c r="K115" s="4"/>
      <c r="L115" s="4">
        <f>+D115-H115</f>
        <v>0</v>
      </c>
      <c r="M115" s="4"/>
      <c r="N115" s="12">
        <f>IF(H115=0,0,L115/H115)</f>
        <v>0</v>
      </c>
      <c r="O115" s="10"/>
      <c r="P115" s="4">
        <f>SUM(0)</f>
        <v>0</v>
      </c>
      <c r="Q115" s="4"/>
      <c r="R115" s="12">
        <f>IF(P$12=0,0,P115/P$12)</f>
        <v>0</v>
      </c>
      <c r="S115" s="4"/>
      <c r="T115" s="4">
        <f>SUM(0)</f>
        <v>0</v>
      </c>
      <c r="U115" s="4"/>
      <c r="V115" s="12">
        <f>IF(T$12=0,0,T115/T$12)</f>
        <v>0</v>
      </c>
      <c r="W115" s="4"/>
      <c r="X115" s="4">
        <f>+P115-T115</f>
        <v>0</v>
      </c>
      <c r="Y115" s="4"/>
      <c r="Z115" s="12">
        <f>IF(T115=0,0,X115/T115)</f>
        <v>0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10"/>
      <c r="B117" s="29" t="s">
        <v>3</v>
      </c>
      <c r="C117" s="29"/>
      <c r="D117" s="21">
        <f>+D69-D71+D115</f>
        <v>7766.5599999999995</v>
      </c>
      <c r="E117" s="14"/>
      <c r="F117" s="20">
        <f>IF(D$12=0,0,D117/D$12)</f>
        <v>0.16880930640374944</v>
      </c>
      <c r="G117" s="14"/>
      <c r="H117" s="21">
        <f>+H69-H71+H115</f>
        <v>11309.639999999996</v>
      </c>
      <c r="I117" s="14"/>
      <c r="J117" s="20">
        <f>IF(H$12=0,0,H117/H$12)</f>
        <v>0.31669772606034802</v>
      </c>
      <c r="K117" s="15"/>
      <c r="L117" s="21">
        <f>+D117-H117</f>
        <v>-3543.0799999999963</v>
      </c>
      <c r="M117" s="15"/>
      <c r="N117" s="20">
        <f>IF(H117=0,0,L117/H117)</f>
        <v>-0.31327964462175611</v>
      </c>
      <c r="O117" s="28"/>
      <c r="P117" s="21">
        <f>+P69-P71+P115</f>
        <v>56727.97999999996</v>
      </c>
      <c r="Q117" s="14"/>
      <c r="R117" s="20">
        <f>IF(P$12=0,0,P117/P$12)</f>
        <v>0.22955594537887369</v>
      </c>
      <c r="S117" s="14"/>
      <c r="T117" s="21">
        <f>+T69-T71+T115</f>
        <v>54528.420000000027</v>
      </c>
      <c r="U117" s="14"/>
      <c r="V117" s="20">
        <f>IF(T$12=0,0,T117/T$12)</f>
        <v>0.22925035987211229</v>
      </c>
      <c r="W117" s="15"/>
      <c r="X117" s="21">
        <f>+P117-T117</f>
        <v>2199.5599999999322</v>
      </c>
      <c r="Y117" s="15"/>
      <c r="Z117" s="20">
        <f>IF(T117=0,0,X117/T117)</f>
        <v>4.0337864181649336E-2</v>
      </c>
    </row>
    <row r="118" spans="1:26" x14ac:dyDescent="0.25">
      <c r="A118" s="9"/>
      <c r="B118" s="10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51"/>
      <c r="B119" s="10" t="s">
        <v>13</v>
      </c>
      <c r="C119" s="10"/>
      <c r="D119" s="4">
        <v>5923.88</v>
      </c>
      <c r="E119" s="4"/>
      <c r="F119" s="12">
        <f>IF(D$12=0,0,D119/D$12)</f>
        <v>0.12875791521845492</v>
      </c>
      <c r="G119" s="4"/>
      <c r="H119" s="4">
        <v>6462.83</v>
      </c>
      <c r="I119" s="4"/>
      <c r="J119" s="12">
        <f>IF(H$12=0,0,H119/H$12)</f>
        <v>0.18097512961638035</v>
      </c>
      <c r="K119" s="4"/>
      <c r="L119" s="4">
        <f>+D119-H119</f>
        <v>-538.94999999999982</v>
      </c>
      <c r="M119" s="4"/>
      <c r="N119" s="12">
        <f>IF(H119=0,0,L119/H119)</f>
        <v>-8.3392260047069136E-2</v>
      </c>
      <c r="O119" s="10"/>
      <c r="P119" s="4">
        <v>26168.390000000003</v>
      </c>
      <c r="Q119" s="4"/>
      <c r="R119" s="12">
        <f>IF(P$12=0,0,P119/P$12)</f>
        <v>0.10589323831895776</v>
      </c>
      <c r="S119" s="4"/>
      <c r="T119" s="4">
        <v>25027.710000000003</v>
      </c>
      <c r="U119" s="4"/>
      <c r="V119" s="12">
        <f>IF(T$12=0,0,T119/T$12)</f>
        <v>0.10522240556896498</v>
      </c>
      <c r="W119" s="4"/>
      <c r="X119" s="4">
        <f>+P119-T119</f>
        <v>1140.6800000000003</v>
      </c>
      <c r="Y119" s="4"/>
      <c r="Z119" s="12">
        <f>IF(T119=0,0,X119/T119)</f>
        <v>4.5576682804779188E-2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9" t="s">
        <v>4</v>
      </c>
      <c r="C121" s="29"/>
      <c r="D121" s="31">
        <f>+D117-D119</f>
        <v>1842.6799999999994</v>
      </c>
      <c r="E121" s="14"/>
      <c r="F121" s="32">
        <f>IF(D$12=0,0,D121/D$12)</f>
        <v>4.0051391185294508E-2</v>
      </c>
      <c r="G121" s="14"/>
      <c r="H121" s="31">
        <f>+H117-H119</f>
        <v>4846.8099999999959</v>
      </c>
      <c r="I121" s="14"/>
      <c r="J121" s="32">
        <f>IF(H$12=0,0,H121/H$12)</f>
        <v>0.1357225964439677</v>
      </c>
      <c r="K121" s="15"/>
      <c r="L121" s="31">
        <f>D121-H121</f>
        <v>-3004.1299999999965</v>
      </c>
      <c r="M121" s="15"/>
      <c r="N121" s="32">
        <f>IF(H121=0,0,L121/H121)</f>
        <v>-0.61981592016192077</v>
      </c>
      <c r="O121" s="28"/>
      <c r="P121" s="31">
        <f>+P117-P119</f>
        <v>30559.589999999956</v>
      </c>
      <c r="Q121" s="14"/>
      <c r="R121" s="32">
        <f>IF(P$12=0,0,P121/P$12)</f>
        <v>0.12366270705991594</v>
      </c>
      <c r="S121" s="14"/>
      <c r="T121" s="31">
        <f>+T117-T119</f>
        <v>29500.710000000025</v>
      </c>
      <c r="U121" s="14"/>
      <c r="V121" s="32">
        <f>IF(T$12=0,0,T121/T$12)</f>
        <v>0.12402795430314731</v>
      </c>
      <c r="W121" s="15"/>
      <c r="X121" s="31">
        <f>P121-T121</f>
        <v>1058.8799999999319</v>
      </c>
      <c r="Y121" s="15"/>
      <c r="Z121" s="32">
        <f>IF(T121=0,0,X121/T121)</f>
        <v>3.5893373413722278E-2</v>
      </c>
    </row>
    <row r="122" spans="1:26" ht="15.75" thickTop="1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9" t="s">
        <v>5</v>
      </c>
      <c r="C124" s="29"/>
      <c r="D124" s="34">
        <f>SUM(D121:D123)</f>
        <v>1842.6799999999994</v>
      </c>
      <c r="E124" s="14"/>
      <c r="F124" s="30">
        <f>IF(D$12=0,0,D124/D$12)</f>
        <v>4.0051391185294508E-2</v>
      </c>
      <c r="G124" s="14"/>
      <c r="H124" s="34">
        <f>SUM(H121:H123)</f>
        <v>4846.8099999999959</v>
      </c>
      <c r="I124" s="14"/>
      <c r="J124" s="30">
        <f>IF(H$12=0,0,H124/H$12)</f>
        <v>0.1357225964439677</v>
      </c>
      <c r="K124" s="15"/>
      <c r="L124" s="34">
        <f>+D124-H124</f>
        <v>-3004.1299999999965</v>
      </c>
      <c r="M124" s="15"/>
      <c r="N124" s="30">
        <f>IF(H124=0,0,L124/H124)</f>
        <v>-0.61981592016192077</v>
      </c>
      <c r="O124" s="28"/>
      <c r="P124" s="34">
        <f>SUM(P121:P123)</f>
        <v>30559.589999999956</v>
      </c>
      <c r="Q124" s="14"/>
      <c r="R124" s="30">
        <f>IF(P$12=0,0,P124/P$12)</f>
        <v>0.12366270705991594</v>
      </c>
      <c r="S124" s="14"/>
      <c r="T124" s="34">
        <f>SUM(T121:T123)</f>
        <v>29500.710000000025</v>
      </c>
      <c r="U124" s="14"/>
      <c r="V124" s="30">
        <f>IF(T$12=0,0,T124/T$12)</f>
        <v>0.12402795430314731</v>
      </c>
      <c r="W124" s="15"/>
      <c r="X124" s="34">
        <f>+P124-T124</f>
        <v>1058.8799999999319</v>
      </c>
      <c r="Y124" s="15"/>
      <c r="Z124" s="30">
        <f>IF(T124=0,0,X124/T124)</f>
        <v>3.5893373413722278E-2</v>
      </c>
    </row>
    <row r="125" spans="1:26" ht="15.75" thickTop="1" x14ac:dyDescent="0.25">
      <c r="A125" s="9"/>
      <c r="C125" s="9"/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  <row r="126" spans="1:26" x14ac:dyDescent="0.25">
      <c r="A126" s="9"/>
      <c r="B126" s="59">
        <v>43815.491712152776</v>
      </c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  <row r="127" spans="1:26" x14ac:dyDescent="0.25">
      <c r="A127" s="9"/>
      <c r="B127" s="62" t="s">
        <v>313</v>
      </c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61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4:24" x14ac:dyDescent="0.25"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","314", " - ", "Supplies")</f>
        <v>Department 314 - Supplies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19240.009999999998</v>
      </c>
      <c r="E12" s="4"/>
      <c r="F12" s="12"/>
      <c r="G12" s="4"/>
      <c r="H12" s="4">
        <f>SUM(OSRRefH13x_0)</f>
        <v>19372.160000000003</v>
      </c>
      <c r="I12" s="4"/>
      <c r="J12" s="12"/>
      <c r="K12" s="4"/>
      <c r="L12" s="4">
        <f t="shared" ref="L12:L33" si="0">+D12-H12</f>
        <v>-132.15000000000509</v>
      </c>
      <c r="M12" s="4"/>
      <c r="N12" s="12">
        <f t="shared" ref="N12:N33" si="1">IF(H12=0,0,L12/H12)</f>
        <v>-6.8216450824278279E-3</v>
      </c>
      <c r="O12" s="10"/>
      <c r="P12" s="4">
        <f>SUM(OSRRefP13x_0)</f>
        <v>224660.36000000002</v>
      </c>
      <c r="Q12" s="4"/>
      <c r="R12" s="12"/>
      <c r="S12" s="4"/>
      <c r="T12" s="4">
        <f>SUM(OSRRefT13x_0)</f>
        <v>219964.62</v>
      </c>
      <c r="U12" s="4"/>
      <c r="V12" s="12"/>
      <c r="W12" s="4"/>
      <c r="X12" s="4">
        <f t="shared" ref="X12:X33" si="2">+P12-T12</f>
        <v>4695.7400000000198</v>
      </c>
      <c r="Y12" s="4"/>
      <c r="Z12" s="12">
        <f t="shared" ref="Z12:Z33" si="3">IF(T12=0,0,X12/T12)</f>
        <v>2.1347705826509827E-2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>0</f>
        <v>0</v>
      </c>
      <c r="E13" s="2"/>
      <c r="F13" s="19"/>
      <c r="G13" s="2"/>
      <c r="H13" s="2">
        <f>--10.44</f>
        <v>10.44</v>
      </c>
      <c r="I13" s="2"/>
      <c r="J13" s="19"/>
      <c r="K13" s="2"/>
      <c r="L13" s="2">
        <f t="shared" si="0"/>
        <v>-10.44</v>
      </c>
      <c r="M13" s="2"/>
      <c r="N13" s="19">
        <f t="shared" si="1"/>
        <v>-1</v>
      </c>
      <c r="O13" s="11"/>
      <c r="P13" s="2">
        <f>--209.2</f>
        <v>209.2</v>
      </c>
      <c r="Q13" s="2"/>
      <c r="R13" s="19"/>
      <c r="S13" s="2"/>
      <c r="T13" s="2">
        <f>--643.57</f>
        <v>643.57000000000005</v>
      </c>
      <c r="U13" s="2"/>
      <c r="V13" s="19"/>
      <c r="W13" s="2"/>
      <c r="X13" s="2">
        <f t="shared" si="2"/>
        <v>-434.37000000000006</v>
      </c>
      <c r="Y13" s="2"/>
      <c r="Z13" s="19">
        <f t="shared" si="3"/>
        <v>-0.67493823515701479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>--3.98</f>
        <v>3.98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3.98</v>
      </c>
      <c r="M14" s="2"/>
      <c r="N14" s="19">
        <f t="shared" si="1"/>
        <v>0</v>
      </c>
      <c r="O14" s="11"/>
      <c r="P14" s="2">
        <f>--33.88</f>
        <v>33.880000000000003</v>
      </c>
      <c r="Q14" s="2"/>
      <c r="R14" s="19"/>
      <c r="S14" s="2"/>
      <c r="T14" s="2">
        <f>--14.58</f>
        <v>14.58</v>
      </c>
      <c r="U14" s="2"/>
      <c r="V14" s="19"/>
      <c r="W14" s="2"/>
      <c r="X14" s="2">
        <f t="shared" si="2"/>
        <v>19.300000000000004</v>
      </c>
      <c r="Y14" s="2"/>
      <c r="Z14" s="19">
        <f t="shared" si="3"/>
        <v>1.3237311385459536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--3023.67</f>
        <v>3023.67</v>
      </c>
      <c r="E15" s="2"/>
      <c r="F15" s="19"/>
      <c r="G15" s="2"/>
      <c r="H15" s="2">
        <f>--2718.38</f>
        <v>2718.38</v>
      </c>
      <c r="I15" s="2"/>
      <c r="J15" s="19"/>
      <c r="K15" s="2"/>
      <c r="L15" s="2">
        <f t="shared" si="0"/>
        <v>305.28999999999996</v>
      </c>
      <c r="M15" s="2"/>
      <c r="N15" s="19">
        <f t="shared" si="1"/>
        <v>0.11230585863639371</v>
      </c>
      <c r="O15" s="11"/>
      <c r="P15" s="2">
        <f>--28235.55</f>
        <v>28235.55</v>
      </c>
      <c r="Q15" s="2"/>
      <c r="R15" s="19"/>
      <c r="S15" s="2"/>
      <c r="T15" s="2">
        <f>--27171.15</f>
        <v>27171.15</v>
      </c>
      <c r="U15" s="2"/>
      <c r="V15" s="19"/>
      <c r="W15" s="2"/>
      <c r="X15" s="2">
        <f t="shared" si="2"/>
        <v>1064.3999999999978</v>
      </c>
      <c r="Y15" s="2"/>
      <c r="Z15" s="19">
        <f t="shared" si="3"/>
        <v>3.9173903202477545E-2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--5828.94</f>
        <v>5828.94</v>
      </c>
      <c r="E16" s="2"/>
      <c r="F16" s="19"/>
      <c r="G16" s="2"/>
      <c r="H16" s="2">
        <f>--4330.16</f>
        <v>4330.16</v>
      </c>
      <c r="I16" s="2"/>
      <c r="J16" s="19"/>
      <c r="K16" s="2"/>
      <c r="L16" s="2">
        <f t="shared" si="0"/>
        <v>1498.7799999999997</v>
      </c>
      <c r="M16" s="2"/>
      <c r="N16" s="19">
        <f t="shared" si="1"/>
        <v>0.34612577826223506</v>
      </c>
      <c r="O16" s="11"/>
      <c r="P16" s="2">
        <f>--40074.73</f>
        <v>40074.730000000003</v>
      </c>
      <c r="Q16" s="2"/>
      <c r="R16" s="19"/>
      <c r="S16" s="2"/>
      <c r="T16" s="2">
        <f>--34033.62</f>
        <v>34033.620000000003</v>
      </c>
      <c r="U16" s="2"/>
      <c r="V16" s="19"/>
      <c r="W16" s="2"/>
      <c r="X16" s="2">
        <f t="shared" si="2"/>
        <v>6041.1100000000006</v>
      </c>
      <c r="Y16" s="2"/>
      <c r="Z16" s="19">
        <f t="shared" si="3"/>
        <v>0.17750418556709513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--10193.48</f>
        <v>10193.48</v>
      </c>
      <c r="E17" s="2"/>
      <c r="F17" s="19"/>
      <c r="G17" s="2"/>
      <c r="H17" s="2">
        <f>--9008.18</f>
        <v>9008.18</v>
      </c>
      <c r="I17" s="2"/>
      <c r="J17" s="19"/>
      <c r="K17" s="2"/>
      <c r="L17" s="2">
        <f t="shared" si="0"/>
        <v>1185.2999999999993</v>
      </c>
      <c r="M17" s="2"/>
      <c r="N17" s="19">
        <f t="shared" si="1"/>
        <v>0.13158040802914675</v>
      </c>
      <c r="O17" s="11"/>
      <c r="P17" s="2">
        <f>--149176.63</f>
        <v>149176.63</v>
      </c>
      <c r="Q17" s="2"/>
      <c r="R17" s="19"/>
      <c r="S17" s="2"/>
      <c r="T17" s="2">
        <f>--138814.2</f>
        <v>138814.20000000001</v>
      </c>
      <c r="U17" s="2"/>
      <c r="V17" s="19"/>
      <c r="W17" s="2"/>
      <c r="X17" s="2">
        <f t="shared" si="2"/>
        <v>10362.429999999993</v>
      </c>
      <c r="Y17" s="2"/>
      <c r="Z17" s="19">
        <f t="shared" si="3"/>
        <v>7.4649639590185959E-2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--845.44</f>
        <v>845.44</v>
      </c>
      <c r="E18" s="2"/>
      <c r="F18" s="19"/>
      <c r="G18" s="2"/>
      <c r="H18" s="2">
        <f>--952.43</f>
        <v>952.43</v>
      </c>
      <c r="I18" s="2"/>
      <c r="J18" s="19"/>
      <c r="K18" s="2"/>
      <c r="L18" s="2">
        <f t="shared" si="0"/>
        <v>-106.9899999999999</v>
      </c>
      <c r="M18" s="2"/>
      <c r="N18" s="19">
        <f t="shared" si="1"/>
        <v>-0.11233371481368699</v>
      </c>
      <c r="O18" s="11"/>
      <c r="P18" s="2">
        <f>--6684.78</f>
        <v>6684.78</v>
      </c>
      <c r="Q18" s="2"/>
      <c r="R18" s="19"/>
      <c r="S18" s="2"/>
      <c r="T18" s="2">
        <f>--8169.73</f>
        <v>8169.73</v>
      </c>
      <c r="U18" s="2"/>
      <c r="V18" s="19"/>
      <c r="W18" s="2"/>
      <c r="X18" s="2">
        <f t="shared" si="2"/>
        <v>-1484.9499999999998</v>
      </c>
      <c r="Y18" s="2"/>
      <c r="Z18" s="19">
        <f t="shared" si="3"/>
        <v>-0.1817624327854164</v>
      </c>
    </row>
    <row r="19" spans="1:26" s="24" customFormat="1" hidden="1" outlineLevel="1" x14ac:dyDescent="0.2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 t="shared" ref="D19:D20" si="4">0</f>
        <v>0</v>
      </c>
      <c r="E19" s="2"/>
      <c r="F19" s="19"/>
      <c r="G19" s="2"/>
      <c r="H19" s="2">
        <f>--33.74</f>
        <v>33.74</v>
      </c>
      <c r="I19" s="2"/>
      <c r="J19" s="19"/>
      <c r="K19" s="2"/>
      <c r="L19" s="2">
        <f t="shared" si="0"/>
        <v>-33.74</v>
      </c>
      <c r="M19" s="2"/>
      <c r="N19" s="19">
        <f t="shared" si="1"/>
        <v>-1</v>
      </c>
      <c r="O19" s="11"/>
      <c r="P19" s="2">
        <f>--16.2</f>
        <v>16.2</v>
      </c>
      <c r="Q19" s="2"/>
      <c r="R19" s="19"/>
      <c r="S19" s="2"/>
      <c r="T19" s="2">
        <f>--308.83</f>
        <v>308.83</v>
      </c>
      <c r="U19" s="2"/>
      <c r="V19" s="19"/>
      <c r="W19" s="2"/>
      <c r="X19" s="2">
        <f t="shared" si="2"/>
        <v>-292.63</v>
      </c>
      <c r="Y19" s="2"/>
      <c r="Z19" s="19">
        <f t="shared" si="3"/>
        <v>-0.94754395622186971</v>
      </c>
    </row>
    <row r="20" spans="1:26" s="24" customFormat="1" hidden="1" outlineLevel="1" x14ac:dyDescent="0.2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 t="shared" si="4"/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--124.18</f>
        <v>124.18</v>
      </c>
      <c r="Q20" s="2"/>
      <c r="R20" s="19"/>
      <c r="S20" s="2"/>
      <c r="T20" s="2">
        <f>--160.73</f>
        <v>160.72999999999999</v>
      </c>
      <c r="U20" s="2"/>
      <c r="V20" s="19"/>
      <c r="W20" s="2"/>
      <c r="X20" s="2">
        <f t="shared" si="2"/>
        <v>-36.549999999999983</v>
      </c>
      <c r="Y20" s="2"/>
      <c r="Z20" s="19">
        <f t="shared" si="3"/>
        <v>-0.22739998755677213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>--11.85</f>
        <v>11.85</v>
      </c>
      <c r="E21" s="2"/>
      <c r="F21" s="19"/>
      <c r="G21" s="2"/>
      <c r="H21" s="2">
        <f>--20.81</f>
        <v>20.81</v>
      </c>
      <c r="I21" s="2"/>
      <c r="J21" s="19"/>
      <c r="K21" s="2"/>
      <c r="L21" s="2">
        <f t="shared" si="0"/>
        <v>-8.9599999999999991</v>
      </c>
      <c r="M21" s="2"/>
      <c r="N21" s="19">
        <f t="shared" si="1"/>
        <v>-0.43056222969726093</v>
      </c>
      <c r="O21" s="11"/>
      <c r="P21" s="2">
        <f>--1470.38</f>
        <v>1470.38</v>
      </c>
      <c r="Q21" s="2"/>
      <c r="R21" s="19"/>
      <c r="S21" s="2"/>
      <c r="T21" s="2">
        <f>--1810.9</f>
        <v>1810.9</v>
      </c>
      <c r="U21" s="2"/>
      <c r="V21" s="19"/>
      <c r="W21" s="2"/>
      <c r="X21" s="2">
        <f t="shared" si="2"/>
        <v>-340.52</v>
      </c>
      <c r="Y21" s="2"/>
      <c r="Z21" s="19">
        <f t="shared" si="3"/>
        <v>-0.18803909658181012</v>
      </c>
    </row>
    <row r="22" spans="1:26" s="24" customFormat="1" hidden="1" outlineLevel="1" x14ac:dyDescent="0.2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>--6.28</f>
        <v>6.28</v>
      </c>
      <c r="E22" s="2"/>
      <c r="F22" s="19"/>
      <c r="G22" s="2"/>
      <c r="H22" s="2">
        <f>--2449.78</f>
        <v>2449.7800000000002</v>
      </c>
      <c r="I22" s="2"/>
      <c r="J22" s="19"/>
      <c r="K22" s="2"/>
      <c r="L22" s="2">
        <f t="shared" si="0"/>
        <v>-2443.5</v>
      </c>
      <c r="M22" s="2"/>
      <c r="N22" s="19">
        <f t="shared" si="1"/>
        <v>-0.99743650450244503</v>
      </c>
      <c r="O22" s="11"/>
      <c r="P22" s="2">
        <f>--2591.23</f>
        <v>2591.23</v>
      </c>
      <c r="Q22" s="2"/>
      <c r="R22" s="19"/>
      <c r="S22" s="2"/>
      <c r="T22" s="2">
        <f>--8715.06</f>
        <v>8715.06</v>
      </c>
      <c r="U22" s="2"/>
      <c r="V22" s="19"/>
      <c r="W22" s="2"/>
      <c r="X22" s="2">
        <f t="shared" si="2"/>
        <v>-6123.83</v>
      </c>
      <c r="Y22" s="2"/>
      <c r="Z22" s="19">
        <f t="shared" si="3"/>
        <v>-0.70267215601499022</v>
      </c>
    </row>
    <row r="23" spans="1:26" s="24" customFormat="1" hidden="1" outlineLevel="1" x14ac:dyDescent="0.2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>0</f>
        <v>0</v>
      </c>
      <c r="E23" s="2"/>
      <c r="F23" s="19"/>
      <c r="G23" s="2"/>
      <c r="H23" s="2">
        <f>--1.49</f>
        <v>1.49</v>
      </c>
      <c r="I23" s="2"/>
      <c r="J23" s="19"/>
      <c r="K23" s="2"/>
      <c r="L23" s="2">
        <f t="shared" si="0"/>
        <v>-1.49</v>
      </c>
      <c r="M23" s="2"/>
      <c r="N23" s="19">
        <f t="shared" si="1"/>
        <v>-1</v>
      </c>
      <c r="O23" s="11"/>
      <c r="P23" s="2">
        <f>--253.32</f>
        <v>253.32</v>
      </c>
      <c r="Q23" s="2"/>
      <c r="R23" s="19"/>
      <c r="S23" s="2"/>
      <c r="T23" s="2">
        <f>--340.9</f>
        <v>340.9</v>
      </c>
      <c r="U23" s="2"/>
      <c r="V23" s="19"/>
      <c r="W23" s="2"/>
      <c r="X23" s="2">
        <f t="shared" si="2"/>
        <v>-87.579999999999984</v>
      </c>
      <c r="Y23" s="2"/>
      <c r="Z23" s="19">
        <f t="shared" si="3"/>
        <v>-0.25690818421824579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>--90.16</f>
        <v>90.16</v>
      </c>
      <c r="E24" s="2"/>
      <c r="F24" s="19"/>
      <c r="G24" s="2"/>
      <c r="H24" s="2">
        <f>--73.51</f>
        <v>73.510000000000005</v>
      </c>
      <c r="I24" s="2"/>
      <c r="J24" s="19"/>
      <c r="K24" s="2"/>
      <c r="L24" s="2">
        <f t="shared" si="0"/>
        <v>16.649999999999991</v>
      </c>
      <c r="M24" s="2"/>
      <c r="N24" s="19">
        <f t="shared" si="1"/>
        <v>0.22649979594612965</v>
      </c>
      <c r="O24" s="11"/>
      <c r="P24" s="2">
        <f>--793.83</f>
        <v>793.83</v>
      </c>
      <c r="Q24" s="2"/>
      <c r="R24" s="19"/>
      <c r="S24" s="2"/>
      <c r="T24" s="2">
        <f>--936.31</f>
        <v>936.31</v>
      </c>
      <c r="U24" s="2"/>
      <c r="V24" s="19"/>
      <c r="W24" s="2"/>
      <c r="X24" s="2">
        <f t="shared" si="2"/>
        <v>-142.4799999999999</v>
      </c>
      <c r="Y24" s="2"/>
      <c r="Z24" s="19">
        <f t="shared" si="3"/>
        <v>-0.15217182343454616</v>
      </c>
    </row>
    <row r="25" spans="1:26" s="24" customFormat="1" hidden="1" outlineLevel="1" x14ac:dyDescent="0.2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>--195.72</f>
        <v>195.72</v>
      </c>
      <c r="E25" s="2"/>
      <c r="F25" s="19"/>
      <c r="G25" s="2"/>
      <c r="H25" s="2">
        <f>--208.06</f>
        <v>208.06</v>
      </c>
      <c r="I25" s="2"/>
      <c r="J25" s="19"/>
      <c r="K25" s="2"/>
      <c r="L25" s="2">
        <f t="shared" si="0"/>
        <v>-12.340000000000003</v>
      </c>
      <c r="M25" s="2"/>
      <c r="N25" s="19">
        <f t="shared" si="1"/>
        <v>-5.9309814476593309E-2</v>
      </c>
      <c r="O25" s="11"/>
      <c r="P25" s="2">
        <f>--1341.12</f>
        <v>1341.12</v>
      </c>
      <c r="Q25" s="2"/>
      <c r="R25" s="19"/>
      <c r="S25" s="2"/>
      <c r="T25" s="2">
        <f>--1521.34</f>
        <v>1521.34</v>
      </c>
      <c r="U25" s="2"/>
      <c r="V25" s="19"/>
      <c r="W25" s="2"/>
      <c r="X25" s="2">
        <f t="shared" si="2"/>
        <v>-180.22000000000003</v>
      </c>
      <c r="Y25" s="2"/>
      <c r="Z25" s="19">
        <f t="shared" si="3"/>
        <v>-0.11846135643577375</v>
      </c>
    </row>
    <row r="26" spans="1:26" s="24" customFormat="1" hidden="1" outlineLevel="1" x14ac:dyDescent="0.2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 t="shared" ref="D26:D27" si="5">0</f>
        <v>0</v>
      </c>
      <c r="E26" s="2"/>
      <c r="F26" s="19"/>
      <c r="G26" s="2"/>
      <c r="H26" s="2">
        <f>--10.77</f>
        <v>10.77</v>
      </c>
      <c r="I26" s="2"/>
      <c r="J26" s="19"/>
      <c r="K26" s="2"/>
      <c r="L26" s="2">
        <f t="shared" si="0"/>
        <v>-10.77</v>
      </c>
      <c r="M26" s="2"/>
      <c r="N26" s="19">
        <f t="shared" si="1"/>
        <v>-1</v>
      </c>
      <c r="O26" s="11"/>
      <c r="P26" s="2">
        <f>--50.16</f>
        <v>50.16</v>
      </c>
      <c r="Q26" s="2"/>
      <c r="R26" s="19"/>
      <c r="S26" s="2"/>
      <c r="T26" s="2">
        <f>--82.93</f>
        <v>82.93</v>
      </c>
      <c r="U26" s="2"/>
      <c r="V26" s="19"/>
      <c r="W26" s="2"/>
      <c r="X26" s="2">
        <f t="shared" si="2"/>
        <v>-32.77000000000001</v>
      </c>
      <c r="Y26" s="2"/>
      <c r="Z26" s="19">
        <f t="shared" si="3"/>
        <v>-0.39515253828530095</v>
      </c>
    </row>
    <row r="27" spans="1:26" s="24" customFormat="1" hidden="1" outlineLevel="1" x14ac:dyDescent="0.25">
      <c r="A27" s="44"/>
      <c r="B27" s="11" t="str">
        <f>CONCATENATE("          ", "4217", " - ", "NON-TAXABLE SALES-DORM/HOUSEWA")</f>
        <v xml:space="preserve">          4217 - NON-TAXABLE SALES-DORM/HOUSEWA</v>
      </c>
      <c r="C27" s="11"/>
      <c r="D27" s="2">
        <f t="shared" si="5"/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-2.98</f>
        <v>-2.98</v>
      </c>
      <c r="Q27" s="2"/>
      <c r="R27" s="19"/>
      <c r="S27" s="2"/>
      <c r="T27" s="2">
        <f>-1.5</f>
        <v>-1.5</v>
      </c>
      <c r="U27" s="2"/>
      <c r="V27" s="19"/>
      <c r="W27" s="2"/>
      <c r="X27" s="2">
        <f t="shared" si="2"/>
        <v>-1.48</v>
      </c>
      <c r="Y27" s="2"/>
      <c r="Z27" s="19">
        <f t="shared" si="3"/>
        <v>0.98666666666666669</v>
      </c>
    </row>
    <row r="28" spans="1:26" s="24" customFormat="1" hidden="1" outlineLevel="1" x14ac:dyDescent="0.25">
      <c r="A28" s="44"/>
      <c r="B28" s="11" t="str">
        <f>CONCATENATE("          ", "4225", " - ", "SALES RETURN TAXABLE-TEST FORM")</f>
        <v xml:space="preserve">          4225 - SALES RETURN TAXABLE-TEST FORM</v>
      </c>
      <c r="C28" s="11"/>
      <c r="D28" s="2">
        <f>-23.91</f>
        <v>-23.91</v>
      </c>
      <c r="E28" s="2"/>
      <c r="F28" s="19"/>
      <c r="G28" s="2"/>
      <c r="H28" s="2">
        <f>-1.13</f>
        <v>-1.1299999999999999</v>
      </c>
      <c r="I28" s="2"/>
      <c r="J28" s="19"/>
      <c r="K28" s="2"/>
      <c r="L28" s="2">
        <f t="shared" si="0"/>
        <v>-22.78</v>
      </c>
      <c r="M28" s="2"/>
      <c r="N28" s="19">
        <f t="shared" si="1"/>
        <v>20.159292035398234</v>
      </c>
      <c r="O28" s="11"/>
      <c r="P28" s="2">
        <f>-64.97</f>
        <v>-64.97</v>
      </c>
      <c r="Q28" s="2"/>
      <c r="R28" s="19"/>
      <c r="S28" s="2"/>
      <c r="T28" s="2">
        <f>-62.42</f>
        <v>-62.42</v>
      </c>
      <c r="U28" s="2"/>
      <c r="V28" s="19"/>
      <c r="W28" s="2"/>
      <c r="X28" s="2">
        <f t="shared" si="2"/>
        <v>-2.5499999999999972</v>
      </c>
      <c r="Y28" s="2"/>
      <c r="Z28" s="19">
        <f t="shared" si="3"/>
        <v>4.0852290932393419E-2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>-10.75</f>
        <v>-10.75</v>
      </c>
      <c r="E29" s="2"/>
      <c r="F29" s="19"/>
      <c r="G29" s="2"/>
      <c r="H29" s="2">
        <f>-20.28</f>
        <v>-20.28</v>
      </c>
      <c r="I29" s="2"/>
      <c r="J29" s="19"/>
      <c r="K29" s="2"/>
      <c r="L29" s="2">
        <f t="shared" si="0"/>
        <v>9.5300000000000011</v>
      </c>
      <c r="M29" s="2"/>
      <c r="N29" s="19">
        <f t="shared" si="1"/>
        <v>-0.46992110453648916</v>
      </c>
      <c r="O29" s="11"/>
      <c r="P29" s="2">
        <f>-348.93</f>
        <v>-348.93</v>
      </c>
      <c r="Q29" s="2"/>
      <c r="R29" s="19"/>
      <c r="S29" s="2"/>
      <c r="T29" s="2">
        <f>-201.44</f>
        <v>-201.44</v>
      </c>
      <c r="U29" s="2"/>
      <c r="V29" s="19"/>
      <c r="W29" s="2"/>
      <c r="X29" s="2">
        <f t="shared" si="2"/>
        <v>-147.49</v>
      </c>
      <c r="Y29" s="2"/>
      <c r="Z29" s="19">
        <f t="shared" si="3"/>
        <v>0.73217831612390794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>-914.07</f>
        <v>-914.07</v>
      </c>
      <c r="E30" s="2"/>
      <c r="F30" s="19"/>
      <c r="G30" s="2"/>
      <c r="H30" s="2">
        <f>-398.16</f>
        <v>-398.16</v>
      </c>
      <c r="I30" s="2"/>
      <c r="J30" s="19"/>
      <c r="K30" s="2"/>
      <c r="L30" s="2">
        <f t="shared" si="0"/>
        <v>-515.91000000000008</v>
      </c>
      <c r="M30" s="2"/>
      <c r="N30" s="19">
        <f t="shared" si="1"/>
        <v>1.2957353827606994</v>
      </c>
      <c r="O30" s="11"/>
      <c r="P30" s="2">
        <f>-5718.33</f>
        <v>-5718.33</v>
      </c>
      <c r="Q30" s="2"/>
      <c r="R30" s="19"/>
      <c r="S30" s="2"/>
      <c r="T30" s="2">
        <f>-2454.01</f>
        <v>-2454.0100000000002</v>
      </c>
      <c r="U30" s="2"/>
      <c r="V30" s="19"/>
      <c r="W30" s="2"/>
      <c r="X30" s="2">
        <f t="shared" si="2"/>
        <v>-3264.3199999999997</v>
      </c>
      <c r="Y30" s="2"/>
      <c r="Z30" s="19">
        <f t="shared" si="3"/>
        <v>1.3301983284501691</v>
      </c>
    </row>
    <row r="31" spans="1:26" s="24" customFormat="1" hidden="1" outlineLevel="1" x14ac:dyDescent="0.25">
      <c r="A31" s="44"/>
      <c r="B31" s="11" t="str">
        <f>CONCATENATE("          ", "4228", " - ", "SALES RETURN TAXABLE-ART/TECH")</f>
        <v xml:space="preserve">          4228 - SALES RETURN TAXABLE-ART/TECH</v>
      </c>
      <c r="C31" s="11"/>
      <c r="D31" s="2">
        <f>-10.78</f>
        <v>-10.78</v>
      </c>
      <c r="E31" s="2"/>
      <c r="F31" s="19"/>
      <c r="G31" s="2"/>
      <c r="H31" s="2">
        <f>-26.02</f>
        <v>-26.02</v>
      </c>
      <c r="I31" s="2"/>
      <c r="J31" s="19"/>
      <c r="K31" s="2"/>
      <c r="L31" s="2">
        <f t="shared" si="0"/>
        <v>15.24</v>
      </c>
      <c r="M31" s="2"/>
      <c r="N31" s="19">
        <f t="shared" si="1"/>
        <v>-0.58570330514988467</v>
      </c>
      <c r="O31" s="11"/>
      <c r="P31" s="2">
        <f>-237.75</f>
        <v>-237.75</v>
      </c>
      <c r="Q31" s="2"/>
      <c r="R31" s="19"/>
      <c r="S31" s="2"/>
      <c r="T31" s="2">
        <f>-31.78</f>
        <v>-31.78</v>
      </c>
      <c r="U31" s="2"/>
      <c r="V31" s="19"/>
      <c r="W31" s="2"/>
      <c r="X31" s="2">
        <f t="shared" si="2"/>
        <v>-205.97</v>
      </c>
      <c r="Y31" s="2"/>
      <c r="Z31" s="19">
        <f t="shared" si="3"/>
        <v>6.4811202013845186</v>
      </c>
    </row>
    <row r="32" spans="1:26" s="24" customFormat="1" hidden="1" outlineLevel="1" x14ac:dyDescent="0.25">
      <c r="A32" s="44"/>
      <c r="B32" s="11" t="str">
        <f>CONCATENATE("          ", "4326", " - ", "SALES RETURN NON TAXABLE-WRITI")</f>
        <v xml:space="preserve">          4326 - SALES RETURN NON TAXABLE-WRITI</v>
      </c>
      <c r="C32" s="11"/>
      <c r="D32" s="2">
        <f t="shared" ref="D32:D33" si="6">0</f>
        <v>0</v>
      </c>
      <c r="E32" s="2"/>
      <c r="F32" s="19"/>
      <c r="G32" s="2"/>
      <c r="H32" s="2">
        <f t="shared" ref="H32:H33" si="7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-8.08</f>
        <v>-8.08</v>
      </c>
      <c r="U32" s="2"/>
      <c r="V32" s="19"/>
      <c r="W32" s="2"/>
      <c r="X32" s="2">
        <f t="shared" si="2"/>
        <v>8.08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"4327", " - ", "SALES RETURN NON TAXABLE-SCHOO")</f>
        <v xml:space="preserve">          4327 - SALES RETURN NON TAXABLE-SCHOO</v>
      </c>
      <c r="C33" s="11"/>
      <c r="D33" s="2">
        <f t="shared" si="6"/>
        <v>0</v>
      </c>
      <c r="E33" s="2"/>
      <c r="F33" s="19"/>
      <c r="G33" s="2"/>
      <c r="H33" s="2">
        <f t="shared" si="7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-21.87</f>
        <v>-21.87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-21.87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9387.1799999999967</v>
      </c>
      <c r="E35" s="4"/>
      <c r="F35" s="12">
        <f t="shared" ref="F35:F50" si="8">IF(D$12=0,0,D35/D$12)</f>
        <v>0.48789891481345371</v>
      </c>
      <c r="G35" s="4"/>
      <c r="H35" s="4">
        <f>SUM(OSRRefH16x_0)</f>
        <v>9662.7899999999991</v>
      </c>
      <c r="I35" s="4"/>
      <c r="J35" s="12">
        <f t="shared" ref="J35:J50" si="9">IF(H$12=0,0,H35/H$12)</f>
        <v>0.49879775925864733</v>
      </c>
      <c r="K35" s="4"/>
      <c r="L35" s="4">
        <f t="shared" ref="L35:L50" si="10">+D35-H35</f>
        <v>-275.6100000000024</v>
      </c>
      <c r="M35" s="4"/>
      <c r="N35" s="12">
        <f t="shared" ref="N35:N50" si="11">IF(H35=0,0,L35/H35)</f>
        <v>-2.8522817943886024E-2</v>
      </c>
      <c r="O35" s="10"/>
      <c r="P35" s="4">
        <f>SUM(OSRRefP16x_0)</f>
        <v>104566.19</v>
      </c>
      <c r="Q35" s="4"/>
      <c r="R35" s="12">
        <f t="shared" ref="R35:R50" si="12">IF(P$12=0,0,P35/P$12)</f>
        <v>0.46544121090164725</v>
      </c>
      <c r="S35" s="4"/>
      <c r="T35" s="4">
        <f>SUM(OSRRefT16x_0)</f>
        <v>110271.65</v>
      </c>
      <c r="U35" s="4"/>
      <c r="V35" s="12">
        <f t="shared" ref="V35:V50" si="13">IF(T$12=0,0,T35/T$12)</f>
        <v>0.50131539335734987</v>
      </c>
      <c r="W35" s="4"/>
      <c r="X35" s="4">
        <f t="shared" ref="X35:X50" si="14">+P35-T35</f>
        <v>-5705.4599999999919</v>
      </c>
      <c r="Y35" s="4"/>
      <c r="Z35" s="12">
        <f t="shared" ref="Z35:Z50" si="15">IF(T35=0,0,X35/T35)</f>
        <v>-5.1740043791853957E-2</v>
      </c>
    </row>
    <row r="36" spans="1:26" s="24" customFormat="1" hidden="1" outlineLevel="1" x14ac:dyDescent="0.25">
      <c r="A36" s="44"/>
      <c r="B36" s="11" t="str">
        <f>CONCATENATE("          ", "5017", " - ", "PURCHASES @ COST-DORM/HOUSEWAR")</f>
        <v xml:space="preserve">          5017 - PURCHASES @ COST-DORM/HOUSEWAR</v>
      </c>
      <c r="C36" s="11"/>
      <c r="D36" s="2"/>
      <c r="E36" s="2"/>
      <c r="F36" s="19">
        <f t="shared" si="8"/>
        <v>0</v>
      </c>
      <c r="G36" s="2"/>
      <c r="H36" s="2"/>
      <c r="I36" s="2"/>
      <c r="J36" s="19">
        <f t="shared" si="9"/>
        <v>0</v>
      </c>
      <c r="K36" s="2"/>
      <c r="L36" s="2">
        <f t="shared" si="10"/>
        <v>0</v>
      </c>
      <c r="M36" s="2"/>
      <c r="N36" s="19">
        <f t="shared" si="11"/>
        <v>0</v>
      </c>
      <c r="O36" s="11"/>
      <c r="P36" s="2">
        <v>0</v>
      </c>
      <c r="Q36" s="2"/>
      <c r="R36" s="19">
        <f t="shared" si="12"/>
        <v>0</v>
      </c>
      <c r="S36" s="2"/>
      <c r="T36" s="2">
        <v>239.9</v>
      </c>
      <c r="U36" s="2"/>
      <c r="V36" s="19">
        <f t="shared" si="13"/>
        <v>1.0906299385783041E-3</v>
      </c>
      <c r="W36" s="2"/>
      <c r="X36" s="2">
        <f t="shared" si="14"/>
        <v>-239.9</v>
      </c>
      <c r="Y36" s="2"/>
      <c r="Z36" s="19">
        <f t="shared" si="15"/>
        <v>-1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>
        <v>18880.099999999999</v>
      </c>
      <c r="E37" s="2"/>
      <c r="F37" s="19">
        <f t="shared" si="8"/>
        <v>0.98129366876628443</v>
      </c>
      <c r="G37" s="2"/>
      <c r="H37" s="2">
        <v>854.82</v>
      </c>
      <c r="I37" s="2"/>
      <c r="J37" s="19">
        <f t="shared" si="9"/>
        <v>4.4126209983811816E-2</v>
      </c>
      <c r="K37" s="2"/>
      <c r="L37" s="2">
        <f t="shared" si="10"/>
        <v>18025.28</v>
      </c>
      <c r="M37" s="2"/>
      <c r="N37" s="19">
        <f t="shared" si="11"/>
        <v>21.086638122645702</v>
      </c>
      <c r="O37" s="11"/>
      <c r="P37" s="2">
        <v>21694.11</v>
      </c>
      <c r="Q37" s="2"/>
      <c r="R37" s="19">
        <f t="shared" si="12"/>
        <v>9.6564031144613136E-2</v>
      </c>
      <c r="S37" s="2"/>
      <c r="T37" s="2">
        <v>1771.62</v>
      </c>
      <c r="U37" s="2"/>
      <c r="V37" s="19">
        <f t="shared" si="13"/>
        <v>8.0541134296961032E-3</v>
      </c>
      <c r="W37" s="2"/>
      <c r="X37" s="2">
        <f t="shared" si="14"/>
        <v>19922.490000000002</v>
      </c>
      <c r="Y37" s="2"/>
      <c r="Z37" s="19">
        <f t="shared" si="15"/>
        <v>11.245351711992415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>
        <v>3910.23</v>
      </c>
      <c r="E38" s="2"/>
      <c r="F38" s="19">
        <f t="shared" si="8"/>
        <v>0.20323430185327349</v>
      </c>
      <c r="G38" s="2"/>
      <c r="H38" s="2">
        <v>762.43</v>
      </c>
      <c r="I38" s="2"/>
      <c r="J38" s="19">
        <f t="shared" si="9"/>
        <v>3.9356994780138085E-2</v>
      </c>
      <c r="K38" s="2"/>
      <c r="L38" s="2">
        <f t="shared" si="10"/>
        <v>3147.8</v>
      </c>
      <c r="M38" s="2"/>
      <c r="N38" s="19">
        <f t="shared" si="11"/>
        <v>4.1286413178914794</v>
      </c>
      <c r="O38" s="11"/>
      <c r="P38" s="2">
        <v>27410.329999999998</v>
      </c>
      <c r="Q38" s="2"/>
      <c r="R38" s="19">
        <f t="shared" si="12"/>
        <v>0.12200786111087865</v>
      </c>
      <c r="S38" s="2"/>
      <c r="T38" s="2">
        <v>26252.6</v>
      </c>
      <c r="U38" s="2"/>
      <c r="V38" s="19">
        <f t="shared" si="13"/>
        <v>0.1193491935203034</v>
      </c>
      <c r="W38" s="2"/>
      <c r="X38" s="2">
        <f t="shared" si="14"/>
        <v>1157.7299999999996</v>
      </c>
      <c r="Y38" s="2"/>
      <c r="Z38" s="19">
        <f t="shared" si="15"/>
        <v>4.4099632036445902E-2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3386.98</v>
      </c>
      <c r="E39" s="2"/>
      <c r="F39" s="19">
        <f t="shared" si="8"/>
        <v>0.17603837004242723</v>
      </c>
      <c r="G39" s="2"/>
      <c r="H39" s="2">
        <v>7465.73</v>
      </c>
      <c r="I39" s="2"/>
      <c r="J39" s="19">
        <f t="shared" si="9"/>
        <v>0.38538448990716567</v>
      </c>
      <c r="K39" s="2"/>
      <c r="L39" s="2">
        <f t="shared" si="10"/>
        <v>-4078.7499999999995</v>
      </c>
      <c r="M39" s="2"/>
      <c r="N39" s="19">
        <f t="shared" si="11"/>
        <v>-0.54632969582344926</v>
      </c>
      <c r="O39" s="11"/>
      <c r="P39" s="2">
        <v>73600</v>
      </c>
      <c r="Q39" s="2"/>
      <c r="R39" s="19">
        <f t="shared" si="12"/>
        <v>0.32760563545789739</v>
      </c>
      <c r="S39" s="2"/>
      <c r="T39" s="2">
        <v>79961.11</v>
      </c>
      <c r="U39" s="2"/>
      <c r="V39" s="19">
        <f t="shared" si="13"/>
        <v>0.36351805122114639</v>
      </c>
      <c r="W39" s="2"/>
      <c r="X39" s="2">
        <f t="shared" si="14"/>
        <v>-6361.1100000000006</v>
      </c>
      <c r="Y39" s="2"/>
      <c r="Z39" s="19">
        <f t="shared" si="15"/>
        <v>-7.955254748214477E-2</v>
      </c>
    </row>
    <row r="40" spans="1:26" s="24" customFormat="1" hidden="1" outlineLevel="1" x14ac:dyDescent="0.25">
      <c r="A40" s="44"/>
      <c r="B40" s="11" t="str">
        <f>CONCATENATE("          ", "5028", " - ", "PURCHASES @ COST-ART/TECH")</f>
        <v xml:space="preserve">          5028 - PURCHASES @ COST-ART/TECH</v>
      </c>
      <c r="C40" s="11"/>
      <c r="D40" s="2">
        <v>4.92</v>
      </c>
      <c r="E40" s="2"/>
      <c r="F40" s="19">
        <f t="shared" si="8"/>
        <v>2.5571712280814823E-4</v>
      </c>
      <c r="G40" s="2"/>
      <c r="H40" s="2">
        <v>-125.22</v>
      </c>
      <c r="I40" s="2"/>
      <c r="J40" s="19">
        <f t="shared" si="9"/>
        <v>-6.4639152267996951E-3</v>
      </c>
      <c r="K40" s="2"/>
      <c r="L40" s="2">
        <f t="shared" si="10"/>
        <v>130.13999999999999</v>
      </c>
      <c r="M40" s="2"/>
      <c r="N40" s="19">
        <f t="shared" si="11"/>
        <v>-1.0392908481073311</v>
      </c>
      <c r="O40" s="11"/>
      <c r="P40" s="2">
        <v>3278.26</v>
      </c>
      <c r="Q40" s="2"/>
      <c r="R40" s="19">
        <f t="shared" si="12"/>
        <v>1.4592071338263679E-2</v>
      </c>
      <c r="S40" s="2"/>
      <c r="T40" s="2">
        <v>2853.32</v>
      </c>
      <c r="U40" s="2"/>
      <c r="V40" s="19">
        <f t="shared" si="13"/>
        <v>1.2971722452456218E-2</v>
      </c>
      <c r="W40" s="2"/>
      <c r="X40" s="2">
        <f t="shared" si="14"/>
        <v>424.94000000000005</v>
      </c>
      <c r="Y40" s="2"/>
      <c r="Z40" s="19">
        <f t="shared" si="15"/>
        <v>0.1489282660199347</v>
      </c>
    </row>
    <row r="41" spans="1:26" s="24" customFormat="1" hidden="1" outlineLevel="1" x14ac:dyDescent="0.25">
      <c r="A41" s="44"/>
      <c r="B41" s="11" t="str">
        <f>CONCATENATE("          ", "5031", " - ", "PURCHASES @ COST-FOOD")</f>
        <v xml:space="preserve">          5031 - PURCHASES @ COST-FOOD</v>
      </c>
      <c r="C41" s="11"/>
      <c r="D41" s="2">
        <v>98.54</v>
      </c>
      <c r="E41" s="2"/>
      <c r="F41" s="19">
        <f t="shared" si="8"/>
        <v>5.1216189596575059E-3</v>
      </c>
      <c r="G41" s="2"/>
      <c r="H41" s="2">
        <v>331.96</v>
      </c>
      <c r="I41" s="2"/>
      <c r="J41" s="19">
        <f t="shared" si="9"/>
        <v>1.7135931150682213E-2</v>
      </c>
      <c r="K41" s="2"/>
      <c r="L41" s="2">
        <f t="shared" si="10"/>
        <v>-233.41999999999996</v>
      </c>
      <c r="M41" s="2"/>
      <c r="N41" s="19">
        <f t="shared" si="11"/>
        <v>-0.7031570068682973</v>
      </c>
      <c r="O41" s="11"/>
      <c r="P41" s="2">
        <v>265.83999999999997</v>
      </c>
      <c r="Q41" s="2"/>
      <c r="R41" s="19">
        <f t="shared" si="12"/>
        <v>1.1832973115506445E-3</v>
      </c>
      <c r="S41" s="2"/>
      <c r="T41" s="2">
        <v>729.48</v>
      </c>
      <c r="U41" s="2"/>
      <c r="V41" s="19">
        <f t="shared" si="13"/>
        <v>3.3163515114385217E-3</v>
      </c>
      <c r="W41" s="2"/>
      <c r="X41" s="2">
        <f t="shared" si="14"/>
        <v>-463.64000000000004</v>
      </c>
      <c r="Y41" s="2"/>
      <c r="Z41" s="19">
        <f t="shared" si="15"/>
        <v>-0.6355760267587871</v>
      </c>
    </row>
    <row r="42" spans="1:26" s="24" customFormat="1" hidden="1" outlineLevel="1" x14ac:dyDescent="0.25">
      <c r="A42" s="44"/>
      <c r="B42" s="11" t="str">
        <f>CONCATENATE("          ", "5033", " - ", "PURCHASES @ COST-CANDY")</f>
        <v xml:space="preserve">          5033 - PURCHASES @ COST-CANDY</v>
      </c>
      <c r="C42" s="11"/>
      <c r="D42" s="2">
        <v>134.88999999999999</v>
      </c>
      <c r="E42" s="2"/>
      <c r="F42" s="19">
        <f t="shared" si="8"/>
        <v>7.0109111169900642E-3</v>
      </c>
      <c r="G42" s="2"/>
      <c r="H42" s="2">
        <v>12.22</v>
      </c>
      <c r="I42" s="2"/>
      <c r="J42" s="19">
        <f t="shared" si="9"/>
        <v>6.30802140804123E-4</v>
      </c>
      <c r="K42" s="2"/>
      <c r="L42" s="2">
        <f t="shared" si="10"/>
        <v>122.66999999999999</v>
      </c>
      <c r="M42" s="2"/>
      <c r="N42" s="19">
        <f t="shared" si="11"/>
        <v>10.038461538461537</v>
      </c>
      <c r="O42" s="11"/>
      <c r="P42" s="2">
        <v>288.88</v>
      </c>
      <c r="Q42" s="2"/>
      <c r="R42" s="19">
        <f t="shared" si="12"/>
        <v>1.2858521191722472E-3</v>
      </c>
      <c r="S42" s="2"/>
      <c r="T42" s="2">
        <v>612.19000000000005</v>
      </c>
      <c r="U42" s="2"/>
      <c r="V42" s="19">
        <f t="shared" si="13"/>
        <v>2.7831293959910464E-3</v>
      </c>
      <c r="W42" s="2"/>
      <c r="X42" s="2">
        <f t="shared" si="14"/>
        <v>-323.31000000000006</v>
      </c>
      <c r="Y42" s="2"/>
      <c r="Z42" s="19">
        <f t="shared" si="15"/>
        <v>-0.52812035479181307</v>
      </c>
    </row>
    <row r="43" spans="1:26" s="24" customFormat="1" hidden="1" outlineLevel="1" x14ac:dyDescent="0.25">
      <c r="A43" s="44"/>
      <c r="B43" s="11" t="str">
        <f>CONCATENATE("          ", "5035", " - ", "PURCHASES @ COST-HEALTH &amp; BEAU")</f>
        <v xml:space="preserve">          5035 - PURCHASES @ COST-HEALTH &amp; BEAU</v>
      </c>
      <c r="C43" s="11"/>
      <c r="D43" s="2"/>
      <c r="E43" s="2"/>
      <c r="F43" s="19">
        <f t="shared" si="8"/>
        <v>0</v>
      </c>
      <c r="G43" s="2"/>
      <c r="H43" s="2"/>
      <c r="I43" s="2"/>
      <c r="J43" s="19">
        <f t="shared" si="9"/>
        <v>0</v>
      </c>
      <c r="K43" s="2"/>
      <c r="L43" s="2">
        <f t="shared" si="10"/>
        <v>0</v>
      </c>
      <c r="M43" s="2"/>
      <c r="N43" s="19">
        <f t="shared" si="11"/>
        <v>0</v>
      </c>
      <c r="O43" s="11"/>
      <c r="P43" s="2">
        <v>34.49</v>
      </c>
      <c r="Q43" s="2"/>
      <c r="R43" s="19">
        <f t="shared" si="12"/>
        <v>1.5352062998563699E-4</v>
      </c>
      <c r="S43" s="2"/>
      <c r="T43" s="2">
        <v>78.180000000000007</v>
      </c>
      <c r="U43" s="2"/>
      <c r="V43" s="19">
        <f t="shared" si="13"/>
        <v>3.554207944895866E-4</v>
      </c>
      <c r="W43" s="2"/>
      <c r="X43" s="2">
        <f t="shared" si="14"/>
        <v>-43.690000000000005</v>
      </c>
      <c r="Y43" s="2"/>
      <c r="Z43" s="19">
        <f t="shared" si="15"/>
        <v>-0.55883857764134048</v>
      </c>
    </row>
    <row r="44" spans="1:26" s="24" customFormat="1" hidden="1" outlineLevel="1" x14ac:dyDescent="0.2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-27051</v>
      </c>
      <c r="E44" s="2"/>
      <c r="F44" s="19">
        <f t="shared" si="8"/>
        <v>-1.4059764002201662</v>
      </c>
      <c r="G44" s="2"/>
      <c r="H44" s="2">
        <v>-9413</v>
      </c>
      <c r="I44" s="2"/>
      <c r="J44" s="19">
        <f t="shared" si="9"/>
        <v>-0.4859034821104099</v>
      </c>
      <c r="K44" s="2"/>
      <c r="L44" s="2">
        <f t="shared" si="10"/>
        <v>-17638</v>
      </c>
      <c r="M44" s="2"/>
      <c r="N44" s="19">
        <f t="shared" si="11"/>
        <v>1.8737915648571124</v>
      </c>
      <c r="O44" s="11"/>
      <c r="P44" s="2">
        <v>-128073</v>
      </c>
      <c r="Q44" s="2"/>
      <c r="R44" s="19">
        <f t="shared" si="12"/>
        <v>-0.57007386616846867</v>
      </c>
      <c r="S44" s="2"/>
      <c r="T44" s="2">
        <v>-113588</v>
      </c>
      <c r="U44" s="2"/>
      <c r="V44" s="19">
        <f t="shared" si="13"/>
        <v>-0.5163921361535323</v>
      </c>
      <c r="W44" s="2"/>
      <c r="X44" s="2">
        <f t="shared" si="14"/>
        <v>-14485</v>
      </c>
      <c r="Y44" s="2"/>
      <c r="Z44" s="19">
        <f t="shared" si="15"/>
        <v>0.12752227347959291</v>
      </c>
    </row>
    <row r="45" spans="1:26" s="24" customFormat="1" hidden="1" outlineLevel="1" x14ac:dyDescent="0.25">
      <c r="A45" s="44"/>
      <c r="B45" s="11" t="str">
        <f>CONCATENATE("          ", "5300", " - ", "COG$ OFFSET")</f>
        <v xml:space="preserve">          5300 - COG$ OFFSET</v>
      </c>
      <c r="C45" s="11"/>
      <c r="D45" s="2">
        <v>9388</v>
      </c>
      <c r="E45" s="2"/>
      <c r="F45" s="19">
        <f t="shared" si="8"/>
        <v>0.4879415343339219</v>
      </c>
      <c r="G45" s="2"/>
      <c r="H45" s="2">
        <v>9663</v>
      </c>
      <c r="I45" s="2"/>
      <c r="J45" s="19">
        <f t="shared" si="9"/>
        <v>0.49880859955730278</v>
      </c>
      <c r="K45" s="2"/>
      <c r="L45" s="2">
        <f t="shared" si="10"/>
        <v>-275</v>
      </c>
      <c r="M45" s="2"/>
      <c r="N45" s="19">
        <f t="shared" si="11"/>
        <v>-2.845907068198282E-2</v>
      </c>
      <c r="O45" s="11"/>
      <c r="P45" s="2">
        <v>104561</v>
      </c>
      <c r="Q45" s="2"/>
      <c r="R45" s="19">
        <f t="shared" si="12"/>
        <v>0.46541810936295125</v>
      </c>
      <c r="S45" s="2"/>
      <c r="T45" s="2">
        <v>110273</v>
      </c>
      <c r="U45" s="2"/>
      <c r="V45" s="19">
        <f t="shared" si="13"/>
        <v>0.50132153070798391</v>
      </c>
      <c r="W45" s="2"/>
      <c r="X45" s="2">
        <f t="shared" si="14"/>
        <v>-5712</v>
      </c>
      <c r="Y45" s="2"/>
      <c r="Z45" s="19">
        <f t="shared" si="15"/>
        <v>-5.179871772782095E-2</v>
      </c>
    </row>
    <row r="46" spans="1:26" s="24" customFormat="1" hidden="1" outlineLevel="1" x14ac:dyDescent="0.25">
      <c r="A46" s="44"/>
      <c r="B46" s="11" t="str">
        <f>CONCATENATE("          ", "5500", " - ", "FREIGHT-IN")</f>
        <v xml:space="preserve">          5500 - FREIGHT-IN</v>
      </c>
      <c r="C46" s="11"/>
      <c r="D46" s="2"/>
      <c r="E46" s="2"/>
      <c r="F46" s="19">
        <f t="shared" si="8"/>
        <v>0</v>
      </c>
      <c r="G46" s="2"/>
      <c r="H46" s="2"/>
      <c r="I46" s="2"/>
      <c r="J46" s="19">
        <f t="shared" si="9"/>
        <v>0</v>
      </c>
      <c r="K46" s="2"/>
      <c r="L46" s="2">
        <f t="shared" si="10"/>
        <v>0</v>
      </c>
      <c r="M46" s="2"/>
      <c r="N46" s="19">
        <f t="shared" si="11"/>
        <v>0</v>
      </c>
      <c r="O46" s="11"/>
      <c r="P46" s="2">
        <v>6</v>
      </c>
      <c r="Q46" s="2"/>
      <c r="R46" s="19">
        <f t="shared" si="12"/>
        <v>2.6706981151459027E-5</v>
      </c>
      <c r="S46" s="2"/>
      <c r="T46" s="2"/>
      <c r="U46" s="2"/>
      <c r="V46" s="19">
        <f t="shared" si="13"/>
        <v>0</v>
      </c>
      <c r="W46" s="2"/>
      <c r="X46" s="2">
        <f t="shared" si="14"/>
        <v>6</v>
      </c>
      <c r="Y46" s="2"/>
      <c r="Z46" s="19">
        <f t="shared" si="15"/>
        <v>0</v>
      </c>
    </row>
    <row r="47" spans="1:26" s="24" customFormat="1" hidden="1" outlineLevel="1" x14ac:dyDescent="0.25">
      <c r="A47" s="44"/>
      <c r="B47" s="11" t="str">
        <f>CONCATENATE("          ", "5525", " - ", "FREIGHT-IN-TEST FORMS")</f>
        <v xml:space="preserve">          5525 - FREIGHT-IN-TEST FORMS</v>
      </c>
      <c r="C47" s="11"/>
      <c r="D47" s="2">
        <v>335.7</v>
      </c>
      <c r="E47" s="2"/>
      <c r="F47" s="19">
        <f t="shared" si="8"/>
        <v>1.7448015879409626E-2</v>
      </c>
      <c r="G47" s="2"/>
      <c r="H47" s="2"/>
      <c r="I47" s="2"/>
      <c r="J47" s="19">
        <f t="shared" si="9"/>
        <v>0</v>
      </c>
      <c r="K47" s="2"/>
      <c r="L47" s="2">
        <f t="shared" si="10"/>
        <v>335.7</v>
      </c>
      <c r="M47" s="2"/>
      <c r="N47" s="19">
        <f t="shared" si="11"/>
        <v>0</v>
      </c>
      <c r="O47" s="11"/>
      <c r="P47" s="2">
        <v>374.92</v>
      </c>
      <c r="Q47" s="2"/>
      <c r="R47" s="19">
        <f t="shared" si="12"/>
        <v>1.6688302288841699E-3</v>
      </c>
      <c r="S47" s="2"/>
      <c r="T47" s="2">
        <v>50.92</v>
      </c>
      <c r="U47" s="2"/>
      <c r="V47" s="19">
        <f t="shared" si="13"/>
        <v>2.3149177354067215E-4</v>
      </c>
      <c r="W47" s="2"/>
      <c r="X47" s="2">
        <f t="shared" si="14"/>
        <v>324</v>
      </c>
      <c r="Y47" s="2"/>
      <c r="Z47" s="19">
        <f t="shared" si="15"/>
        <v>6.3629222309505105</v>
      </c>
    </row>
    <row r="48" spans="1:26" s="24" customFormat="1" hidden="1" outlineLevel="1" x14ac:dyDescent="0.25">
      <c r="A48" s="44"/>
      <c r="B48" s="11" t="str">
        <f>CONCATENATE("          ", "5526", " - ", "FREIGHT-IN-WRITING INSTRUMENTS")</f>
        <v xml:space="preserve">          5526 - FREIGHT-IN-WRITING INSTRUMENTS</v>
      </c>
      <c r="C48" s="11"/>
      <c r="D48" s="2">
        <v>160.91999999999999</v>
      </c>
      <c r="E48" s="2"/>
      <c r="F48" s="19">
        <f t="shared" si="8"/>
        <v>8.3638210167250437E-3</v>
      </c>
      <c r="G48" s="2"/>
      <c r="H48" s="2">
        <v>33.840000000000003</v>
      </c>
      <c r="I48" s="2"/>
      <c r="J48" s="19">
        <f t="shared" si="9"/>
        <v>1.7468366976114175E-3</v>
      </c>
      <c r="K48" s="2"/>
      <c r="L48" s="2">
        <f t="shared" si="10"/>
        <v>127.07999999999998</v>
      </c>
      <c r="M48" s="2"/>
      <c r="N48" s="19">
        <f t="shared" si="11"/>
        <v>3.7553191489361692</v>
      </c>
      <c r="O48" s="11"/>
      <c r="P48" s="2">
        <v>217.49</v>
      </c>
      <c r="Q48" s="2"/>
      <c r="R48" s="19">
        <f t="shared" si="12"/>
        <v>9.6808355510513732E-4</v>
      </c>
      <c r="S48" s="2"/>
      <c r="T48" s="2">
        <v>100.32</v>
      </c>
      <c r="U48" s="2"/>
      <c r="V48" s="19">
        <f t="shared" si="13"/>
        <v>4.5607334488610029E-4</v>
      </c>
      <c r="W48" s="2"/>
      <c r="X48" s="2">
        <f t="shared" si="14"/>
        <v>117.17000000000002</v>
      </c>
      <c r="Y48" s="2"/>
      <c r="Z48" s="19">
        <f t="shared" si="15"/>
        <v>1.1679625199362045</v>
      </c>
    </row>
    <row r="49" spans="1:26" s="24" customFormat="1" hidden="1" outlineLevel="1" x14ac:dyDescent="0.25">
      <c r="A49" s="44"/>
      <c r="B49" s="11" t="str">
        <f>CONCATENATE("          ", "5527", " - ", "FREIGHT-IN-SCHOOL SUPPLIES")</f>
        <v xml:space="preserve">          5527 - FREIGHT-IN-SCHOOL SUPPLIES</v>
      </c>
      <c r="C49" s="11"/>
      <c r="D49" s="2">
        <v>134.09</v>
      </c>
      <c r="E49" s="2"/>
      <c r="F49" s="19">
        <f t="shared" si="8"/>
        <v>6.9693310970212604E-3</v>
      </c>
      <c r="G49" s="2"/>
      <c r="H49" s="2">
        <v>77.010000000000005</v>
      </c>
      <c r="I49" s="2"/>
      <c r="J49" s="19">
        <f t="shared" si="9"/>
        <v>3.9752923783408761E-3</v>
      </c>
      <c r="K49" s="2"/>
      <c r="L49" s="2">
        <f t="shared" si="10"/>
        <v>57.08</v>
      </c>
      <c r="M49" s="2"/>
      <c r="N49" s="19">
        <f t="shared" si="11"/>
        <v>0.74120244124139711</v>
      </c>
      <c r="O49" s="11"/>
      <c r="P49" s="2">
        <v>860.06</v>
      </c>
      <c r="Q49" s="2"/>
      <c r="R49" s="19">
        <f t="shared" si="12"/>
        <v>3.8282677015206417E-3</v>
      </c>
      <c r="S49" s="2"/>
      <c r="T49" s="2">
        <v>921.23</v>
      </c>
      <c r="U49" s="2"/>
      <c r="V49" s="19">
        <f t="shared" si="13"/>
        <v>4.1880826107398546E-3</v>
      </c>
      <c r="W49" s="2"/>
      <c r="X49" s="2">
        <f t="shared" si="14"/>
        <v>-61.170000000000073</v>
      </c>
      <c r="Y49" s="2"/>
      <c r="Z49" s="19">
        <f t="shared" si="15"/>
        <v>-6.6400356045721559E-2</v>
      </c>
    </row>
    <row r="50" spans="1:26" s="24" customFormat="1" hidden="1" outlineLevel="1" x14ac:dyDescent="0.25">
      <c r="A50" s="44"/>
      <c r="B50" s="11" t="str">
        <f>CONCATENATE("          ", "5528", " - ", "FREIGHT-IN-ART/TECH")</f>
        <v xml:space="preserve">          5528 - FREIGHT-IN-ART/TECH</v>
      </c>
      <c r="C50" s="11"/>
      <c r="D50" s="2">
        <v>3.81</v>
      </c>
      <c r="E50" s="2"/>
      <c r="F50" s="19">
        <f t="shared" si="8"/>
        <v>1.9802484510143188E-4</v>
      </c>
      <c r="G50" s="2"/>
      <c r="H50" s="2"/>
      <c r="I50" s="2"/>
      <c r="J50" s="19">
        <f t="shared" si="9"/>
        <v>0</v>
      </c>
      <c r="K50" s="2"/>
      <c r="L50" s="2">
        <f t="shared" si="10"/>
        <v>3.81</v>
      </c>
      <c r="M50" s="2"/>
      <c r="N50" s="19">
        <f t="shared" si="11"/>
        <v>0</v>
      </c>
      <c r="O50" s="11"/>
      <c r="P50" s="2">
        <v>47.81</v>
      </c>
      <c r="Q50" s="2"/>
      <c r="R50" s="19">
        <f t="shared" si="12"/>
        <v>2.1281012814187603E-4</v>
      </c>
      <c r="S50" s="2"/>
      <c r="T50" s="2">
        <v>15.78</v>
      </c>
      <c r="U50" s="2"/>
      <c r="V50" s="19">
        <f t="shared" si="13"/>
        <v>7.1738809632203575E-5</v>
      </c>
      <c r="W50" s="2"/>
      <c r="X50" s="2">
        <f t="shared" si="14"/>
        <v>32.03</v>
      </c>
      <c r="Y50" s="2"/>
      <c r="Z50" s="19">
        <f t="shared" si="15"/>
        <v>2.0297845373891001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9" t="s">
        <v>6</v>
      </c>
      <c r="C52" s="29"/>
      <c r="D52" s="21">
        <f>D12-D35</f>
        <v>9852.8300000000017</v>
      </c>
      <c r="E52" s="14"/>
      <c r="F52" s="20">
        <f>IF(D$12=0,0,D52/D$12)</f>
        <v>0.51210108518654629</v>
      </c>
      <c r="G52" s="14"/>
      <c r="H52" s="21">
        <f>H12-H35</f>
        <v>9709.3700000000044</v>
      </c>
      <c r="I52" s="14"/>
      <c r="J52" s="20">
        <f>IF(H$12=0,0,H52/H$12)</f>
        <v>0.50120224074135267</v>
      </c>
      <c r="K52" s="15"/>
      <c r="L52" s="21">
        <f>+D52-H52</f>
        <v>143.45999999999731</v>
      </c>
      <c r="M52" s="15"/>
      <c r="N52" s="20">
        <f>IF(H52=0,0,L52/H52)</f>
        <v>1.4775417972535523E-2</v>
      </c>
      <c r="O52" s="28"/>
      <c r="P52" s="21">
        <f>P12-P35</f>
        <v>120094.17000000001</v>
      </c>
      <c r="Q52" s="14"/>
      <c r="R52" s="20">
        <f>IF(P$12=0,0,P52/P$12)</f>
        <v>0.53455878909835275</v>
      </c>
      <c r="S52" s="14"/>
      <c r="T52" s="21">
        <f>T12-T35</f>
        <v>109692.97</v>
      </c>
      <c r="U52" s="14"/>
      <c r="V52" s="20">
        <f>IF(T$12=0,0,T52/T$12)</f>
        <v>0.49868460664265007</v>
      </c>
      <c r="W52" s="15"/>
      <c r="X52" s="21">
        <f>+P52-T52</f>
        <v>10401.200000000012</v>
      </c>
      <c r="Y52" s="15"/>
      <c r="Z52" s="20">
        <f>IF(T52=0,0,X52/T52)</f>
        <v>9.4821026361124244E-2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8" t="s">
        <v>9</v>
      </c>
      <c r="C54" s="10"/>
      <c r="D54" s="22">
        <f>SUM(OSRRefD22x_0)</f>
        <v>9864.3799999999974</v>
      </c>
      <c r="E54" s="22"/>
      <c r="F54" s="33">
        <f t="shared" ref="F54:F62" si="16">IF(D$12=0,0,D54/D$12)</f>
        <v>0.51270139672484571</v>
      </c>
      <c r="G54" s="22"/>
      <c r="H54" s="22">
        <f>SUM(OSRRefH22x_0)</f>
        <v>8253.4800000000014</v>
      </c>
      <c r="I54" s="22"/>
      <c r="J54" s="33">
        <f t="shared" ref="J54:J62" si="17">IF(H$12=0,0,H54/H$12)</f>
        <v>0.42604851498232515</v>
      </c>
      <c r="K54" s="4"/>
      <c r="L54" s="22">
        <f t="shared" ref="L54:L62" si="18">+D54-H54</f>
        <v>1610.899999999996</v>
      </c>
      <c r="M54" s="4"/>
      <c r="N54" s="33">
        <f t="shared" ref="N54:N62" si="19">IF(H54=0,0,L54/H54)</f>
        <v>0.19517827631495996</v>
      </c>
      <c r="O54" s="10"/>
      <c r="P54" s="22">
        <f>SUM(OSRRefP22x_0)</f>
        <v>50835.499999999993</v>
      </c>
      <c r="Q54" s="22"/>
      <c r="R54" s="33">
        <f t="shared" ref="R54:R62" si="20">IF(P$12=0,0,P54/P$12)</f>
        <v>0.2262771233874992</v>
      </c>
      <c r="S54" s="22"/>
      <c r="T54" s="22">
        <f>SUM(OSRRefT22x_0)</f>
        <v>45583.76</v>
      </c>
      <c r="U54" s="22"/>
      <c r="V54" s="33">
        <f t="shared" ref="V54:V62" si="21">IF(T$12=0,0,T54/T$12)</f>
        <v>0.20723223580228495</v>
      </c>
      <c r="W54" s="4"/>
      <c r="X54" s="22">
        <f t="shared" ref="X54:X62" si="22">+P54-T54</f>
        <v>5251.7399999999907</v>
      </c>
      <c r="Y54" s="4"/>
      <c r="Z54" s="33">
        <f t="shared" ref="Z54:Z62" si="23">IF(T54=0,0,X54/T54)</f>
        <v>0.1152107680454616</v>
      </c>
    </row>
    <row r="55" spans="1:26" s="25" customFormat="1" outlineLevel="1" collapsed="1" x14ac:dyDescent="0.25">
      <c r="A55" s="27"/>
      <c r="B55" s="13" t="str">
        <f>CONCATENATE("     ","*Benefits                                         ")</f>
        <v xml:space="preserve">     *Benefits                                         </v>
      </c>
      <c r="C55" s="13"/>
      <c r="D55" s="1">
        <f>SUM(OSRRefD22_0x_0)</f>
        <v>1800.21</v>
      </c>
      <c r="E55" s="1"/>
      <c r="F55" s="5">
        <f t="shared" si="16"/>
        <v>9.3565959685052144E-2</v>
      </c>
      <c r="G55" s="1"/>
      <c r="H55" s="1">
        <f>SUM(OSRRefH22_0x_0)</f>
        <v>1694.72</v>
      </c>
      <c r="I55" s="1"/>
      <c r="J55" s="5">
        <f t="shared" si="17"/>
        <v>8.7482242558393056E-2</v>
      </c>
      <c r="K55" s="1"/>
      <c r="L55" s="1">
        <f t="shared" si="18"/>
        <v>105.49000000000001</v>
      </c>
      <c r="M55" s="1"/>
      <c r="N55" s="5">
        <f t="shared" si="19"/>
        <v>6.2246270770392756E-2</v>
      </c>
      <c r="O55" s="13"/>
      <c r="P55" s="1">
        <f>SUM(OSRRefP22_0x_0)</f>
        <v>8596.77</v>
      </c>
      <c r="Q55" s="1"/>
      <c r="R55" s="5">
        <f t="shared" si="20"/>
        <v>3.8265629058904738E-2</v>
      </c>
      <c r="S55" s="1"/>
      <c r="T55" s="1">
        <f>SUM(OSRRefT22_0x_0)</f>
        <v>9018.1200000000008</v>
      </c>
      <c r="U55" s="1"/>
      <c r="V55" s="5">
        <f t="shared" si="21"/>
        <v>4.0998047776956134E-2</v>
      </c>
      <c r="W55" s="1"/>
      <c r="X55" s="1">
        <f t="shared" si="22"/>
        <v>-421.35000000000036</v>
      </c>
      <c r="Y55" s="1"/>
      <c r="Z55" s="5">
        <f t="shared" si="23"/>
        <v>-4.6722598501683317E-2</v>
      </c>
    </row>
    <row r="56" spans="1:26" s="24" customFormat="1" hidden="1" outlineLevel="2" x14ac:dyDescent="0.25">
      <c r="A56" s="26"/>
      <c r="B56" s="11" t="str">
        <f>CONCATENATE("          ", "6111", " - ", "F.I.C.A.")</f>
        <v xml:space="preserve">          6111 - F.I.C.A.</v>
      </c>
      <c r="C56" s="11"/>
      <c r="D56" s="6">
        <v>180.9</v>
      </c>
      <c r="E56" s="2"/>
      <c r="F56" s="7">
        <f t="shared" si="16"/>
        <v>9.4022820154459393E-3</v>
      </c>
      <c r="G56" s="2"/>
      <c r="H56" s="6">
        <v>185.94</v>
      </c>
      <c r="I56" s="2"/>
      <c r="J56" s="7">
        <f t="shared" si="17"/>
        <v>9.5983101523010317E-3</v>
      </c>
      <c r="K56" s="2"/>
      <c r="L56" s="6">
        <f t="shared" si="18"/>
        <v>-5.039999999999992</v>
      </c>
      <c r="M56" s="2"/>
      <c r="N56" s="7">
        <f t="shared" si="19"/>
        <v>-2.7105517909002862E-2</v>
      </c>
      <c r="O56" s="11"/>
      <c r="P56" s="6">
        <v>1415.17</v>
      </c>
      <c r="Q56" s="2"/>
      <c r="R56" s="7">
        <f t="shared" si="20"/>
        <v>6.2991530860183791E-3</v>
      </c>
      <c r="S56" s="2"/>
      <c r="T56" s="6">
        <v>1388.8</v>
      </c>
      <c r="U56" s="2"/>
      <c r="V56" s="7">
        <f t="shared" si="21"/>
        <v>6.3137426373386773E-3</v>
      </c>
      <c r="W56" s="2"/>
      <c r="X56" s="6">
        <f t="shared" si="22"/>
        <v>26.370000000000118</v>
      </c>
      <c r="Y56" s="2"/>
      <c r="Z56" s="7">
        <f t="shared" si="23"/>
        <v>1.8987615207373357E-2</v>
      </c>
    </row>
    <row r="57" spans="1:26" s="24" customFormat="1" hidden="1" outlineLevel="2" x14ac:dyDescent="0.25">
      <c r="A57" s="26"/>
      <c r="B57" s="11" t="str">
        <f>CONCATENATE("          ", "6112", " - ", "COMPENSATION INSURANCE")</f>
        <v xml:space="preserve">          6112 - COMPENSATION INSURANCE</v>
      </c>
      <c r="C57" s="11"/>
      <c r="D57" s="6">
        <v>118</v>
      </c>
      <c r="E57" s="2"/>
      <c r="F57" s="7">
        <f t="shared" si="16"/>
        <v>6.1330529453986777E-3</v>
      </c>
      <c r="G57" s="2"/>
      <c r="H57" s="6">
        <v>66.84</v>
      </c>
      <c r="I57" s="2"/>
      <c r="J57" s="7">
        <f t="shared" si="17"/>
        <v>3.4503122006012748E-3</v>
      </c>
      <c r="K57" s="2"/>
      <c r="L57" s="6">
        <f t="shared" si="18"/>
        <v>51.16</v>
      </c>
      <c r="M57" s="2"/>
      <c r="N57" s="7">
        <f t="shared" si="19"/>
        <v>0.76540993417115488</v>
      </c>
      <c r="O57" s="11"/>
      <c r="P57" s="6">
        <v>527.05999999999995</v>
      </c>
      <c r="Q57" s="2"/>
      <c r="R57" s="7">
        <f t="shared" si="20"/>
        <v>2.3460302476146656E-3</v>
      </c>
      <c r="S57" s="2"/>
      <c r="T57" s="6">
        <v>399.39</v>
      </c>
      <c r="U57" s="2"/>
      <c r="V57" s="7">
        <f t="shared" si="21"/>
        <v>1.815701088656894E-3</v>
      </c>
      <c r="W57" s="2"/>
      <c r="X57" s="6">
        <f t="shared" si="22"/>
        <v>127.66999999999996</v>
      </c>
      <c r="Y57" s="2"/>
      <c r="Z57" s="7">
        <f t="shared" si="23"/>
        <v>0.31966248529006724</v>
      </c>
    </row>
    <row r="58" spans="1:26" s="24" customFormat="1" hidden="1" outlineLevel="2" x14ac:dyDescent="0.25">
      <c r="A58" s="26"/>
      <c r="B58" s="11" t="str">
        <f>CONCATENATE("          ", "6113", " - ", "GROUP INSURANCE")</f>
        <v xml:space="preserve">          6113 - GROUP INSURANCE</v>
      </c>
      <c r="C58" s="11"/>
      <c r="D58" s="6">
        <v>1107.68</v>
      </c>
      <c r="E58" s="2"/>
      <c r="F58" s="7">
        <f t="shared" si="16"/>
        <v>5.7571695648806841E-2</v>
      </c>
      <c r="G58" s="2"/>
      <c r="H58" s="6">
        <v>988.44</v>
      </c>
      <c r="I58" s="2"/>
      <c r="J58" s="7">
        <f t="shared" si="17"/>
        <v>5.1023737156827113E-2</v>
      </c>
      <c r="K58" s="2"/>
      <c r="L58" s="6">
        <f t="shared" si="18"/>
        <v>119.24000000000001</v>
      </c>
      <c r="M58" s="2"/>
      <c r="N58" s="7">
        <f t="shared" si="19"/>
        <v>0.12063453522722674</v>
      </c>
      <c r="O58" s="11"/>
      <c r="P58" s="6">
        <v>3880.44</v>
      </c>
      <c r="Q58" s="2"/>
      <c r="R58" s="7">
        <f t="shared" si="20"/>
        <v>1.7272472989894611E-2</v>
      </c>
      <c r="S58" s="2"/>
      <c r="T58" s="6">
        <v>4307.5600000000004</v>
      </c>
      <c r="U58" s="2"/>
      <c r="V58" s="7">
        <f t="shared" si="21"/>
        <v>1.9582967479042767E-2</v>
      </c>
      <c r="W58" s="2"/>
      <c r="X58" s="6">
        <f t="shared" si="22"/>
        <v>-427.12000000000035</v>
      </c>
      <c r="Y58" s="2"/>
      <c r="Z58" s="7">
        <f t="shared" si="23"/>
        <v>-9.9155902645581329E-2</v>
      </c>
    </row>
    <row r="59" spans="1:26" s="24" customFormat="1" hidden="1" outlineLevel="2" x14ac:dyDescent="0.25">
      <c r="A59" s="26"/>
      <c r="B59" s="11" t="str">
        <f>CONCATENATE("          ", "6114", " - ", "STATE UNEMPLOYMENT INSURANCE")</f>
        <v xml:space="preserve">          6114 - STATE UNEMPLOYMENT INSURANCE</v>
      </c>
      <c r="C59" s="11"/>
      <c r="D59" s="6">
        <v>17.170000000000002</v>
      </c>
      <c r="E59" s="2"/>
      <c r="F59" s="7">
        <f t="shared" si="16"/>
        <v>8.9241117858046863E-4</v>
      </c>
      <c r="G59" s="2"/>
      <c r="H59" s="6">
        <v>14.6</v>
      </c>
      <c r="I59" s="2"/>
      <c r="J59" s="7">
        <f t="shared" si="17"/>
        <v>7.5365885889854293E-4</v>
      </c>
      <c r="K59" s="2"/>
      <c r="L59" s="6">
        <f t="shared" si="18"/>
        <v>2.5700000000000021</v>
      </c>
      <c r="M59" s="2"/>
      <c r="N59" s="7">
        <f t="shared" si="19"/>
        <v>0.17602739726027411</v>
      </c>
      <c r="O59" s="11"/>
      <c r="P59" s="6">
        <v>91.7</v>
      </c>
      <c r="Q59" s="2"/>
      <c r="R59" s="7">
        <f t="shared" si="20"/>
        <v>4.0817169526479884E-4</v>
      </c>
      <c r="S59" s="2"/>
      <c r="T59" s="6">
        <v>87.27</v>
      </c>
      <c r="U59" s="2"/>
      <c r="V59" s="7">
        <f t="shared" si="21"/>
        <v>3.9674562209140725E-4</v>
      </c>
      <c r="W59" s="2"/>
      <c r="X59" s="6">
        <f t="shared" si="22"/>
        <v>4.4300000000000068</v>
      </c>
      <c r="Y59" s="2"/>
      <c r="Z59" s="7">
        <f t="shared" si="23"/>
        <v>5.0762002979259847E-2</v>
      </c>
    </row>
    <row r="60" spans="1:26" s="24" customFormat="1" hidden="1" outlineLevel="2" x14ac:dyDescent="0.25">
      <c r="A60" s="26"/>
      <c r="B60" s="11" t="str">
        <f>CONCATENATE("          ", "6115", " - ", "P.E.R.S.")</f>
        <v xml:space="preserve">          6115 - P.E.R.S.</v>
      </c>
      <c r="C60" s="11"/>
      <c r="D60" s="6">
        <v>232.24</v>
      </c>
      <c r="E60" s="2"/>
      <c r="F60" s="7">
        <f t="shared" si="16"/>
        <v>1.2070679796943973E-2</v>
      </c>
      <c r="G60" s="2"/>
      <c r="H60" s="6">
        <v>174.42</v>
      </c>
      <c r="I60" s="2"/>
      <c r="J60" s="7">
        <f t="shared" si="17"/>
        <v>9.0036423403482089E-3</v>
      </c>
      <c r="K60" s="2"/>
      <c r="L60" s="6">
        <f t="shared" si="18"/>
        <v>57.820000000000022</v>
      </c>
      <c r="M60" s="2"/>
      <c r="N60" s="7">
        <f t="shared" si="19"/>
        <v>0.33149868134388272</v>
      </c>
      <c r="O60" s="11"/>
      <c r="P60" s="6">
        <v>795.28</v>
      </c>
      <c r="Q60" s="2"/>
      <c r="R60" s="7">
        <f t="shared" si="20"/>
        <v>3.539921328355389E-3</v>
      </c>
      <c r="S60" s="2"/>
      <c r="T60" s="6">
        <v>956.76</v>
      </c>
      <c r="U60" s="2"/>
      <c r="V60" s="7">
        <f t="shared" si="21"/>
        <v>4.3496085870536813E-3</v>
      </c>
      <c r="W60" s="2"/>
      <c r="X60" s="6">
        <f t="shared" si="22"/>
        <v>-161.48000000000002</v>
      </c>
      <c r="Y60" s="2"/>
      <c r="Z60" s="7">
        <f t="shared" si="23"/>
        <v>-0.16877795894477196</v>
      </c>
    </row>
    <row r="61" spans="1:26" s="24" customFormat="1" hidden="1" outlineLevel="2" x14ac:dyDescent="0.25">
      <c r="A61" s="26"/>
      <c r="B61" s="11" t="str">
        <f>CONCATENATE("          ", "6118", " - ", "VACATION")</f>
        <v xml:space="preserve">          6118 - VACATION</v>
      </c>
      <c r="C61" s="11"/>
      <c r="D61" s="6">
        <v>57.28</v>
      </c>
      <c r="E61" s="2"/>
      <c r="F61" s="7">
        <f t="shared" si="16"/>
        <v>2.9771294297664089E-3</v>
      </c>
      <c r="G61" s="2"/>
      <c r="H61" s="6">
        <v>146.9</v>
      </c>
      <c r="I61" s="2"/>
      <c r="J61" s="7">
        <f t="shared" si="17"/>
        <v>7.5830470117942443E-3</v>
      </c>
      <c r="K61" s="2"/>
      <c r="L61" s="6">
        <f t="shared" si="18"/>
        <v>-89.62</v>
      </c>
      <c r="M61" s="2"/>
      <c r="N61" s="7">
        <f t="shared" si="19"/>
        <v>-0.6100748808713411</v>
      </c>
      <c r="O61" s="11"/>
      <c r="P61" s="6">
        <v>935.1</v>
      </c>
      <c r="Q61" s="2"/>
      <c r="R61" s="7">
        <f t="shared" si="20"/>
        <v>4.1622830124548897E-3</v>
      </c>
      <c r="S61" s="2"/>
      <c r="T61" s="6">
        <v>1063.57</v>
      </c>
      <c r="U61" s="2"/>
      <c r="V61" s="7">
        <f t="shared" si="21"/>
        <v>4.8351866768392114E-3</v>
      </c>
      <c r="W61" s="2"/>
      <c r="X61" s="6">
        <f t="shared" si="22"/>
        <v>-128.46999999999991</v>
      </c>
      <c r="Y61" s="2"/>
      <c r="Z61" s="7">
        <f t="shared" si="23"/>
        <v>-0.12079129723478466</v>
      </c>
    </row>
    <row r="62" spans="1:26" s="24" customFormat="1" hidden="1" outlineLevel="2" x14ac:dyDescent="0.25">
      <c r="A62" s="26"/>
      <c r="B62" s="11" t="str">
        <f>CONCATENATE("          ", "6119", " - ", "SICK LEAVE")</f>
        <v xml:space="preserve">          6119 - SICK LEAVE</v>
      </c>
      <c r="C62" s="11"/>
      <c r="D62" s="6">
        <v>86.94</v>
      </c>
      <c r="E62" s="2"/>
      <c r="F62" s="7">
        <f t="shared" si="16"/>
        <v>4.5187086701098389E-3</v>
      </c>
      <c r="G62" s="2"/>
      <c r="H62" s="6">
        <v>117.58</v>
      </c>
      <c r="I62" s="2"/>
      <c r="J62" s="7">
        <f t="shared" si="17"/>
        <v>6.0695348376226489E-3</v>
      </c>
      <c r="K62" s="2"/>
      <c r="L62" s="6">
        <f t="shared" si="18"/>
        <v>-30.64</v>
      </c>
      <c r="M62" s="2"/>
      <c r="N62" s="7">
        <f t="shared" si="19"/>
        <v>-0.26058853546521515</v>
      </c>
      <c r="O62" s="11"/>
      <c r="P62" s="6">
        <v>952.02</v>
      </c>
      <c r="Q62" s="2"/>
      <c r="R62" s="7">
        <f t="shared" si="20"/>
        <v>4.237596699302004E-3</v>
      </c>
      <c r="S62" s="2"/>
      <c r="T62" s="6">
        <v>814.77</v>
      </c>
      <c r="U62" s="2"/>
      <c r="V62" s="7">
        <f t="shared" si="21"/>
        <v>3.7040956859334924E-3</v>
      </c>
      <c r="W62" s="2"/>
      <c r="X62" s="6">
        <f t="shared" si="22"/>
        <v>137.25</v>
      </c>
      <c r="Y62" s="2"/>
      <c r="Z62" s="7">
        <f t="shared" si="23"/>
        <v>0.16845244670275047</v>
      </c>
    </row>
    <row r="63" spans="1:26" s="25" customFormat="1" outlineLevel="1" collapsed="1" x14ac:dyDescent="0.25">
      <c r="A63" s="27"/>
      <c r="B63" s="13" t="str">
        <f>CONCATENATE("     ","*Payroll                                          ")</f>
        <v xml:space="preserve">     *Payroll                                          </v>
      </c>
      <c r="C63" s="13"/>
      <c r="D63" s="1">
        <f>SUM(OSRRefD22_1x_0)</f>
        <v>6249.68</v>
      </c>
      <c r="E63" s="1"/>
      <c r="F63" s="5">
        <f t="shared" ref="F63:F67" si="24">IF(D$12=0,0,D63/D$12)</f>
        <v>0.32482727399829836</v>
      </c>
      <c r="G63" s="1"/>
      <c r="H63" s="1">
        <f>SUM(OSRRefH22_1x_0)</f>
        <v>5033.33</v>
      </c>
      <c r="I63" s="1"/>
      <c r="J63" s="5">
        <f t="shared" ref="J63:J67" si="25">IF(H$12=0,0,H63/H$12)</f>
        <v>0.25982285919587694</v>
      </c>
      <c r="K63" s="1"/>
      <c r="L63" s="1">
        <f t="shared" ref="L63:L67" si="26">+D63-H63</f>
        <v>1216.3500000000004</v>
      </c>
      <c r="M63" s="1"/>
      <c r="N63" s="5">
        <f t="shared" ref="N63:N67" si="27">IF(H63=0,0,L63/H63)</f>
        <v>0.24165910043649044</v>
      </c>
      <c r="O63" s="13"/>
      <c r="P63" s="1">
        <f>SUM(OSRRefP22_1x_0)</f>
        <v>36029.65</v>
      </c>
      <c r="Q63" s="1"/>
      <c r="R63" s="5">
        <f t="shared" ref="R63:R67" si="28">IF(P$12=0,0,P63/P$12)</f>
        <v>0.16037386390727762</v>
      </c>
      <c r="S63" s="1"/>
      <c r="T63" s="1">
        <f>SUM(OSRRefT22_1x_0)</f>
        <v>27498.720000000001</v>
      </c>
      <c r="U63" s="1"/>
      <c r="V63" s="5">
        <f t="shared" ref="V63:V67" si="29">IF(T$12=0,0,T63/T$12)</f>
        <v>0.1250142863884201</v>
      </c>
      <c r="W63" s="1"/>
      <c r="X63" s="1">
        <f t="shared" ref="X63:X67" si="30">+P63-T63</f>
        <v>8530.93</v>
      </c>
      <c r="Y63" s="1"/>
      <c r="Z63" s="5">
        <f t="shared" ref="Z63:Z67" si="31">IF(T63=0,0,X63/T63)</f>
        <v>0.31023007616354509</v>
      </c>
    </row>
    <row r="64" spans="1:26" s="24" customFormat="1" hidden="1" outlineLevel="2" x14ac:dyDescent="0.25">
      <c r="A64" s="26"/>
      <c r="B64" s="11" t="str">
        <f>CONCATENATE("          ", "6002", " - ", "STAFF SALARIES")</f>
        <v xml:space="preserve">          6002 - STAFF SALARIES</v>
      </c>
      <c r="C64" s="11"/>
      <c r="D64" s="6">
        <v>2364.8000000000002</v>
      </c>
      <c r="E64" s="2"/>
      <c r="F64" s="7">
        <f t="shared" si="24"/>
        <v>0.12291053902778638</v>
      </c>
      <c r="G64" s="2"/>
      <c r="H64" s="6">
        <v>2294.3000000000002</v>
      </c>
      <c r="I64" s="2"/>
      <c r="J64" s="7">
        <f t="shared" si="25"/>
        <v>0.11843284383362515</v>
      </c>
      <c r="K64" s="2"/>
      <c r="L64" s="6">
        <f t="shared" si="26"/>
        <v>70.5</v>
      </c>
      <c r="M64" s="2"/>
      <c r="N64" s="7">
        <f t="shared" si="27"/>
        <v>3.0728326722747678E-2</v>
      </c>
      <c r="O64" s="11"/>
      <c r="P64" s="6">
        <v>10996.91</v>
      </c>
      <c r="Q64" s="2"/>
      <c r="R64" s="7">
        <f t="shared" si="28"/>
        <v>4.8949044682381884E-2</v>
      </c>
      <c r="S64" s="2"/>
      <c r="T64" s="6">
        <v>13128.48</v>
      </c>
      <c r="U64" s="2"/>
      <c r="V64" s="7">
        <f t="shared" si="29"/>
        <v>5.968450744487909E-2</v>
      </c>
      <c r="W64" s="2"/>
      <c r="X64" s="6">
        <f t="shared" si="30"/>
        <v>-2131.5699999999997</v>
      </c>
      <c r="Y64" s="2"/>
      <c r="Z64" s="7">
        <f t="shared" si="31"/>
        <v>-0.16236228413342593</v>
      </c>
    </row>
    <row r="65" spans="1:26" s="24" customFormat="1" hidden="1" outlineLevel="2" x14ac:dyDescent="0.25">
      <c r="A65" s="26"/>
      <c r="B65" s="11" t="str">
        <f>CONCATENATE("          ", "6004", " - ", "STAFF HOURLY")</f>
        <v xml:space="preserve">          6004 - STAFF HOURLY</v>
      </c>
      <c r="C65" s="11"/>
      <c r="D65" s="6">
        <v>-48</v>
      </c>
      <c r="E65" s="2"/>
      <c r="F65" s="7">
        <f t="shared" si="24"/>
        <v>-2.4948011981282756E-3</v>
      </c>
      <c r="G65" s="2"/>
      <c r="H65" s="6"/>
      <c r="I65" s="2"/>
      <c r="J65" s="7">
        <f t="shared" si="25"/>
        <v>0</v>
      </c>
      <c r="K65" s="2"/>
      <c r="L65" s="6">
        <f t="shared" si="26"/>
        <v>-48</v>
      </c>
      <c r="M65" s="2"/>
      <c r="N65" s="7">
        <f t="shared" si="27"/>
        <v>0</v>
      </c>
      <c r="O65" s="11"/>
      <c r="P65" s="6">
        <v>-48</v>
      </c>
      <c r="Q65" s="2"/>
      <c r="R65" s="7">
        <f t="shared" si="28"/>
        <v>-2.1365584921167221E-4</v>
      </c>
      <c r="S65" s="2"/>
      <c r="T65" s="6"/>
      <c r="U65" s="2"/>
      <c r="V65" s="7">
        <f t="shared" si="29"/>
        <v>0</v>
      </c>
      <c r="W65" s="2"/>
      <c r="X65" s="6">
        <f t="shared" si="30"/>
        <v>-48</v>
      </c>
      <c r="Y65" s="2"/>
      <c r="Z65" s="7">
        <f t="shared" si="31"/>
        <v>0</v>
      </c>
    </row>
    <row r="66" spans="1:26" s="24" customFormat="1" hidden="1" outlineLevel="2" x14ac:dyDescent="0.25">
      <c r="A66" s="26"/>
      <c r="B66" s="11" t="str">
        <f>CONCATENATE("          ", "6006", " - ", "TEMPORARY PART TIME")</f>
        <v xml:space="preserve">          6006 - TEMPORARY PART TIME</v>
      </c>
      <c r="C66" s="11"/>
      <c r="D66" s="6"/>
      <c r="E66" s="2"/>
      <c r="F66" s="7">
        <f t="shared" si="24"/>
        <v>0</v>
      </c>
      <c r="G66" s="2"/>
      <c r="H66" s="6"/>
      <c r="I66" s="2"/>
      <c r="J66" s="7">
        <f t="shared" si="25"/>
        <v>0</v>
      </c>
      <c r="K66" s="2"/>
      <c r="L66" s="6">
        <f t="shared" si="26"/>
        <v>0</v>
      </c>
      <c r="M66" s="2"/>
      <c r="N66" s="7">
        <f t="shared" si="27"/>
        <v>0</v>
      </c>
      <c r="O66" s="11"/>
      <c r="P66" s="6"/>
      <c r="Q66" s="2"/>
      <c r="R66" s="7">
        <f t="shared" si="28"/>
        <v>0</v>
      </c>
      <c r="S66" s="2"/>
      <c r="T66" s="6">
        <v>58.75</v>
      </c>
      <c r="U66" s="2"/>
      <c r="V66" s="7">
        <f t="shared" si="29"/>
        <v>2.6708840721748799E-4</v>
      </c>
      <c r="W66" s="2"/>
      <c r="X66" s="6">
        <f t="shared" si="30"/>
        <v>-58.75</v>
      </c>
      <c r="Y66" s="2"/>
      <c r="Z66" s="7">
        <f t="shared" si="31"/>
        <v>-1</v>
      </c>
    </row>
    <row r="67" spans="1:26" s="24" customFormat="1" hidden="1" outlineLevel="2" x14ac:dyDescent="0.25">
      <c r="A67" s="26"/>
      <c r="B67" s="11" t="str">
        <f>CONCATENATE("          ", "6007", " - ", "STUDENT HOURLY")</f>
        <v xml:space="preserve">          6007 - STUDENT HOURLY</v>
      </c>
      <c r="C67" s="11"/>
      <c r="D67" s="6">
        <v>3932.88</v>
      </c>
      <c r="E67" s="2"/>
      <c r="F67" s="7">
        <f t="shared" si="24"/>
        <v>0.20441153616864027</v>
      </c>
      <c r="G67" s="2"/>
      <c r="H67" s="6">
        <v>2739.03</v>
      </c>
      <c r="I67" s="2"/>
      <c r="J67" s="7">
        <f t="shared" si="25"/>
        <v>0.14139001536225179</v>
      </c>
      <c r="K67" s="2"/>
      <c r="L67" s="6">
        <f t="shared" si="26"/>
        <v>1193.8499999999999</v>
      </c>
      <c r="M67" s="2"/>
      <c r="N67" s="7">
        <f t="shared" si="27"/>
        <v>0.43586598175266422</v>
      </c>
      <c r="O67" s="11"/>
      <c r="P67" s="6">
        <v>25080.74</v>
      </c>
      <c r="Q67" s="2"/>
      <c r="R67" s="7">
        <f t="shared" si="28"/>
        <v>0.11163847507410742</v>
      </c>
      <c r="S67" s="2"/>
      <c r="T67" s="6">
        <v>14311.49</v>
      </c>
      <c r="U67" s="2"/>
      <c r="V67" s="7">
        <f t="shared" si="29"/>
        <v>6.506269053632352E-2</v>
      </c>
      <c r="W67" s="2"/>
      <c r="X67" s="6">
        <f t="shared" si="30"/>
        <v>10769.250000000002</v>
      </c>
      <c r="Y67" s="2"/>
      <c r="Z67" s="7">
        <f t="shared" si="31"/>
        <v>0.75248978268510136</v>
      </c>
    </row>
    <row r="68" spans="1:26" s="25" customFormat="1" outlineLevel="1" collapsed="1" x14ac:dyDescent="0.25">
      <c r="A68" s="27"/>
      <c r="B68" s="13" t="str">
        <f>CONCATENATE("     ","Advertising/Promo                                 ")</f>
        <v xml:space="preserve">     Advertising/Promo                                 </v>
      </c>
      <c r="C68" s="13"/>
      <c r="D68" s="1">
        <f>SUM(OSRRefD22_2x_0)</f>
        <v>545</v>
      </c>
      <c r="E68" s="1"/>
      <c r="F68" s="5">
        <f t="shared" ref="F68:F72" si="32">IF(D$12=0,0,D68/D$12)</f>
        <v>2.8326388603748129E-2</v>
      </c>
      <c r="G68" s="1"/>
      <c r="H68" s="1">
        <f>SUM(OSRRefH22_2x_0)</f>
        <v>89</v>
      </c>
      <c r="I68" s="1"/>
      <c r="J68" s="5">
        <f t="shared" ref="J68:J72" si="33">IF(H$12=0,0,H68/H$12)</f>
        <v>4.5942218110938578E-3</v>
      </c>
      <c r="K68" s="1"/>
      <c r="L68" s="1">
        <f t="shared" ref="L68:L72" si="34">+D68-H68</f>
        <v>456</v>
      </c>
      <c r="M68" s="1"/>
      <c r="N68" s="5">
        <f t="shared" ref="N68:N72" si="35">IF(H68=0,0,L68/H68)</f>
        <v>5.1235955056179776</v>
      </c>
      <c r="O68" s="13"/>
      <c r="P68" s="1">
        <f>SUM(OSRRefP22_2x_0)</f>
        <v>881.86</v>
      </c>
      <c r="Q68" s="1"/>
      <c r="R68" s="5">
        <f t="shared" ref="R68:R72" si="36">IF(P$12=0,0,P68/P$12)</f>
        <v>3.9253030663709432E-3</v>
      </c>
      <c r="S68" s="1"/>
      <c r="T68" s="1">
        <f>SUM(OSRRefT22_2x_0)</f>
        <v>917.86</v>
      </c>
      <c r="U68" s="1"/>
      <c r="V68" s="5">
        <f t="shared" ref="V68:V72" si="37">IF(T$12=0,0,T68/T$12)</f>
        <v>4.1727619650832942E-3</v>
      </c>
      <c r="W68" s="1"/>
      <c r="X68" s="1">
        <f t="shared" ref="X68:X72" si="38">+P68-T68</f>
        <v>-36</v>
      </c>
      <c r="Y68" s="1"/>
      <c r="Z68" s="5">
        <f t="shared" ref="Z68:Z72" si="39">IF(T68=0,0,X68/T68)</f>
        <v>-3.9221667792473797E-2</v>
      </c>
    </row>
    <row r="69" spans="1:26" s="24" customFormat="1" hidden="1" outlineLevel="2" x14ac:dyDescent="0.25">
      <c r="A69" s="26"/>
      <c r="B69" s="11" t="str">
        <f>CONCATENATE("          ", "6362", " - ", "ADVERTISING EXPENSE")</f>
        <v xml:space="preserve">          6362 - ADVERTISING EXPENSE</v>
      </c>
      <c r="C69" s="11"/>
      <c r="D69" s="6">
        <v>545</v>
      </c>
      <c r="E69" s="2"/>
      <c r="F69" s="7">
        <f t="shared" si="32"/>
        <v>2.8326388603748129E-2</v>
      </c>
      <c r="G69" s="2"/>
      <c r="H69" s="6">
        <v>89</v>
      </c>
      <c r="I69" s="2"/>
      <c r="J69" s="7">
        <f t="shared" si="33"/>
        <v>4.5942218110938578E-3</v>
      </c>
      <c r="K69" s="2"/>
      <c r="L69" s="6">
        <f t="shared" si="34"/>
        <v>456</v>
      </c>
      <c r="M69" s="2"/>
      <c r="N69" s="7">
        <f t="shared" si="35"/>
        <v>5.1235955056179776</v>
      </c>
      <c r="O69" s="11"/>
      <c r="P69" s="6">
        <v>881.86</v>
      </c>
      <c r="Q69" s="2"/>
      <c r="R69" s="7">
        <f t="shared" si="36"/>
        <v>3.9253030663709432E-3</v>
      </c>
      <c r="S69" s="2"/>
      <c r="T69" s="6">
        <v>917.86</v>
      </c>
      <c r="U69" s="2"/>
      <c r="V69" s="7">
        <f t="shared" si="37"/>
        <v>4.1727619650832942E-3</v>
      </c>
      <c r="W69" s="2"/>
      <c r="X69" s="6">
        <f t="shared" si="38"/>
        <v>-36</v>
      </c>
      <c r="Y69" s="2"/>
      <c r="Z69" s="7">
        <f t="shared" si="39"/>
        <v>-3.9221667792473797E-2</v>
      </c>
    </row>
    <row r="70" spans="1:26" s="25" customFormat="1" outlineLevel="1" collapsed="1" x14ac:dyDescent="0.25">
      <c r="A70" s="27"/>
      <c r="B70" s="13" t="str">
        <f>CONCATENATE("     ","Discounts and Markdowns                           ")</f>
        <v xml:space="preserve">     Discounts and Markdowns                           </v>
      </c>
      <c r="C70" s="13"/>
      <c r="D70" s="1">
        <f>SUM(OSRRefD22_3x_0)</f>
        <v>1229.05</v>
      </c>
      <c r="E70" s="1"/>
      <c r="F70" s="5">
        <f t="shared" si="32"/>
        <v>6.38799044283241E-2</v>
      </c>
      <c r="G70" s="1"/>
      <c r="H70" s="1">
        <f>SUM(OSRRefH22_3x_0)</f>
        <v>1359.2</v>
      </c>
      <c r="I70" s="1"/>
      <c r="J70" s="5">
        <f t="shared" si="33"/>
        <v>7.0162542535267089E-2</v>
      </c>
      <c r="K70" s="1"/>
      <c r="L70" s="1">
        <f t="shared" si="34"/>
        <v>-130.15000000000009</v>
      </c>
      <c r="M70" s="1"/>
      <c r="N70" s="5">
        <f t="shared" si="35"/>
        <v>-9.5754855797528016E-2</v>
      </c>
      <c r="O70" s="13"/>
      <c r="P70" s="1">
        <f>SUM(OSRRefP22_3x_0)</f>
        <v>4949.57</v>
      </c>
      <c r="Q70" s="1"/>
      <c r="R70" s="5">
        <f t="shared" si="36"/>
        <v>2.2031345449637842E-2</v>
      </c>
      <c r="S70" s="1"/>
      <c r="T70" s="1">
        <f>SUM(OSRRefT22_3x_0)</f>
        <v>7501.09</v>
      </c>
      <c r="U70" s="1"/>
      <c r="V70" s="5">
        <f t="shared" si="37"/>
        <v>3.4101347753106845E-2</v>
      </c>
      <c r="W70" s="1"/>
      <c r="X70" s="1">
        <f t="shared" si="38"/>
        <v>-2551.5200000000004</v>
      </c>
      <c r="Y70" s="1"/>
      <c r="Z70" s="5">
        <f t="shared" si="39"/>
        <v>-0.34015323106375212</v>
      </c>
    </row>
    <row r="71" spans="1:26" s="24" customFormat="1" hidden="1" outlineLevel="2" x14ac:dyDescent="0.25">
      <c r="A71" s="26"/>
      <c r="B71" s="11" t="str">
        <f>CONCATENATE("          ", "6382", " - ", "DISCOUNTS/MARK DOWNS")</f>
        <v xml:space="preserve">          6382 - DISCOUNTS/MARK DOWNS</v>
      </c>
      <c r="C71" s="11"/>
      <c r="D71" s="6">
        <v>1040.48</v>
      </c>
      <c r="E71" s="2"/>
      <c r="F71" s="7">
        <f t="shared" si="32"/>
        <v>5.4078973971427254E-2</v>
      </c>
      <c r="G71" s="2"/>
      <c r="H71" s="6">
        <v>1349.63</v>
      </c>
      <c r="I71" s="2"/>
      <c r="J71" s="7">
        <f t="shared" si="33"/>
        <v>6.9668534639400037E-2</v>
      </c>
      <c r="K71" s="2"/>
      <c r="L71" s="6">
        <f t="shared" si="34"/>
        <v>-309.15000000000009</v>
      </c>
      <c r="M71" s="2"/>
      <c r="N71" s="7">
        <f t="shared" si="35"/>
        <v>-0.22906278016937981</v>
      </c>
      <c r="O71" s="11"/>
      <c r="P71" s="6">
        <v>4949.57</v>
      </c>
      <c r="Q71" s="2"/>
      <c r="R71" s="7">
        <f t="shared" si="36"/>
        <v>2.2031345449637842E-2</v>
      </c>
      <c r="S71" s="2"/>
      <c r="T71" s="6">
        <v>6866.18</v>
      </c>
      <c r="U71" s="2"/>
      <c r="V71" s="7">
        <f t="shared" si="37"/>
        <v>3.1214929019039519E-2</v>
      </c>
      <c r="W71" s="2"/>
      <c r="X71" s="6">
        <f t="shared" si="38"/>
        <v>-1916.6100000000006</v>
      </c>
      <c r="Y71" s="2"/>
      <c r="Z71" s="7">
        <f t="shared" si="39"/>
        <v>-0.27913774471394581</v>
      </c>
    </row>
    <row r="72" spans="1:26" s="24" customFormat="1" hidden="1" outlineLevel="2" x14ac:dyDescent="0.25">
      <c r="A72" s="26"/>
      <c r="B72" s="11" t="str">
        <f>CONCATENATE("          ", "9175", " - ", "EARNED DISCOUNTS")</f>
        <v xml:space="preserve">          9175 - EARNED DISCOUNTS</v>
      </c>
      <c r="C72" s="11"/>
      <c r="D72" s="6">
        <v>188.57</v>
      </c>
      <c r="E72" s="2"/>
      <c r="F72" s="7">
        <f t="shared" si="32"/>
        <v>9.800930456896853E-3</v>
      </c>
      <c r="G72" s="2"/>
      <c r="H72" s="6">
        <v>9.57</v>
      </c>
      <c r="I72" s="2"/>
      <c r="J72" s="7">
        <f t="shared" si="33"/>
        <v>4.9400789586705868E-4</v>
      </c>
      <c r="K72" s="2"/>
      <c r="L72" s="6">
        <f t="shared" si="34"/>
        <v>179</v>
      </c>
      <c r="M72" s="2"/>
      <c r="N72" s="7">
        <f t="shared" si="35"/>
        <v>18.704284221525601</v>
      </c>
      <c r="O72" s="11"/>
      <c r="P72" s="6">
        <v>0</v>
      </c>
      <c r="Q72" s="2"/>
      <c r="R72" s="7">
        <f t="shared" si="36"/>
        <v>0</v>
      </c>
      <c r="S72" s="2"/>
      <c r="T72" s="6">
        <v>634.91</v>
      </c>
      <c r="U72" s="2"/>
      <c r="V72" s="7">
        <f t="shared" si="37"/>
        <v>2.8864187340673238E-3</v>
      </c>
      <c r="W72" s="2"/>
      <c r="X72" s="6">
        <f t="shared" si="38"/>
        <v>-634.91</v>
      </c>
      <c r="Y72" s="2"/>
      <c r="Z72" s="7">
        <f t="shared" si="39"/>
        <v>-1</v>
      </c>
    </row>
    <row r="73" spans="1:26" s="25" customFormat="1" outlineLevel="1" collapsed="1" x14ac:dyDescent="0.25">
      <c r="A73" s="27"/>
      <c r="B73" s="13" t="str">
        <f>CONCATENATE("     ","Employees' Appreciation                           ")</f>
        <v xml:space="preserve">     Employees' Appreciation                           </v>
      </c>
      <c r="C73" s="13"/>
      <c r="D73" s="1">
        <f>SUM(OSRRefD22_4x_0)</f>
        <v>0</v>
      </c>
      <c r="E73" s="1"/>
      <c r="F73" s="5">
        <f t="shared" ref="F73:F81" si="40">IF(D$12=0,0,D73/D$12)</f>
        <v>0</v>
      </c>
      <c r="G73" s="1"/>
      <c r="H73" s="1">
        <f>SUM(OSRRefH22_4x_0)</f>
        <v>19.97</v>
      </c>
      <c r="I73" s="1"/>
      <c r="J73" s="5">
        <f t="shared" ref="J73:J81" si="41">IF(H$12=0,0,H73/H$12)</f>
        <v>1.0308607816578014E-3</v>
      </c>
      <c r="K73" s="1"/>
      <c r="L73" s="1">
        <f t="shared" ref="L73:L81" si="42">+D73-H73</f>
        <v>-19.97</v>
      </c>
      <c r="M73" s="1"/>
      <c r="N73" s="5">
        <f t="shared" ref="N73:N81" si="43">IF(H73=0,0,L73/H73)</f>
        <v>-1</v>
      </c>
      <c r="O73" s="13"/>
      <c r="P73" s="1">
        <f>SUM(OSRRefP22_4x_0)</f>
        <v>0</v>
      </c>
      <c r="Q73" s="1"/>
      <c r="R73" s="5">
        <f t="shared" ref="R73:R81" si="44">IF(P$12=0,0,P73/P$12)</f>
        <v>0</v>
      </c>
      <c r="S73" s="1"/>
      <c r="T73" s="1">
        <f>SUM(OSRRefT22_4x_0)</f>
        <v>19.97</v>
      </c>
      <c r="U73" s="1"/>
      <c r="V73" s="5">
        <f t="shared" ref="V73:V81" si="45">IF(T$12=0,0,T73/T$12)</f>
        <v>9.078732752567208E-5</v>
      </c>
      <c r="W73" s="1"/>
      <c r="X73" s="1">
        <f t="shared" ref="X73:X81" si="46">+P73-T73</f>
        <v>-19.97</v>
      </c>
      <c r="Y73" s="1"/>
      <c r="Z73" s="5">
        <f t="shared" ref="Z73:Z81" si="47">IF(T73=0,0,X73/T73)</f>
        <v>-1</v>
      </c>
    </row>
    <row r="74" spans="1:26" s="24" customFormat="1" hidden="1" outlineLevel="2" x14ac:dyDescent="0.25">
      <c r="A74" s="26"/>
      <c r="B74" s="11" t="str">
        <f>CONCATENATE("          ", "6277", " - ", "EMPLOYEE APPRECIATION")</f>
        <v xml:space="preserve">          6277 - EMPLOYEE APPRECIATION</v>
      </c>
      <c r="C74" s="11"/>
      <c r="D74" s="6"/>
      <c r="E74" s="2"/>
      <c r="F74" s="7">
        <f t="shared" si="40"/>
        <v>0</v>
      </c>
      <c r="G74" s="2"/>
      <c r="H74" s="6">
        <v>19.97</v>
      </c>
      <c r="I74" s="2"/>
      <c r="J74" s="7">
        <f t="shared" si="41"/>
        <v>1.0308607816578014E-3</v>
      </c>
      <c r="K74" s="2"/>
      <c r="L74" s="6">
        <f t="shared" si="42"/>
        <v>-19.97</v>
      </c>
      <c r="M74" s="2"/>
      <c r="N74" s="7">
        <f t="shared" si="43"/>
        <v>-1</v>
      </c>
      <c r="O74" s="11"/>
      <c r="P74" s="6"/>
      <c r="Q74" s="2"/>
      <c r="R74" s="7">
        <f t="shared" si="44"/>
        <v>0</v>
      </c>
      <c r="S74" s="2"/>
      <c r="T74" s="6">
        <v>19.97</v>
      </c>
      <c r="U74" s="2"/>
      <c r="V74" s="7">
        <f t="shared" si="45"/>
        <v>9.078732752567208E-5</v>
      </c>
      <c r="W74" s="2"/>
      <c r="X74" s="6">
        <f t="shared" si="46"/>
        <v>-19.97</v>
      </c>
      <c r="Y74" s="2"/>
      <c r="Z74" s="7">
        <f t="shared" si="47"/>
        <v>-1</v>
      </c>
    </row>
    <row r="75" spans="1:26" s="25" customFormat="1" outlineLevel="1" collapsed="1" x14ac:dyDescent="0.25">
      <c r="A75" s="27"/>
      <c r="B75" s="13" t="str">
        <f>CONCATENATE("     ","Freight out/Postage                               ")</f>
        <v xml:space="preserve">     Freight out/Postage                               </v>
      </c>
      <c r="C75" s="13"/>
      <c r="D75" s="1">
        <f>SUM(OSRRefD22_5x_0)</f>
        <v>15.81</v>
      </c>
      <c r="E75" s="1"/>
      <c r="F75" s="5">
        <f t="shared" si="40"/>
        <v>8.2172514463350085E-4</v>
      </c>
      <c r="G75" s="1"/>
      <c r="H75" s="1">
        <f>SUM(OSRRefH22_5x_0)</f>
        <v>0</v>
      </c>
      <c r="I75" s="1"/>
      <c r="J75" s="5">
        <f t="shared" si="41"/>
        <v>0</v>
      </c>
      <c r="K75" s="1"/>
      <c r="L75" s="1">
        <f t="shared" si="42"/>
        <v>15.81</v>
      </c>
      <c r="M75" s="1"/>
      <c r="N75" s="5">
        <f t="shared" si="43"/>
        <v>0</v>
      </c>
      <c r="O75" s="13"/>
      <c r="P75" s="1">
        <f>SUM(OSRRefP22_5x_0)</f>
        <v>15.81</v>
      </c>
      <c r="Q75" s="1"/>
      <c r="R75" s="5">
        <f t="shared" si="44"/>
        <v>7.0372895334094539E-5</v>
      </c>
      <c r="S75" s="1"/>
      <c r="T75" s="1">
        <f>SUM(OSRRefT22_5x_0)</f>
        <v>5.0999999999999996</v>
      </c>
      <c r="U75" s="1"/>
      <c r="V75" s="5">
        <f t="shared" si="45"/>
        <v>2.318554683930534E-5</v>
      </c>
      <c r="W75" s="1"/>
      <c r="X75" s="1">
        <f t="shared" si="46"/>
        <v>10.71</v>
      </c>
      <c r="Y75" s="1"/>
      <c r="Z75" s="5">
        <f t="shared" si="47"/>
        <v>2.1000000000000005</v>
      </c>
    </row>
    <row r="76" spans="1:26" s="24" customFormat="1" hidden="1" outlineLevel="2" x14ac:dyDescent="0.25">
      <c r="A76" s="26"/>
      <c r="B76" s="11" t="str">
        <f>CONCATENATE("          ", "6305", " - ", "FREIGHT OUT")</f>
        <v xml:space="preserve">          6305 - FREIGHT OUT</v>
      </c>
      <c r="C76" s="11"/>
      <c r="D76" s="6">
        <v>15.81</v>
      </c>
      <c r="E76" s="2"/>
      <c r="F76" s="7">
        <f t="shared" si="40"/>
        <v>8.2172514463350085E-4</v>
      </c>
      <c r="G76" s="2"/>
      <c r="H76" s="6"/>
      <c r="I76" s="2"/>
      <c r="J76" s="7">
        <f t="shared" si="41"/>
        <v>0</v>
      </c>
      <c r="K76" s="2"/>
      <c r="L76" s="6">
        <f t="shared" si="42"/>
        <v>15.81</v>
      </c>
      <c r="M76" s="2"/>
      <c r="N76" s="7">
        <f t="shared" si="43"/>
        <v>0</v>
      </c>
      <c r="O76" s="11"/>
      <c r="P76" s="6">
        <v>15.81</v>
      </c>
      <c r="Q76" s="2"/>
      <c r="R76" s="7">
        <f t="shared" si="44"/>
        <v>7.0372895334094539E-5</v>
      </c>
      <c r="S76" s="2"/>
      <c r="T76" s="6">
        <v>5.0999999999999996</v>
      </c>
      <c r="U76" s="2"/>
      <c r="V76" s="7">
        <f t="shared" si="45"/>
        <v>2.318554683930534E-5</v>
      </c>
      <c r="W76" s="2"/>
      <c r="X76" s="6">
        <f t="shared" si="46"/>
        <v>10.71</v>
      </c>
      <c r="Y76" s="2"/>
      <c r="Z76" s="7">
        <f t="shared" si="47"/>
        <v>2.1000000000000005</v>
      </c>
    </row>
    <row r="77" spans="1:26" s="25" customFormat="1" outlineLevel="1" collapsed="1" x14ac:dyDescent="0.25">
      <c r="A77" s="27"/>
      <c r="B77" s="13" t="str">
        <f>CONCATENATE("     ","Subscriptions &amp; Dues                              ")</f>
        <v xml:space="preserve">     Subscriptions &amp; Dues                              </v>
      </c>
      <c r="C77" s="13"/>
      <c r="D77" s="1">
        <f>SUM(OSRRefD22_6x_0)</f>
        <v>0</v>
      </c>
      <c r="E77" s="1"/>
      <c r="F77" s="5">
        <f t="shared" si="40"/>
        <v>0</v>
      </c>
      <c r="G77" s="1"/>
      <c r="H77" s="1">
        <f>SUM(OSRRefH22_6x_0)</f>
        <v>17.260000000000002</v>
      </c>
      <c r="I77" s="1"/>
      <c r="J77" s="5">
        <f t="shared" si="41"/>
        <v>8.9096930853348297E-4</v>
      </c>
      <c r="K77" s="1"/>
      <c r="L77" s="1">
        <f t="shared" si="42"/>
        <v>-17.260000000000002</v>
      </c>
      <c r="M77" s="1"/>
      <c r="N77" s="5">
        <f t="shared" si="43"/>
        <v>-1</v>
      </c>
      <c r="O77" s="13"/>
      <c r="P77" s="1">
        <f>SUM(OSRRefP22_6x_0)</f>
        <v>120</v>
      </c>
      <c r="Q77" s="1"/>
      <c r="R77" s="5">
        <f t="shared" si="44"/>
        <v>5.3413962302918054E-4</v>
      </c>
      <c r="S77" s="1"/>
      <c r="T77" s="1">
        <f>SUM(OSRRefT22_6x_0)</f>
        <v>137.26</v>
      </c>
      <c r="U77" s="1"/>
      <c r="V77" s="5">
        <f t="shared" si="45"/>
        <v>6.2400944297314723E-4</v>
      </c>
      <c r="W77" s="1"/>
      <c r="X77" s="1">
        <f t="shared" si="46"/>
        <v>-17.259999999999991</v>
      </c>
      <c r="Y77" s="1"/>
      <c r="Z77" s="5">
        <f t="shared" si="47"/>
        <v>-0.12574675797756077</v>
      </c>
    </row>
    <row r="78" spans="1:26" s="24" customFormat="1" hidden="1" outlineLevel="2" x14ac:dyDescent="0.25">
      <c r="A78" s="26"/>
      <c r="B78" s="11" t="str">
        <f>CONCATENATE("          ", "6258", " - ", "MEMBERSHIP DUES")</f>
        <v xml:space="preserve">          6258 - MEMBERSHIP DUES</v>
      </c>
      <c r="C78" s="11"/>
      <c r="D78" s="6"/>
      <c r="E78" s="2"/>
      <c r="F78" s="7">
        <f t="shared" si="40"/>
        <v>0</v>
      </c>
      <c r="G78" s="2"/>
      <c r="H78" s="6">
        <v>17.260000000000002</v>
      </c>
      <c r="I78" s="2"/>
      <c r="J78" s="7">
        <f t="shared" si="41"/>
        <v>8.9096930853348297E-4</v>
      </c>
      <c r="K78" s="2"/>
      <c r="L78" s="6">
        <f t="shared" si="42"/>
        <v>-17.260000000000002</v>
      </c>
      <c r="M78" s="2"/>
      <c r="N78" s="7">
        <f t="shared" si="43"/>
        <v>-1</v>
      </c>
      <c r="O78" s="11"/>
      <c r="P78" s="6">
        <v>120</v>
      </c>
      <c r="Q78" s="2"/>
      <c r="R78" s="7">
        <f t="shared" si="44"/>
        <v>5.3413962302918054E-4</v>
      </c>
      <c r="S78" s="2"/>
      <c r="T78" s="6">
        <v>137.26</v>
      </c>
      <c r="U78" s="2"/>
      <c r="V78" s="7">
        <f t="shared" si="45"/>
        <v>6.2400944297314723E-4</v>
      </c>
      <c r="W78" s="2"/>
      <c r="X78" s="6">
        <f t="shared" si="46"/>
        <v>-17.259999999999991</v>
      </c>
      <c r="Y78" s="2"/>
      <c r="Z78" s="7">
        <f t="shared" si="47"/>
        <v>-0.12574675797756077</v>
      </c>
    </row>
    <row r="79" spans="1:26" s="25" customFormat="1" outlineLevel="1" collapsed="1" x14ac:dyDescent="0.25">
      <c r="A79" s="27"/>
      <c r="B79" s="13" t="str">
        <f>CONCATENATE("     ","Supplies                                          ")</f>
        <v xml:space="preserve">     Supplies                                          </v>
      </c>
      <c r="C79" s="13"/>
      <c r="D79" s="1">
        <f>SUM(OSRRefD22_7x_0)</f>
        <v>24.63</v>
      </c>
      <c r="E79" s="1"/>
      <c r="F79" s="5">
        <f t="shared" si="40"/>
        <v>1.2801448647895713E-3</v>
      </c>
      <c r="G79" s="1"/>
      <c r="H79" s="1">
        <f>SUM(OSRRefH22_7x_0)</f>
        <v>0</v>
      </c>
      <c r="I79" s="1"/>
      <c r="J79" s="5">
        <f t="shared" si="41"/>
        <v>0</v>
      </c>
      <c r="K79" s="1"/>
      <c r="L79" s="1">
        <f t="shared" si="42"/>
        <v>24.63</v>
      </c>
      <c r="M79" s="1"/>
      <c r="N79" s="5">
        <f t="shared" si="43"/>
        <v>0</v>
      </c>
      <c r="O79" s="13"/>
      <c r="P79" s="1">
        <f>SUM(OSRRefP22_7x_0)</f>
        <v>241.84</v>
      </c>
      <c r="Q79" s="1"/>
      <c r="R79" s="5">
        <f t="shared" si="44"/>
        <v>1.0764693869448085E-3</v>
      </c>
      <c r="S79" s="1"/>
      <c r="T79" s="1">
        <f>SUM(OSRRefT22_7x_0)</f>
        <v>285.64</v>
      </c>
      <c r="U79" s="1"/>
      <c r="V79" s="5">
        <f t="shared" si="45"/>
        <v>1.2985724704272896E-3</v>
      </c>
      <c r="W79" s="1"/>
      <c r="X79" s="1">
        <f t="shared" si="46"/>
        <v>-43.799999999999983</v>
      </c>
      <c r="Y79" s="1"/>
      <c r="Z79" s="5">
        <f t="shared" si="47"/>
        <v>-0.15333986836577504</v>
      </c>
    </row>
    <row r="80" spans="1:26" s="24" customFormat="1" hidden="1" outlineLevel="2" x14ac:dyDescent="0.25">
      <c r="A80" s="26"/>
      <c r="B80" s="11" t="str">
        <f>CONCATENATE("          ", "6241", " - ", "OFFICE EXPENSE")</f>
        <v xml:space="preserve">          6241 - OFFICE EXPENSE</v>
      </c>
      <c r="C80" s="11"/>
      <c r="D80" s="6">
        <v>24.63</v>
      </c>
      <c r="E80" s="2"/>
      <c r="F80" s="7">
        <f t="shared" si="40"/>
        <v>1.2801448647895713E-3</v>
      </c>
      <c r="G80" s="2"/>
      <c r="H80" s="6"/>
      <c r="I80" s="2"/>
      <c r="J80" s="7">
        <f t="shared" si="41"/>
        <v>0</v>
      </c>
      <c r="K80" s="2"/>
      <c r="L80" s="6">
        <f t="shared" si="42"/>
        <v>24.63</v>
      </c>
      <c r="M80" s="2"/>
      <c r="N80" s="7">
        <f t="shared" si="43"/>
        <v>0</v>
      </c>
      <c r="O80" s="11"/>
      <c r="P80" s="6">
        <v>241.84</v>
      </c>
      <c r="Q80" s="2"/>
      <c r="R80" s="7">
        <f t="shared" si="44"/>
        <v>1.0764693869448085E-3</v>
      </c>
      <c r="S80" s="2"/>
      <c r="T80" s="6">
        <v>282.11</v>
      </c>
      <c r="U80" s="2"/>
      <c r="V80" s="7">
        <f t="shared" si="45"/>
        <v>1.2825244350659667E-3</v>
      </c>
      <c r="W80" s="2"/>
      <c r="X80" s="6">
        <f t="shared" si="46"/>
        <v>-40.27000000000001</v>
      </c>
      <c r="Y80" s="2"/>
      <c r="Z80" s="7">
        <f t="shared" si="47"/>
        <v>-0.14274573747828864</v>
      </c>
    </row>
    <row r="81" spans="1:26" s="24" customFormat="1" hidden="1" outlineLevel="2" x14ac:dyDescent="0.25">
      <c r="A81" s="26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0"/>
        <v>0</v>
      </c>
      <c r="G81" s="2"/>
      <c r="H81" s="6"/>
      <c r="I81" s="2"/>
      <c r="J81" s="7">
        <f t="shared" si="41"/>
        <v>0</v>
      </c>
      <c r="K81" s="2"/>
      <c r="L81" s="6">
        <f t="shared" si="42"/>
        <v>0</v>
      </c>
      <c r="M81" s="2"/>
      <c r="N81" s="7">
        <f t="shared" si="43"/>
        <v>0</v>
      </c>
      <c r="O81" s="11"/>
      <c r="P81" s="6"/>
      <c r="Q81" s="2"/>
      <c r="R81" s="7">
        <f t="shared" si="44"/>
        <v>0</v>
      </c>
      <c r="S81" s="2"/>
      <c r="T81" s="6">
        <v>3.53</v>
      </c>
      <c r="U81" s="2"/>
      <c r="V81" s="7">
        <f t="shared" si="45"/>
        <v>1.6048035361323105E-5</v>
      </c>
      <c r="W81" s="2"/>
      <c r="X81" s="6">
        <f t="shared" si="46"/>
        <v>-3.53</v>
      </c>
      <c r="Y81" s="2"/>
      <c r="Z81" s="7">
        <f t="shared" si="47"/>
        <v>-1</v>
      </c>
    </row>
    <row r="82" spans="1:26" s="25" customFormat="1" outlineLevel="1" collapsed="1" x14ac:dyDescent="0.25">
      <c r="A82" s="27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SUM(OSRRefD22_8x_0)</f>
        <v>0</v>
      </c>
      <c r="E82" s="1"/>
      <c r="F82" s="5">
        <f t="shared" ref="F82:F83" si="48">IF(D$12=0,0,D82/D$12)</f>
        <v>0</v>
      </c>
      <c r="G82" s="1"/>
      <c r="H82" s="1">
        <f>SUM(OSRRefH22_8x_0)</f>
        <v>40</v>
      </c>
      <c r="I82" s="1"/>
      <c r="J82" s="5">
        <f t="shared" ref="J82:J83" si="49">IF(H$12=0,0,H82/H$12)</f>
        <v>2.0648187915028571E-3</v>
      </c>
      <c r="K82" s="1"/>
      <c r="L82" s="1">
        <f t="shared" ref="L82:L83" si="50">+D82-H82</f>
        <v>-40</v>
      </c>
      <c r="M82" s="1"/>
      <c r="N82" s="5">
        <f t="shared" ref="N82:N83" si="51">IF(H82=0,0,L82/H82)</f>
        <v>-1</v>
      </c>
      <c r="O82" s="13"/>
      <c r="P82" s="1">
        <f>SUM(OSRRefP22_8x_0)</f>
        <v>0</v>
      </c>
      <c r="Q82" s="1"/>
      <c r="R82" s="5">
        <f t="shared" ref="R82:R83" si="52">IF(P$12=0,0,P82/P$12)</f>
        <v>0</v>
      </c>
      <c r="S82" s="1"/>
      <c r="T82" s="1">
        <f>SUM(OSRRefT22_8x_0)</f>
        <v>200</v>
      </c>
      <c r="U82" s="1"/>
      <c r="V82" s="5">
        <f t="shared" ref="V82:V83" si="53">IF(T$12=0,0,T82/T$12)</f>
        <v>9.0923713095315058E-4</v>
      </c>
      <c r="W82" s="1"/>
      <c r="X82" s="1">
        <f t="shared" ref="X82:X83" si="54">+P82-T82</f>
        <v>-200</v>
      </c>
      <c r="Y82" s="1"/>
      <c r="Z82" s="5">
        <f t="shared" ref="Z82:Z83" si="55">IF(T82=0,0,X82/T82)</f>
        <v>-1</v>
      </c>
    </row>
    <row r="83" spans="1:26" s="24" customFormat="1" hidden="1" outlineLevel="2" x14ac:dyDescent="0.25">
      <c r="A83" s="26"/>
      <c r="B83" s="11" t="str">
        <f>CONCATENATE("          ", "6309", " - ", "TELEPHONE")</f>
        <v xml:space="preserve">          6309 - TELEPHONE</v>
      </c>
      <c r="C83" s="11"/>
      <c r="D83" s="6"/>
      <c r="E83" s="2"/>
      <c r="F83" s="7">
        <f t="shared" si="48"/>
        <v>0</v>
      </c>
      <c r="G83" s="2"/>
      <c r="H83" s="6">
        <v>40</v>
      </c>
      <c r="I83" s="2"/>
      <c r="J83" s="7">
        <f t="shared" si="49"/>
        <v>2.0648187915028571E-3</v>
      </c>
      <c r="K83" s="2"/>
      <c r="L83" s="6">
        <f t="shared" si="50"/>
        <v>-40</v>
      </c>
      <c r="M83" s="2"/>
      <c r="N83" s="7">
        <f t="shared" si="51"/>
        <v>-1</v>
      </c>
      <c r="O83" s="11"/>
      <c r="P83" s="6"/>
      <c r="Q83" s="2"/>
      <c r="R83" s="7">
        <f t="shared" si="52"/>
        <v>0</v>
      </c>
      <c r="S83" s="2"/>
      <c r="T83" s="6">
        <v>200</v>
      </c>
      <c r="U83" s="2"/>
      <c r="V83" s="7">
        <f t="shared" si="53"/>
        <v>9.0923713095315058E-4</v>
      </c>
      <c r="W83" s="2"/>
      <c r="X83" s="6">
        <f t="shared" si="54"/>
        <v>-200</v>
      </c>
      <c r="Y83" s="2"/>
      <c r="Z83" s="7">
        <f t="shared" si="55"/>
        <v>-1</v>
      </c>
    </row>
    <row r="84" spans="1:26" s="53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8" t="s">
        <v>0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9" t="s">
        <v>3</v>
      </c>
      <c r="C87" s="29"/>
      <c r="D87" s="21">
        <f>+D52-D54+D85</f>
        <v>-11.549999999995634</v>
      </c>
      <c r="E87" s="14"/>
      <c r="F87" s="20">
        <f>IF(D$12=0,0,D87/D$12)</f>
        <v>-6.003115382993894E-4</v>
      </c>
      <c r="G87" s="14"/>
      <c r="H87" s="21">
        <f>+H52-H54+H85</f>
        <v>1455.8900000000031</v>
      </c>
      <c r="I87" s="14"/>
      <c r="J87" s="20">
        <f>IF(H$12=0,0,H87/H$12)</f>
        <v>7.5153725759027526E-2</v>
      </c>
      <c r="K87" s="15"/>
      <c r="L87" s="21">
        <f>+D87-H87</f>
        <v>-1467.4399999999987</v>
      </c>
      <c r="M87" s="15"/>
      <c r="N87" s="20">
        <f>IF(H87=0,0,L87/H87)</f>
        <v>-1.0079332916635155</v>
      </c>
      <c r="O87" s="28"/>
      <c r="P87" s="21">
        <f>+P52-P54+P85</f>
        <v>69258.670000000013</v>
      </c>
      <c r="Q87" s="14"/>
      <c r="R87" s="20">
        <f>IF(P$12=0,0,P87/P$12)</f>
        <v>0.30828166571085353</v>
      </c>
      <c r="S87" s="14"/>
      <c r="T87" s="21">
        <f>+T52-T54+T85</f>
        <v>64109.21</v>
      </c>
      <c r="U87" s="14"/>
      <c r="V87" s="20">
        <f>IF(T$12=0,0,T87/T$12)</f>
        <v>0.29145237084036513</v>
      </c>
      <c r="W87" s="15"/>
      <c r="X87" s="21">
        <f>+P87-T87</f>
        <v>5149.4600000000137</v>
      </c>
      <c r="Y87" s="15"/>
      <c r="Z87" s="20">
        <f>IF(T87=0,0,X87/T87)</f>
        <v>8.0323248406898376E-2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1"/>
      <c r="B89" s="10" t="s">
        <v>13</v>
      </c>
      <c r="C89" s="10"/>
      <c r="D89" s="4">
        <v>3111.87</v>
      </c>
      <c r="E89" s="4"/>
      <c r="F89" s="12">
        <f>IF(D$12=0,0,D89/D$12)</f>
        <v>0.16173952092540494</v>
      </c>
      <c r="G89" s="4"/>
      <c r="H89" s="4">
        <v>4722.83</v>
      </c>
      <c r="I89" s="4"/>
      <c r="J89" s="12">
        <f>IF(H$12=0,0,H89/H$12)</f>
        <v>0.24379470332683598</v>
      </c>
      <c r="K89" s="4"/>
      <c r="L89" s="4">
        <f>+D89-H89</f>
        <v>-1610.96</v>
      </c>
      <c r="M89" s="4"/>
      <c r="N89" s="12">
        <f>IF(H89=0,0,L89/H89)</f>
        <v>-0.34110056893853896</v>
      </c>
      <c r="O89" s="10"/>
      <c r="P89" s="4">
        <v>23790.01</v>
      </c>
      <c r="Q89" s="4"/>
      <c r="R89" s="12">
        <f>IF(P$12=0,0,P89/P$12)</f>
        <v>0.10589322477717029</v>
      </c>
      <c r="S89" s="4"/>
      <c r="T89" s="4">
        <v>23145.200000000001</v>
      </c>
      <c r="U89" s="4"/>
      <c r="V89" s="12">
        <f>IF(T$12=0,0,T89/T$12)</f>
        <v>0.1052223762166843</v>
      </c>
      <c r="W89" s="4"/>
      <c r="X89" s="4">
        <f>+P89-T89</f>
        <v>644.80999999999767</v>
      </c>
      <c r="Y89" s="4"/>
      <c r="Z89" s="12">
        <f>IF(T89=0,0,X89/T89)</f>
        <v>2.7859340165563386E-2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4</v>
      </c>
      <c r="C91" s="29"/>
      <c r="D91" s="31">
        <f>+D87-D89</f>
        <v>-3123.4199999999955</v>
      </c>
      <c r="E91" s="14"/>
      <c r="F91" s="32">
        <f>IF(D$12=0,0,D91/D$12)</f>
        <v>-0.16233983246370431</v>
      </c>
      <c r="G91" s="14"/>
      <c r="H91" s="31">
        <f>+H87-H89</f>
        <v>-3266.9399999999969</v>
      </c>
      <c r="I91" s="14"/>
      <c r="J91" s="32">
        <f>IF(H$12=0,0,H91/H$12)</f>
        <v>-0.16864097756780846</v>
      </c>
      <c r="K91" s="15"/>
      <c r="L91" s="31">
        <f>D91-H91</f>
        <v>143.52000000000135</v>
      </c>
      <c r="M91" s="15"/>
      <c r="N91" s="32">
        <f>IF(H91=0,0,L91/H91)</f>
        <v>-4.3931018016860265E-2</v>
      </c>
      <c r="O91" s="28"/>
      <c r="P91" s="31">
        <f>+P87-P89</f>
        <v>45468.660000000018</v>
      </c>
      <c r="Q91" s="14"/>
      <c r="R91" s="32">
        <f>IF(P$12=0,0,P91/P$12)</f>
        <v>0.20238844093368324</v>
      </c>
      <c r="S91" s="14"/>
      <c r="T91" s="31">
        <f>+T87-T89</f>
        <v>40964.009999999995</v>
      </c>
      <c r="U91" s="14"/>
      <c r="V91" s="32">
        <f>IF(T$12=0,0,T91/T$12)</f>
        <v>0.18622999462368081</v>
      </c>
      <c r="W91" s="15"/>
      <c r="X91" s="31">
        <f>P91-T91</f>
        <v>4504.6500000000233</v>
      </c>
      <c r="Y91" s="15"/>
      <c r="Z91" s="32">
        <f>IF(T91=0,0,X91/T91)</f>
        <v>0.10996604092226381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5</v>
      </c>
      <c r="C94" s="29"/>
      <c r="D94" s="34">
        <f>SUM(D91:D93)</f>
        <v>-3123.4199999999955</v>
      </c>
      <c r="E94" s="14"/>
      <c r="F94" s="30">
        <f>IF(D$12=0,0,D94/D$12)</f>
        <v>-0.16233983246370431</v>
      </c>
      <c r="G94" s="14"/>
      <c r="H94" s="34">
        <f>SUM(H91:H93)</f>
        <v>-3266.9399999999969</v>
      </c>
      <c r="I94" s="14"/>
      <c r="J94" s="30">
        <f>IF(H$12=0,0,H94/H$12)</f>
        <v>-0.16864097756780846</v>
      </c>
      <c r="K94" s="15"/>
      <c r="L94" s="34">
        <f>+D94-H94</f>
        <v>143.52000000000135</v>
      </c>
      <c r="M94" s="15"/>
      <c r="N94" s="30">
        <f>IF(H94=0,0,L94/H94)</f>
        <v>-4.3931018016860265E-2</v>
      </c>
      <c r="O94" s="28"/>
      <c r="P94" s="34">
        <f>SUM(P91:P93)</f>
        <v>45468.660000000018</v>
      </c>
      <c r="Q94" s="14"/>
      <c r="R94" s="30">
        <f>IF(P$12=0,0,P94/P$12)</f>
        <v>0.20238844093368324</v>
      </c>
      <c r="S94" s="14"/>
      <c r="T94" s="34">
        <f>SUM(T91:T93)</f>
        <v>40964.009999999995</v>
      </c>
      <c r="U94" s="14"/>
      <c r="V94" s="30">
        <f>IF(T$12=0,0,T94/T$12)</f>
        <v>0.18622999462368081</v>
      </c>
      <c r="W94" s="15"/>
      <c r="X94" s="34">
        <f>+P94-T94</f>
        <v>4504.6500000000233</v>
      </c>
      <c r="Y94" s="15"/>
      <c r="Z94" s="30">
        <f>IF(T94=0,0,X94/T94)</f>
        <v>0.10996604092226381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9">
        <v>43815.491790162036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62" t="s">
        <v>313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61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301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14659.949999999997</v>
      </c>
      <c r="E12" s="4"/>
      <c r="F12" s="12"/>
      <c r="G12" s="4"/>
      <c r="H12" s="4">
        <f>SUM(OSRRefH13x_0)</f>
        <v>13708.599999999997</v>
      </c>
      <c r="I12" s="4"/>
      <c r="J12" s="12"/>
      <c r="K12" s="4"/>
      <c r="L12" s="4">
        <f t="shared" ref="L12:L40" si="0">+D12-H12</f>
        <v>951.35000000000036</v>
      </c>
      <c r="M12" s="4"/>
      <c r="N12" s="12">
        <f t="shared" ref="N12:N40" si="1">IF(H12=0,0,L12/H12)</f>
        <v>6.9398042104956051E-2</v>
      </c>
      <c r="O12" s="10"/>
      <c r="P12" s="4">
        <f>SUM(OSRRefP13x_0)</f>
        <v>2877055.3899999997</v>
      </c>
      <c r="Q12" s="4"/>
      <c r="R12" s="12"/>
      <c r="S12" s="4"/>
      <c r="T12" s="4">
        <f>SUM(OSRRefT13x_0)</f>
        <v>3398321.9</v>
      </c>
      <c r="U12" s="4"/>
      <c r="V12" s="12"/>
      <c r="W12" s="4"/>
      <c r="X12" s="4">
        <f t="shared" ref="X12:X40" si="2">+P12-T12</f>
        <v>-521266.51000000024</v>
      </c>
      <c r="Y12" s="4"/>
      <c r="Z12" s="12">
        <f t="shared" ref="Z12:Z40" si="3">IF(T12=0,0,X12/T12)</f>
        <v>-0.15338938609670857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--8184.69</f>
        <v>8184.69</v>
      </c>
      <c r="E13" s="2"/>
      <c r="F13" s="19"/>
      <c r="G13" s="2"/>
      <c r="H13" s="2">
        <f>--11453.82</f>
        <v>11453.82</v>
      </c>
      <c r="I13" s="2"/>
      <c r="J13" s="19"/>
      <c r="K13" s="2"/>
      <c r="L13" s="2">
        <f t="shared" si="0"/>
        <v>-3269.13</v>
      </c>
      <c r="M13" s="2"/>
      <c r="N13" s="19">
        <f t="shared" si="1"/>
        <v>-0.28541831458849537</v>
      </c>
      <c r="O13" s="11"/>
      <c r="P13" s="2">
        <f>--1503344.43</f>
        <v>1503344.43</v>
      </c>
      <c r="Q13" s="2"/>
      <c r="R13" s="19"/>
      <c r="S13" s="2"/>
      <c r="T13" s="2">
        <f>--1850269.85</f>
        <v>1850269.85</v>
      </c>
      <c r="U13" s="2"/>
      <c r="V13" s="19"/>
      <c r="W13" s="2"/>
      <c r="X13" s="2">
        <f t="shared" si="2"/>
        <v>-346925.42000000016</v>
      </c>
      <c r="Y13" s="2"/>
      <c r="Z13" s="19">
        <f t="shared" si="3"/>
        <v>-0.1874999044058358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--4182.93</f>
        <v>4182.93</v>
      </c>
      <c r="E14" s="2"/>
      <c r="F14" s="19"/>
      <c r="G14" s="2"/>
      <c r="H14" s="2">
        <f>--771.05</f>
        <v>771.05</v>
      </c>
      <c r="I14" s="2"/>
      <c r="J14" s="19"/>
      <c r="K14" s="2"/>
      <c r="L14" s="2">
        <f t="shared" si="0"/>
        <v>3411.88</v>
      </c>
      <c r="M14" s="2"/>
      <c r="N14" s="19">
        <f t="shared" si="1"/>
        <v>4.4249789248427476</v>
      </c>
      <c r="O14" s="11"/>
      <c r="P14" s="2">
        <f>--670479.29</f>
        <v>670479.29</v>
      </c>
      <c r="Q14" s="2"/>
      <c r="R14" s="19"/>
      <c r="S14" s="2"/>
      <c r="T14" s="2">
        <f>--741382.24</f>
        <v>741382.24</v>
      </c>
      <c r="U14" s="2"/>
      <c r="V14" s="19"/>
      <c r="W14" s="2"/>
      <c r="X14" s="2">
        <f t="shared" si="2"/>
        <v>-70902.949999999953</v>
      </c>
      <c r="Y14" s="2"/>
      <c r="Z14" s="19">
        <f t="shared" si="3"/>
        <v>-9.5636159290786296E-2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--15844.66</f>
        <v>15844.66</v>
      </c>
      <c r="Q15" s="2"/>
      <c r="R15" s="19"/>
      <c r="S15" s="2"/>
      <c r="T15" s="2">
        <f>--9944.25</f>
        <v>9944.25</v>
      </c>
      <c r="U15" s="2"/>
      <c r="V15" s="19"/>
      <c r="W15" s="2"/>
      <c r="X15" s="2">
        <f t="shared" si="2"/>
        <v>5900.41</v>
      </c>
      <c r="Y15" s="2"/>
      <c r="Z15" s="19">
        <f t="shared" si="3"/>
        <v>0.59334892023028385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--119.4</f>
        <v>119.4</v>
      </c>
      <c r="E16" s="2"/>
      <c r="F16" s="19"/>
      <c r="G16" s="2"/>
      <c r="H16" s="2">
        <f>--345.04</f>
        <v>345.04</v>
      </c>
      <c r="I16" s="2"/>
      <c r="J16" s="19"/>
      <c r="K16" s="2"/>
      <c r="L16" s="2">
        <f t="shared" si="0"/>
        <v>-225.64000000000001</v>
      </c>
      <c r="M16" s="2"/>
      <c r="N16" s="19">
        <f t="shared" si="1"/>
        <v>-0.65395316485045207</v>
      </c>
      <c r="O16" s="11"/>
      <c r="P16" s="2">
        <f>--30279.88</f>
        <v>30279.88</v>
      </c>
      <c r="Q16" s="2"/>
      <c r="R16" s="19"/>
      <c r="S16" s="2"/>
      <c r="T16" s="2">
        <f>--42625.32</f>
        <v>42625.32</v>
      </c>
      <c r="U16" s="2"/>
      <c r="V16" s="19"/>
      <c r="W16" s="2"/>
      <c r="X16" s="2">
        <f t="shared" si="2"/>
        <v>-12345.439999999999</v>
      </c>
      <c r="Y16" s="2"/>
      <c r="Z16" s="19">
        <f t="shared" si="3"/>
        <v>-0.28962691658385203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>
        <f>--0.08</f>
        <v>0.08</v>
      </c>
      <c r="I17" s="2"/>
      <c r="J17" s="19"/>
      <c r="K17" s="2"/>
      <c r="L17" s="2">
        <f t="shared" si="0"/>
        <v>-0.08</v>
      </c>
      <c r="M17" s="2"/>
      <c r="N17" s="19">
        <f t="shared" si="1"/>
        <v>-1</v>
      </c>
      <c r="O17" s="11"/>
      <c r="P17" s="2">
        <f>--9.6</f>
        <v>9.6</v>
      </c>
      <c r="Q17" s="2"/>
      <c r="R17" s="19"/>
      <c r="S17" s="2"/>
      <c r="T17" s="2">
        <f>--5.31</f>
        <v>5.31</v>
      </c>
      <c r="U17" s="2"/>
      <c r="V17" s="19"/>
      <c r="W17" s="2"/>
      <c r="X17" s="2">
        <f t="shared" si="2"/>
        <v>4.29</v>
      </c>
      <c r="Y17" s="2"/>
      <c r="Z17" s="19">
        <f t="shared" si="3"/>
        <v>0.80790960451977412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--285.33</f>
        <v>285.33</v>
      </c>
      <c r="E18" s="2"/>
      <c r="F18" s="19"/>
      <c r="G18" s="2"/>
      <c r="H18" s="2">
        <f>--578.59</f>
        <v>578.59</v>
      </c>
      <c r="I18" s="2"/>
      <c r="J18" s="19"/>
      <c r="K18" s="2"/>
      <c r="L18" s="2">
        <f t="shared" si="0"/>
        <v>-293.26000000000005</v>
      </c>
      <c r="M18" s="2"/>
      <c r="N18" s="19">
        <f t="shared" si="1"/>
        <v>-0.50685286645120042</v>
      </c>
      <c r="O18" s="11"/>
      <c r="P18" s="2">
        <f>--1112.72</f>
        <v>1112.72</v>
      </c>
      <c r="Q18" s="2"/>
      <c r="R18" s="19"/>
      <c r="S18" s="2"/>
      <c r="T18" s="2">
        <f>--2587.08</f>
        <v>2587.08</v>
      </c>
      <c r="U18" s="2"/>
      <c r="V18" s="19"/>
      <c r="W18" s="2"/>
      <c r="X18" s="2">
        <f t="shared" si="2"/>
        <v>-1474.36</v>
      </c>
      <c r="Y18" s="2"/>
      <c r="Z18" s="19">
        <f t="shared" si="3"/>
        <v>-0.56989347063098161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--189.13</f>
        <v>189.13</v>
      </c>
      <c r="E19" s="2"/>
      <c r="F19" s="19"/>
      <c r="G19" s="2"/>
      <c r="H19" s="2">
        <f>--327.3</f>
        <v>327.3</v>
      </c>
      <c r="I19" s="2"/>
      <c r="J19" s="19"/>
      <c r="K19" s="2"/>
      <c r="L19" s="2">
        <f t="shared" si="0"/>
        <v>-138.17000000000002</v>
      </c>
      <c r="M19" s="2"/>
      <c r="N19" s="19">
        <f t="shared" si="1"/>
        <v>-0.42215093186678893</v>
      </c>
      <c r="O19" s="11"/>
      <c r="P19" s="2">
        <f>--883.35</f>
        <v>883.35</v>
      </c>
      <c r="Q19" s="2"/>
      <c r="R19" s="19"/>
      <c r="S19" s="2"/>
      <c r="T19" s="2">
        <f>--1143.92</f>
        <v>1143.92</v>
      </c>
      <c r="U19" s="2"/>
      <c r="V19" s="19"/>
      <c r="W19" s="2"/>
      <c r="X19" s="2">
        <f t="shared" si="2"/>
        <v>-260.57000000000005</v>
      </c>
      <c r="Y19" s="2"/>
      <c r="Z19" s="19">
        <f t="shared" si="3"/>
        <v>-0.2277869081753969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--277.82</f>
        <v>277.82</v>
      </c>
      <c r="E20" s="2"/>
      <c r="F20" s="19"/>
      <c r="G20" s="2"/>
      <c r="H20" s="2">
        <f>--289.77</f>
        <v>289.77</v>
      </c>
      <c r="I20" s="2"/>
      <c r="J20" s="19"/>
      <c r="K20" s="2"/>
      <c r="L20" s="2">
        <f t="shared" si="0"/>
        <v>-11.949999999999989</v>
      </c>
      <c r="M20" s="2"/>
      <c r="N20" s="19">
        <f t="shared" si="1"/>
        <v>-4.1239603823722229E-2</v>
      </c>
      <c r="O20" s="11"/>
      <c r="P20" s="2">
        <f>--2732.65</f>
        <v>2732.65</v>
      </c>
      <c r="Q20" s="2"/>
      <c r="R20" s="19"/>
      <c r="S20" s="2"/>
      <c r="T20" s="2">
        <f>--3719.55</f>
        <v>3719.55</v>
      </c>
      <c r="U20" s="2"/>
      <c r="V20" s="19"/>
      <c r="W20" s="2"/>
      <c r="X20" s="2">
        <f t="shared" si="2"/>
        <v>-986.90000000000009</v>
      </c>
      <c r="Y20" s="2"/>
      <c r="Z20" s="19">
        <f t="shared" si="3"/>
        <v>-0.26532779502896858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--458.89</f>
        <v>458.89</v>
      </c>
      <c r="E21" s="2"/>
      <c r="F21" s="19"/>
      <c r="G21" s="2"/>
      <c r="H21" s="2">
        <f>--429.98</f>
        <v>429.98</v>
      </c>
      <c r="I21" s="2"/>
      <c r="J21" s="19"/>
      <c r="K21" s="2"/>
      <c r="L21" s="2">
        <f t="shared" si="0"/>
        <v>28.909999999999968</v>
      </c>
      <c r="M21" s="2"/>
      <c r="N21" s="19">
        <f t="shared" si="1"/>
        <v>6.723568538071531E-2</v>
      </c>
      <c r="O21" s="11"/>
      <c r="P21" s="2">
        <f>--335840.56</f>
        <v>335840.56</v>
      </c>
      <c r="Q21" s="2"/>
      <c r="R21" s="19"/>
      <c r="S21" s="2"/>
      <c r="T21" s="2">
        <f>--390740.27</f>
        <v>390740.27</v>
      </c>
      <c r="U21" s="2"/>
      <c r="V21" s="19"/>
      <c r="W21" s="2"/>
      <c r="X21" s="2">
        <f t="shared" si="2"/>
        <v>-54899.710000000021</v>
      </c>
      <c r="Y21" s="2"/>
      <c r="Z21" s="19">
        <f t="shared" si="3"/>
        <v>-0.14050179675619309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--349.66</f>
        <v>349.66</v>
      </c>
      <c r="E22" s="2"/>
      <c r="F22" s="19"/>
      <c r="G22" s="2"/>
      <c r="H22" s="2">
        <f>--643.05</f>
        <v>643.04999999999995</v>
      </c>
      <c r="I22" s="2"/>
      <c r="J22" s="19"/>
      <c r="K22" s="2"/>
      <c r="L22" s="2">
        <f t="shared" si="0"/>
        <v>-293.38999999999993</v>
      </c>
      <c r="M22" s="2"/>
      <c r="N22" s="19">
        <f t="shared" si="1"/>
        <v>-0.45624757017339235</v>
      </c>
      <c r="O22" s="11"/>
      <c r="P22" s="2">
        <f>--92680.75</f>
        <v>92680.75</v>
      </c>
      <c r="Q22" s="2"/>
      <c r="R22" s="19"/>
      <c r="S22" s="2"/>
      <c r="T22" s="2">
        <f>--148652.33</f>
        <v>148652.32999999999</v>
      </c>
      <c r="U22" s="2"/>
      <c r="V22" s="19"/>
      <c r="W22" s="2"/>
      <c r="X22" s="2">
        <f t="shared" si="2"/>
        <v>-55971.579999999987</v>
      </c>
      <c r="Y22" s="2"/>
      <c r="Z22" s="19">
        <f t="shared" si="3"/>
        <v>-0.37652675878003389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--584.52</f>
        <v>584.52</v>
      </c>
      <c r="E23" s="2"/>
      <c r="F23" s="19"/>
      <c r="G23" s="2"/>
      <c r="H23" s="2">
        <f>--365.45</f>
        <v>365.45</v>
      </c>
      <c r="I23" s="2"/>
      <c r="J23" s="19"/>
      <c r="K23" s="2"/>
      <c r="L23" s="2">
        <f t="shared" si="0"/>
        <v>219.07</v>
      </c>
      <c r="M23" s="2"/>
      <c r="N23" s="19">
        <f t="shared" si="1"/>
        <v>0.59945272951156114</v>
      </c>
      <c r="O23" s="11"/>
      <c r="P23" s="2">
        <f>--37606.84</f>
        <v>37606.839999999997</v>
      </c>
      <c r="Q23" s="2"/>
      <c r="R23" s="19"/>
      <c r="S23" s="2"/>
      <c r="T23" s="2">
        <f>--50860.62</f>
        <v>50860.62</v>
      </c>
      <c r="U23" s="2"/>
      <c r="V23" s="19"/>
      <c r="W23" s="2"/>
      <c r="X23" s="2">
        <f t="shared" si="2"/>
        <v>-13253.780000000006</v>
      </c>
      <c r="Y23" s="2"/>
      <c r="Z23" s="19">
        <f t="shared" si="3"/>
        <v>-0.2605902169497738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--329.98</f>
        <v>329.98</v>
      </c>
      <c r="Q24" s="2"/>
      <c r="R24" s="19"/>
      <c r="S24" s="2"/>
      <c r="T24" s="2">
        <f>--509.85</f>
        <v>509.85</v>
      </c>
      <c r="U24" s="2"/>
      <c r="V24" s="19"/>
      <c r="W24" s="2"/>
      <c r="X24" s="2">
        <f t="shared" si="2"/>
        <v>-179.87</v>
      </c>
      <c r="Y24" s="2"/>
      <c r="Z24" s="19">
        <f t="shared" si="3"/>
        <v>-0.35279003628518191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--206.24</f>
        <v>206.24</v>
      </c>
      <c r="E25" s="2"/>
      <c r="F25" s="19"/>
      <c r="G25" s="2"/>
      <c r="H25" s="2">
        <f>--397.48</f>
        <v>397.48</v>
      </c>
      <c r="I25" s="2"/>
      <c r="J25" s="19"/>
      <c r="K25" s="2"/>
      <c r="L25" s="2">
        <f t="shared" si="0"/>
        <v>-191.24</v>
      </c>
      <c r="M25" s="2"/>
      <c r="N25" s="19">
        <f t="shared" si="1"/>
        <v>-0.48113112609439468</v>
      </c>
      <c r="O25" s="11"/>
      <c r="P25" s="2">
        <f>--320699.09</f>
        <v>320699.09000000003</v>
      </c>
      <c r="Q25" s="2"/>
      <c r="R25" s="19"/>
      <c r="S25" s="2"/>
      <c r="T25" s="2">
        <f>--337723.61</f>
        <v>337723.61</v>
      </c>
      <c r="U25" s="2"/>
      <c r="V25" s="19"/>
      <c r="W25" s="2"/>
      <c r="X25" s="2">
        <f t="shared" si="2"/>
        <v>-17024.51999999996</v>
      </c>
      <c r="Y25" s="2"/>
      <c r="Z25" s="19">
        <f t="shared" si="3"/>
        <v>-5.0409623419576624E-2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--492.72</f>
        <v>492.72</v>
      </c>
      <c r="E26" s="2"/>
      <c r="F26" s="19"/>
      <c r="G26" s="2"/>
      <c r="H26" s="2">
        <f>--204.07</f>
        <v>204.07</v>
      </c>
      <c r="I26" s="2"/>
      <c r="J26" s="19"/>
      <c r="K26" s="2"/>
      <c r="L26" s="2">
        <f t="shared" si="0"/>
        <v>288.65000000000003</v>
      </c>
      <c r="M26" s="2"/>
      <c r="N26" s="19">
        <f t="shared" si="1"/>
        <v>1.4144656245405991</v>
      </c>
      <c r="O26" s="11"/>
      <c r="P26" s="2">
        <f>--7592.19</f>
        <v>7592.19</v>
      </c>
      <c r="Q26" s="2"/>
      <c r="R26" s="19"/>
      <c r="S26" s="2"/>
      <c r="T26" s="2">
        <f>--9917.98</f>
        <v>9917.98</v>
      </c>
      <c r="U26" s="2"/>
      <c r="V26" s="19"/>
      <c r="W26" s="2"/>
      <c r="X26" s="2">
        <f t="shared" si="2"/>
        <v>-2325.79</v>
      </c>
      <c r="Y26" s="2"/>
      <c r="Z26" s="19">
        <f t="shared" si="3"/>
        <v>-0.23450238859122524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--1146.72</f>
        <v>1146.72</v>
      </c>
      <c r="Q27" s="2"/>
      <c r="R27" s="19"/>
      <c r="S27" s="2"/>
      <c r="T27" s="2">
        <f>--38.23</f>
        <v>38.229999999999997</v>
      </c>
      <c r="U27" s="2"/>
      <c r="V27" s="19"/>
      <c r="W27" s="2"/>
      <c r="X27" s="2">
        <f t="shared" si="2"/>
        <v>1108.49</v>
      </c>
      <c r="Y27" s="2"/>
      <c r="Z27" s="19">
        <f t="shared" si="3"/>
        <v>28.995291655767723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--14.04</f>
        <v>14.04</v>
      </c>
      <c r="E28" s="2"/>
      <c r="F28" s="19"/>
      <c r="G28" s="2"/>
      <c r="H28" s="2">
        <f>--10.34</f>
        <v>10.34</v>
      </c>
      <c r="I28" s="2"/>
      <c r="J28" s="19"/>
      <c r="K28" s="2"/>
      <c r="L28" s="2">
        <f t="shared" si="0"/>
        <v>3.6999999999999993</v>
      </c>
      <c r="M28" s="2"/>
      <c r="N28" s="19">
        <f t="shared" si="1"/>
        <v>0.35783365570599607</v>
      </c>
      <c r="O28" s="11"/>
      <c r="P28" s="2">
        <f>--34.96</f>
        <v>34.96</v>
      </c>
      <c r="Q28" s="2"/>
      <c r="R28" s="19"/>
      <c r="S28" s="2"/>
      <c r="T28" s="2">
        <f>--121.75</f>
        <v>121.75</v>
      </c>
      <c r="U28" s="2"/>
      <c r="V28" s="19"/>
      <c r="W28" s="2"/>
      <c r="X28" s="2">
        <f t="shared" si="2"/>
        <v>-86.789999999999992</v>
      </c>
      <c r="Y28" s="2"/>
      <c r="Z28" s="19">
        <f t="shared" si="3"/>
        <v>-0.7128542094455852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-314.9</f>
        <v>-314.89999999999998</v>
      </c>
      <c r="E29" s="2"/>
      <c r="F29" s="19"/>
      <c r="G29" s="2"/>
      <c r="H29" s="2">
        <f>-829.9</f>
        <v>-829.9</v>
      </c>
      <c r="I29" s="2"/>
      <c r="J29" s="19"/>
      <c r="K29" s="2"/>
      <c r="L29" s="2">
        <f t="shared" si="0"/>
        <v>515</v>
      </c>
      <c r="M29" s="2"/>
      <c r="N29" s="19">
        <f t="shared" si="1"/>
        <v>-0.62055669357753951</v>
      </c>
      <c r="O29" s="11"/>
      <c r="P29" s="2">
        <f>-78098.57</f>
        <v>-78098.570000000007</v>
      </c>
      <c r="Q29" s="2"/>
      <c r="R29" s="19"/>
      <c r="S29" s="2"/>
      <c r="T29" s="2">
        <f>-112562.57</f>
        <v>-112562.57</v>
      </c>
      <c r="U29" s="2"/>
      <c r="V29" s="19"/>
      <c r="W29" s="2"/>
      <c r="X29" s="2">
        <f t="shared" si="2"/>
        <v>34464</v>
      </c>
      <c r="Y29" s="2"/>
      <c r="Z29" s="19">
        <f t="shared" si="3"/>
        <v>-0.30617637816904852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-113.2</f>
        <v>-113.2</v>
      </c>
      <c r="E30" s="2"/>
      <c r="F30" s="19"/>
      <c r="G30" s="2"/>
      <c r="H30" s="2">
        <f>-368.75</f>
        <v>-368.75</v>
      </c>
      <c r="I30" s="2"/>
      <c r="J30" s="19"/>
      <c r="K30" s="2"/>
      <c r="L30" s="2">
        <f t="shared" si="0"/>
        <v>255.55</v>
      </c>
      <c r="M30" s="2"/>
      <c r="N30" s="19">
        <f t="shared" si="1"/>
        <v>-0.69301694915254242</v>
      </c>
      <c r="O30" s="11"/>
      <c r="P30" s="2">
        <f>-27042.2</f>
        <v>-27042.2</v>
      </c>
      <c r="Q30" s="2"/>
      <c r="R30" s="19"/>
      <c r="S30" s="2"/>
      <c r="T30" s="2">
        <f>-29468.4</f>
        <v>-29468.400000000001</v>
      </c>
      <c r="U30" s="2"/>
      <c r="V30" s="19"/>
      <c r="W30" s="2"/>
      <c r="X30" s="2">
        <f t="shared" si="2"/>
        <v>2426.2000000000007</v>
      </c>
      <c r="Y30" s="2"/>
      <c r="Z30" s="19">
        <f t="shared" si="3"/>
        <v>-8.2332260998221843E-2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0</f>
        <v>0</v>
      </c>
      <c r="E31" s="2"/>
      <c r="F31" s="19"/>
      <c r="G31" s="2"/>
      <c r="H31" s="2">
        <f>-169.95</f>
        <v>-169.95</v>
      </c>
      <c r="I31" s="2"/>
      <c r="J31" s="19"/>
      <c r="K31" s="2"/>
      <c r="L31" s="2">
        <f t="shared" si="0"/>
        <v>169.95</v>
      </c>
      <c r="M31" s="2"/>
      <c r="N31" s="19">
        <f t="shared" si="1"/>
        <v>-1</v>
      </c>
      <c r="O31" s="11"/>
      <c r="P31" s="2">
        <f>-144.99</f>
        <v>-144.99</v>
      </c>
      <c r="Q31" s="2"/>
      <c r="R31" s="19"/>
      <c r="S31" s="2"/>
      <c r="T31" s="2">
        <f>-1699.5</f>
        <v>-1699.5</v>
      </c>
      <c r="U31" s="2"/>
      <c r="V31" s="19"/>
      <c r="W31" s="2"/>
      <c r="X31" s="2">
        <f t="shared" si="2"/>
        <v>1554.51</v>
      </c>
      <c r="Y31" s="2"/>
      <c r="Z31" s="19">
        <f t="shared" si="3"/>
        <v>-0.9146866725507502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-119.4</f>
        <v>-119.4</v>
      </c>
      <c r="E32" s="2"/>
      <c r="F32" s="19"/>
      <c r="G32" s="2"/>
      <c r="H32" s="2">
        <f>-487.29</f>
        <v>-487.29</v>
      </c>
      <c r="I32" s="2"/>
      <c r="J32" s="19"/>
      <c r="K32" s="2"/>
      <c r="L32" s="2">
        <f t="shared" si="0"/>
        <v>367.89</v>
      </c>
      <c r="M32" s="2"/>
      <c r="N32" s="19">
        <f t="shared" si="1"/>
        <v>-0.75497137228344513</v>
      </c>
      <c r="O32" s="11"/>
      <c r="P32" s="2">
        <f>-11369.46</f>
        <v>-11369.46</v>
      </c>
      <c r="Q32" s="2"/>
      <c r="R32" s="19"/>
      <c r="S32" s="2"/>
      <c r="T32" s="2">
        <f>-15987.07</f>
        <v>-15987.07</v>
      </c>
      <c r="U32" s="2"/>
      <c r="V32" s="19"/>
      <c r="W32" s="2"/>
      <c r="X32" s="2">
        <f t="shared" si="2"/>
        <v>4617.6100000000006</v>
      </c>
      <c r="Y32" s="2"/>
      <c r="Z32" s="19">
        <f t="shared" si="3"/>
        <v>-0.28883403900777321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-67.34</f>
        <v>-67.34</v>
      </c>
      <c r="E33" s="2"/>
      <c r="F33" s="19"/>
      <c r="G33" s="2"/>
      <c r="H33" s="2">
        <f>-81.96</f>
        <v>-81.96</v>
      </c>
      <c r="I33" s="2"/>
      <c r="J33" s="19"/>
      <c r="K33" s="2"/>
      <c r="L33" s="2">
        <f t="shared" si="0"/>
        <v>14.61999999999999</v>
      </c>
      <c r="M33" s="2"/>
      <c r="N33" s="19">
        <f t="shared" si="1"/>
        <v>-0.17837969741337228</v>
      </c>
      <c r="O33" s="11"/>
      <c r="P33" s="2">
        <f>-102.71</f>
        <v>-102.71</v>
      </c>
      <c r="Q33" s="2"/>
      <c r="R33" s="19"/>
      <c r="S33" s="2"/>
      <c r="T33" s="2">
        <f>-96.96</f>
        <v>-96.96</v>
      </c>
      <c r="U33" s="2"/>
      <c r="V33" s="19"/>
      <c r="W33" s="2"/>
      <c r="X33" s="2">
        <f t="shared" si="2"/>
        <v>-5.75</v>
      </c>
      <c r="Y33" s="2"/>
      <c r="Z33" s="19">
        <f t="shared" si="3"/>
        <v>5.9302805280528059E-2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 t="shared" ref="D34:D38" si="4">0</f>
        <v>0</v>
      </c>
      <c r="E34" s="2"/>
      <c r="F34" s="19"/>
      <c r="G34" s="2"/>
      <c r="H34" s="2">
        <f>-3.95</f>
        <v>-3.95</v>
      </c>
      <c r="I34" s="2"/>
      <c r="J34" s="19"/>
      <c r="K34" s="2"/>
      <c r="L34" s="2">
        <f t="shared" si="0"/>
        <v>3.95</v>
      </c>
      <c r="M34" s="2"/>
      <c r="N34" s="19">
        <f t="shared" si="1"/>
        <v>-1</v>
      </c>
      <c r="O34" s="11"/>
      <c r="P34" s="2">
        <f>0</f>
        <v>0</v>
      </c>
      <c r="Q34" s="2"/>
      <c r="R34" s="19"/>
      <c r="S34" s="2"/>
      <c r="T34" s="2">
        <f>-3.95</f>
        <v>-3.95</v>
      </c>
      <c r="U34" s="2"/>
      <c r="V34" s="19"/>
      <c r="W34" s="2"/>
      <c r="X34" s="2">
        <f t="shared" si="2"/>
        <v>3.95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4"/>
        <v>0</v>
      </c>
      <c r="E35" s="2"/>
      <c r="F35" s="19"/>
      <c r="G35" s="2"/>
      <c r="H35" s="2">
        <f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-32.75</f>
        <v>-32.75</v>
      </c>
      <c r="Q35" s="2"/>
      <c r="R35" s="19"/>
      <c r="S35" s="2"/>
      <c r="T35" s="2">
        <f>-22.9</f>
        <v>-22.9</v>
      </c>
      <c r="U35" s="2"/>
      <c r="V35" s="19"/>
      <c r="W35" s="2"/>
      <c r="X35" s="2">
        <f t="shared" si="2"/>
        <v>-9.8500000000000014</v>
      </c>
      <c r="Y35" s="2"/>
      <c r="Z35" s="19">
        <f t="shared" si="3"/>
        <v>0.43013100436681234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 t="shared" si="4"/>
        <v>0</v>
      </c>
      <c r="E36" s="2"/>
      <c r="F36" s="19"/>
      <c r="G36" s="2"/>
      <c r="H36" s="2">
        <f>-111.62</f>
        <v>-111.62</v>
      </c>
      <c r="I36" s="2"/>
      <c r="J36" s="19"/>
      <c r="K36" s="2"/>
      <c r="L36" s="2">
        <f t="shared" si="0"/>
        <v>111.62</v>
      </c>
      <c r="M36" s="2"/>
      <c r="N36" s="19">
        <f t="shared" si="1"/>
        <v>-1</v>
      </c>
      <c r="O36" s="11"/>
      <c r="P36" s="2">
        <f>-12310.98</f>
        <v>-12310.98</v>
      </c>
      <c r="Q36" s="2"/>
      <c r="R36" s="19"/>
      <c r="S36" s="2"/>
      <c r="T36" s="2">
        <f>-25032.99</f>
        <v>-25032.99</v>
      </c>
      <c r="U36" s="2"/>
      <c r="V36" s="19"/>
      <c r="W36" s="2"/>
      <c r="X36" s="2">
        <f t="shared" si="2"/>
        <v>12722.010000000002</v>
      </c>
      <c r="Y36" s="2"/>
      <c r="Z36" s="19">
        <f t="shared" si="3"/>
        <v>-0.50820976639226878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 t="shared" si="4"/>
        <v>0</v>
      </c>
      <c r="E37" s="2"/>
      <c r="F37" s="19"/>
      <c r="G37" s="2"/>
      <c r="H37" s="2">
        <f>-54</f>
        <v>-54</v>
      </c>
      <c r="I37" s="2"/>
      <c r="J37" s="19"/>
      <c r="K37" s="2"/>
      <c r="L37" s="2">
        <f t="shared" si="0"/>
        <v>54</v>
      </c>
      <c r="M37" s="2"/>
      <c r="N37" s="19">
        <f t="shared" si="1"/>
        <v>-1</v>
      </c>
      <c r="O37" s="11"/>
      <c r="P37" s="2">
        <f>-683.8</f>
        <v>-683.8</v>
      </c>
      <c r="Q37" s="2"/>
      <c r="R37" s="19"/>
      <c r="S37" s="2"/>
      <c r="T37" s="2">
        <f>-2206.04</f>
        <v>-2206.04</v>
      </c>
      <c r="U37" s="2"/>
      <c r="V37" s="19"/>
      <c r="W37" s="2"/>
      <c r="X37" s="2">
        <f t="shared" si="2"/>
        <v>1522.24</v>
      </c>
      <c r="Y37" s="2"/>
      <c r="Z37" s="19">
        <f t="shared" si="3"/>
        <v>-0.69003281898786972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 t="shared" si="4"/>
        <v>0</v>
      </c>
      <c r="E38" s="2"/>
      <c r="F38" s="19"/>
      <c r="G38" s="2"/>
      <c r="H38" s="2">
        <f t="shared" ref="H38:H40" si="5"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>
        <f>-509.85</f>
        <v>-509.85</v>
      </c>
      <c r="U38" s="2"/>
      <c r="V38" s="19"/>
      <c r="W38" s="2"/>
      <c r="X38" s="2">
        <f t="shared" si="2"/>
        <v>324.86</v>
      </c>
      <c r="Y38" s="2"/>
      <c r="Z38" s="19">
        <f t="shared" si="3"/>
        <v>-0.63716779444934779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>-70.58</f>
        <v>-70.58</v>
      </c>
      <c r="E39" s="2"/>
      <c r="F39" s="19"/>
      <c r="G39" s="2"/>
      <c r="H39" s="2">
        <f t="shared" si="5"/>
        <v>0</v>
      </c>
      <c r="I39" s="2"/>
      <c r="J39" s="19"/>
      <c r="K39" s="2"/>
      <c r="L39" s="2">
        <f t="shared" si="0"/>
        <v>-70.58</v>
      </c>
      <c r="M39" s="2"/>
      <c r="N39" s="19">
        <f t="shared" si="1"/>
        <v>0</v>
      </c>
      <c r="O39" s="11"/>
      <c r="P39" s="2">
        <f>-13203.87</f>
        <v>-13203.87</v>
      </c>
      <c r="Q39" s="2"/>
      <c r="R39" s="19"/>
      <c r="S39" s="2"/>
      <c r="T39" s="2">
        <f>-3743.75</f>
        <v>-3743.75</v>
      </c>
      <c r="U39" s="2"/>
      <c r="V39" s="19"/>
      <c r="W39" s="2"/>
      <c r="X39" s="2">
        <f t="shared" si="2"/>
        <v>-9460.1200000000008</v>
      </c>
      <c r="Y39" s="2"/>
      <c r="Z39" s="19">
        <f t="shared" si="3"/>
        <v>2.5269101836393992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0</f>
        <v>0</v>
      </c>
      <c r="E40" s="2"/>
      <c r="F40" s="19"/>
      <c r="G40" s="2"/>
      <c r="H40" s="2">
        <f t="shared" si="5"/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-387.96</f>
        <v>-387.96</v>
      </c>
      <c r="Q40" s="2"/>
      <c r="R40" s="19"/>
      <c r="S40" s="2"/>
      <c r="T40" s="2">
        <f>-586.28</f>
        <v>-586.28</v>
      </c>
      <c r="U40" s="2"/>
      <c r="V40" s="19"/>
      <c r="W40" s="2"/>
      <c r="X40" s="2">
        <f t="shared" si="2"/>
        <v>198.32</v>
      </c>
      <c r="Y40" s="2"/>
      <c r="Z40" s="19">
        <f t="shared" si="3"/>
        <v>-0.33826840417547932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8" t="s">
        <v>8</v>
      </c>
      <c r="C42" s="10"/>
      <c r="D42" s="4">
        <f>SUM(OSRRefD16x_0)</f>
        <v>20945.880000000008</v>
      </c>
      <c r="E42" s="4"/>
      <c r="F42" s="12">
        <f t="shared" ref="F42:F58" si="6">IF(D$12=0,0,D42/D$12)</f>
        <v>1.4287824992581839</v>
      </c>
      <c r="G42" s="4"/>
      <c r="H42" s="4">
        <f>SUM(OSRRefH16x_0)</f>
        <v>18628.310000000001</v>
      </c>
      <c r="I42" s="4"/>
      <c r="J42" s="12">
        <f t="shared" ref="J42:J58" si="7">IF(H$12=0,0,H42/H$12)</f>
        <v>1.3588776388544421</v>
      </c>
      <c r="K42" s="4"/>
      <c r="L42" s="4">
        <f t="shared" ref="L42:L58" si="8">+D42-H42</f>
        <v>2317.570000000007</v>
      </c>
      <c r="M42" s="4"/>
      <c r="N42" s="12">
        <f t="shared" ref="N42:N58" si="9">IF(H42=0,0,L42/H42)</f>
        <v>0.12441117846975956</v>
      </c>
      <c r="O42" s="10"/>
      <c r="P42" s="4">
        <f>SUM(OSRRefP16x_0)</f>
        <v>2122101.9700000002</v>
      </c>
      <c r="Q42" s="4"/>
      <c r="R42" s="12">
        <f t="shared" ref="R42:R58" si="10">IF(P$12=0,0,P42/P$12)</f>
        <v>0.73759510413874951</v>
      </c>
      <c r="S42" s="4"/>
      <c r="T42" s="4">
        <f>SUM(OSRRefT16x_0)</f>
        <v>2506656.38</v>
      </c>
      <c r="U42" s="4"/>
      <c r="V42" s="12">
        <f t="shared" ref="V42:V58" si="11">IF(T$12=0,0,T42/T$12)</f>
        <v>0.73761593332285558</v>
      </c>
      <c r="W42" s="4"/>
      <c r="X42" s="4">
        <f t="shared" ref="X42:X58" si="12">+P42-T42</f>
        <v>-384554.40999999968</v>
      </c>
      <c r="Y42" s="4"/>
      <c r="Z42" s="12">
        <f t="shared" ref="Z42:Z58" si="13">IF(T42=0,0,X42/T42)</f>
        <v>-0.15341329312955121</v>
      </c>
    </row>
    <row r="43" spans="1:26" s="24" customFormat="1" hidden="1" outlineLevel="1" x14ac:dyDescent="0.25">
      <c r="A43" s="44"/>
      <c r="B43" s="11" t="str">
        <f>CONCATENATE("          ", "5001", " - ", "PURCHASES @ COST-NEW TEXT")</f>
        <v xml:space="preserve">          5001 - PURCHASES @ COST-NEW TEXT</v>
      </c>
      <c r="C43" s="11"/>
      <c r="D43" s="2">
        <v>-175297.72999999998</v>
      </c>
      <c r="E43" s="2"/>
      <c r="F43" s="19">
        <f t="shared" si="6"/>
        <v>-11.957593989065447</v>
      </c>
      <c r="G43" s="2"/>
      <c r="H43" s="2">
        <v>-3892.46</v>
      </c>
      <c r="I43" s="2"/>
      <c r="J43" s="19">
        <f t="shared" si="7"/>
        <v>-0.28394292633821111</v>
      </c>
      <c r="K43" s="2"/>
      <c r="L43" s="2">
        <f t="shared" si="8"/>
        <v>-171405.27</v>
      </c>
      <c r="M43" s="2"/>
      <c r="N43" s="19">
        <f t="shared" si="9"/>
        <v>44.03520395842218</v>
      </c>
      <c r="O43" s="11"/>
      <c r="P43" s="2">
        <v>1581850.69</v>
      </c>
      <c r="Q43" s="2"/>
      <c r="R43" s="19">
        <f t="shared" si="10"/>
        <v>0.54981586225213419</v>
      </c>
      <c r="S43" s="2"/>
      <c r="T43" s="2">
        <v>1720657.5599999998</v>
      </c>
      <c r="U43" s="2"/>
      <c r="V43" s="19">
        <f t="shared" si="11"/>
        <v>0.50632565443550237</v>
      </c>
      <c r="W43" s="2"/>
      <c r="X43" s="2">
        <f t="shared" si="12"/>
        <v>-138806.86999999988</v>
      </c>
      <c r="Y43" s="2"/>
      <c r="Z43" s="19">
        <f t="shared" si="13"/>
        <v>-8.0670827959515606E-2</v>
      </c>
    </row>
    <row r="44" spans="1:26" s="24" customFormat="1" hidden="1" outlineLevel="1" x14ac:dyDescent="0.25">
      <c r="A44" s="44"/>
      <c r="B44" s="11" t="str">
        <f>CONCATENATE("          ", "5002", " - ", "PURCHASES @ COST-USED TEXT")</f>
        <v xml:space="preserve">          5002 - PURCHASES @ COST-USED TEXT</v>
      </c>
      <c r="C44" s="11"/>
      <c r="D44" s="2">
        <v>-155785.26999999999</v>
      </c>
      <c r="E44" s="2"/>
      <c r="F44" s="19">
        <f t="shared" si="6"/>
        <v>-10.626589449486527</v>
      </c>
      <c r="G44" s="2"/>
      <c r="H44" s="2">
        <v>-8649.41</v>
      </c>
      <c r="I44" s="2"/>
      <c r="J44" s="19">
        <f t="shared" si="7"/>
        <v>-0.63094772624483919</v>
      </c>
      <c r="K44" s="2"/>
      <c r="L44" s="2">
        <f t="shared" si="8"/>
        <v>-147135.85999999999</v>
      </c>
      <c r="M44" s="2"/>
      <c r="N44" s="19">
        <f t="shared" si="9"/>
        <v>17.011086305308684</v>
      </c>
      <c r="O44" s="11"/>
      <c r="P44" s="2">
        <v>212247.9</v>
      </c>
      <c r="Q44" s="2"/>
      <c r="R44" s="19">
        <f t="shared" si="10"/>
        <v>7.3772615132029151E-2</v>
      </c>
      <c r="S44" s="2"/>
      <c r="T44" s="2">
        <v>308318.01</v>
      </c>
      <c r="U44" s="2"/>
      <c r="V44" s="19">
        <f t="shared" si="11"/>
        <v>9.0726546534629346E-2</v>
      </c>
      <c r="W44" s="2"/>
      <c r="X44" s="2">
        <f t="shared" si="12"/>
        <v>-96070.110000000015</v>
      </c>
      <c r="Y44" s="2"/>
      <c r="Z44" s="19">
        <f t="shared" si="13"/>
        <v>-0.31159422052574876</v>
      </c>
    </row>
    <row r="45" spans="1:26" s="24" customFormat="1" hidden="1" outlineLevel="1" x14ac:dyDescent="0.25">
      <c r="A45" s="44"/>
      <c r="B45" s="11" t="str">
        <f>CONCATENATE("          ", "5003", " - ", "PURCHASES @ COST-RENTAL TEXT")</f>
        <v xml:space="preserve">          5003 - PURCHASES @ COST-RENTAL TEXT</v>
      </c>
      <c r="C45" s="11"/>
      <c r="D45" s="2"/>
      <c r="E45" s="2"/>
      <c r="F45" s="19">
        <f t="shared" si="6"/>
        <v>0</v>
      </c>
      <c r="G45" s="2"/>
      <c r="H45" s="2">
        <v>-1948.8</v>
      </c>
      <c r="I45" s="2"/>
      <c r="J45" s="19">
        <f t="shared" si="7"/>
        <v>-0.14215893672585095</v>
      </c>
      <c r="K45" s="2"/>
      <c r="L45" s="2">
        <f t="shared" si="8"/>
        <v>1948.8</v>
      </c>
      <c r="M45" s="2"/>
      <c r="N45" s="19">
        <f t="shared" si="9"/>
        <v>-1</v>
      </c>
      <c r="O45" s="11"/>
      <c r="P45" s="2">
        <v>-78.400000000000006</v>
      </c>
      <c r="Q45" s="2"/>
      <c r="R45" s="19">
        <f t="shared" si="10"/>
        <v>-2.7250083634990431E-5</v>
      </c>
      <c r="S45" s="2"/>
      <c r="T45" s="2">
        <v>-1763.7</v>
      </c>
      <c r="U45" s="2"/>
      <c r="V45" s="19">
        <f t="shared" si="11"/>
        <v>-5.1899144692561349E-4</v>
      </c>
      <c r="W45" s="2"/>
      <c r="X45" s="2">
        <f t="shared" si="12"/>
        <v>1685.3</v>
      </c>
      <c r="Y45" s="2"/>
      <c r="Z45" s="19">
        <f t="shared" si="13"/>
        <v>-0.95554799569087712</v>
      </c>
    </row>
    <row r="46" spans="1:26" s="24" customFormat="1" hidden="1" outlineLevel="1" x14ac:dyDescent="0.25">
      <c r="A46" s="44"/>
      <c r="B46" s="11" t="str">
        <f>CONCATENATE("          ", "5004", " - ", "PURCHASES @ COST-DIGITAL TEXT")</f>
        <v xml:space="preserve">          5004 - PURCHASES @ COST-DIGITAL TEXT</v>
      </c>
      <c r="C46" s="11"/>
      <c r="D46" s="2">
        <v>0.94</v>
      </c>
      <c r="E46" s="2"/>
      <c r="F46" s="19">
        <f t="shared" si="6"/>
        <v>6.4120273261504993E-5</v>
      </c>
      <c r="G46" s="2"/>
      <c r="H46" s="2">
        <v>15359.04</v>
      </c>
      <c r="I46" s="2"/>
      <c r="J46" s="19">
        <f t="shared" si="7"/>
        <v>1.1203944968851673</v>
      </c>
      <c r="K46" s="2"/>
      <c r="L46" s="2">
        <f t="shared" si="8"/>
        <v>-15358.1</v>
      </c>
      <c r="M46" s="2"/>
      <c r="N46" s="19">
        <f t="shared" si="9"/>
        <v>-0.9999387982582244</v>
      </c>
      <c r="O46" s="11"/>
      <c r="P46" s="2">
        <v>322779.97000000003</v>
      </c>
      <c r="Q46" s="2"/>
      <c r="R46" s="19">
        <f t="shared" si="10"/>
        <v>0.11219108645662886</v>
      </c>
      <c r="S46" s="2"/>
      <c r="T46" s="2">
        <v>306955.37</v>
      </c>
      <c r="U46" s="2"/>
      <c r="V46" s="19">
        <f t="shared" si="11"/>
        <v>9.0325572159600298E-2</v>
      </c>
      <c r="W46" s="2"/>
      <c r="X46" s="2">
        <f t="shared" si="12"/>
        <v>15824.600000000035</v>
      </c>
      <c r="Y46" s="2"/>
      <c r="Z46" s="19">
        <f t="shared" si="13"/>
        <v>5.1553422896625116E-2</v>
      </c>
    </row>
    <row r="47" spans="1:26" s="24" customFormat="1" hidden="1" outlineLevel="1" x14ac:dyDescent="0.25">
      <c r="A47" s="44"/>
      <c r="B47" s="11" t="str">
        <f>CONCATENATE("          ", "5011", " - ", "PURCHASES @ COST-NO VALUE TEXT")</f>
        <v xml:space="preserve">          5011 - PURCHASES @ COST-NO VALUE TEXT</v>
      </c>
      <c r="C47" s="11"/>
      <c r="D47" s="2">
        <v>66</v>
      </c>
      <c r="E47" s="2"/>
      <c r="F47" s="19">
        <f t="shared" si="6"/>
        <v>4.5020617396375846E-3</v>
      </c>
      <c r="G47" s="2"/>
      <c r="H47" s="2">
        <v>63</v>
      </c>
      <c r="I47" s="2"/>
      <c r="J47" s="19">
        <f t="shared" si="7"/>
        <v>4.5956552820856991E-3</v>
      </c>
      <c r="K47" s="2"/>
      <c r="L47" s="2">
        <f t="shared" si="8"/>
        <v>3</v>
      </c>
      <c r="M47" s="2"/>
      <c r="N47" s="19">
        <f t="shared" si="9"/>
        <v>4.7619047619047616E-2</v>
      </c>
      <c r="O47" s="11"/>
      <c r="P47" s="2">
        <v>3741</v>
      </c>
      <c r="Q47" s="2"/>
      <c r="R47" s="19">
        <f t="shared" si="10"/>
        <v>1.3002877918175918E-3</v>
      </c>
      <c r="S47" s="2"/>
      <c r="T47" s="2">
        <v>2838</v>
      </c>
      <c r="U47" s="2"/>
      <c r="V47" s="19">
        <f t="shared" si="11"/>
        <v>8.3511806224124919E-4</v>
      </c>
      <c r="W47" s="2"/>
      <c r="X47" s="2">
        <f t="shared" si="12"/>
        <v>903</v>
      </c>
      <c r="Y47" s="2"/>
      <c r="Z47" s="19">
        <f t="shared" si="13"/>
        <v>0.31818181818181818</v>
      </c>
    </row>
    <row r="48" spans="1:26" s="24" customFormat="1" hidden="1" outlineLevel="1" x14ac:dyDescent="0.25">
      <c r="A48" s="44"/>
      <c r="B48" s="11" t="str">
        <f>CONCATENATE("          ", "5013", " - ", "PURCHASES @ COST-TRADE BOOKS")</f>
        <v xml:space="preserve">          5013 - PURCHASES @ COST-TRADE BOOKS</v>
      </c>
      <c r="C48" s="11"/>
      <c r="D48" s="2">
        <v>10.79</v>
      </c>
      <c r="E48" s="2"/>
      <c r="F48" s="19">
        <f t="shared" si="6"/>
        <v>7.3601888137408392E-4</v>
      </c>
      <c r="G48" s="2"/>
      <c r="H48" s="2">
        <v>270</v>
      </c>
      <c r="I48" s="2"/>
      <c r="J48" s="19">
        <f t="shared" si="7"/>
        <v>1.9695665494652997E-2</v>
      </c>
      <c r="K48" s="2"/>
      <c r="L48" s="2">
        <f t="shared" si="8"/>
        <v>-259.20999999999998</v>
      </c>
      <c r="M48" s="2"/>
      <c r="N48" s="19">
        <f t="shared" si="9"/>
        <v>-0.96003703703703691</v>
      </c>
      <c r="O48" s="11"/>
      <c r="P48" s="2">
        <v>698.14</v>
      </c>
      <c r="Q48" s="2"/>
      <c r="R48" s="19">
        <f t="shared" si="10"/>
        <v>2.4265782383842117E-4</v>
      </c>
      <c r="S48" s="2"/>
      <c r="T48" s="2">
        <v>1406.94</v>
      </c>
      <c r="U48" s="2"/>
      <c r="V48" s="19">
        <f t="shared" si="11"/>
        <v>4.1401022075042394E-4</v>
      </c>
      <c r="W48" s="2"/>
      <c r="X48" s="2">
        <f t="shared" si="12"/>
        <v>-708.80000000000007</v>
      </c>
      <c r="Y48" s="2"/>
      <c r="Z48" s="19">
        <f t="shared" si="13"/>
        <v>-0.50378836339858135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>
        <v>114.84</v>
      </c>
      <c r="E49" s="2"/>
      <c r="F49" s="19">
        <f t="shared" si="6"/>
        <v>7.8335874269693986E-3</v>
      </c>
      <c r="G49" s="2"/>
      <c r="H49" s="2">
        <v>246.34</v>
      </c>
      <c r="I49" s="2"/>
      <c r="J49" s="19">
        <f t="shared" si="7"/>
        <v>1.7969741622047477E-2</v>
      </c>
      <c r="K49" s="2"/>
      <c r="L49" s="2">
        <f t="shared" si="8"/>
        <v>-131.5</v>
      </c>
      <c r="M49" s="2"/>
      <c r="N49" s="19">
        <f t="shared" si="9"/>
        <v>-0.53381505236664772</v>
      </c>
      <c r="O49" s="11"/>
      <c r="P49" s="2">
        <v>442.35</v>
      </c>
      <c r="Q49" s="2"/>
      <c r="R49" s="19">
        <f t="shared" si="10"/>
        <v>1.5375095020329105E-4</v>
      </c>
      <c r="S49" s="2"/>
      <c r="T49" s="2">
        <v>735.2</v>
      </c>
      <c r="U49" s="2"/>
      <c r="V49" s="19">
        <f t="shared" si="11"/>
        <v>2.1634207165601354E-4</v>
      </c>
      <c r="W49" s="2"/>
      <c r="X49" s="2">
        <f t="shared" si="12"/>
        <v>-292.85000000000002</v>
      </c>
      <c r="Y49" s="2"/>
      <c r="Z49" s="19">
        <f t="shared" si="13"/>
        <v>-0.39832698585418935</v>
      </c>
    </row>
    <row r="50" spans="1:26" s="24" customFormat="1" hidden="1" outlineLevel="1" x14ac:dyDescent="0.25">
      <c r="A50" s="44"/>
      <c r="B50" s="11" t="str">
        <f>CONCATENATE("          ", "5018", " - ", "PURCHASES @ COST-STUDY GUIDES")</f>
        <v xml:space="preserve">          5018 - PURCHASES @ COST-STUDY GUIDES</v>
      </c>
      <c r="C50" s="11"/>
      <c r="D50" s="2"/>
      <c r="E50" s="2"/>
      <c r="F50" s="19">
        <f t="shared" si="6"/>
        <v>0</v>
      </c>
      <c r="G50" s="2"/>
      <c r="H50" s="2"/>
      <c r="I50" s="2"/>
      <c r="J50" s="19">
        <f t="shared" si="7"/>
        <v>0</v>
      </c>
      <c r="K50" s="2"/>
      <c r="L50" s="2">
        <f t="shared" si="8"/>
        <v>0</v>
      </c>
      <c r="M50" s="2"/>
      <c r="N50" s="19">
        <f t="shared" si="9"/>
        <v>0</v>
      </c>
      <c r="O50" s="11"/>
      <c r="P50" s="2">
        <v>802.09</v>
      </c>
      <c r="Q50" s="2"/>
      <c r="R50" s="19">
        <f t="shared" si="10"/>
        <v>2.7878851508660046E-4</v>
      </c>
      <c r="S50" s="2"/>
      <c r="T50" s="2">
        <v>1034.55</v>
      </c>
      <c r="U50" s="2"/>
      <c r="V50" s="19">
        <f t="shared" si="11"/>
        <v>3.0442966571236235E-4</v>
      </c>
      <c r="W50" s="2"/>
      <c r="X50" s="2">
        <f t="shared" si="12"/>
        <v>-232.45999999999992</v>
      </c>
      <c r="Y50" s="2"/>
      <c r="Z50" s="19">
        <f t="shared" si="13"/>
        <v>-0.22469672804601029</v>
      </c>
    </row>
    <row r="51" spans="1:26" s="24" customFormat="1" hidden="1" outlineLevel="1" x14ac:dyDescent="0.25">
      <c r="A51" s="44"/>
      <c r="B51" s="11" t="str">
        <f>CONCATENATE("          ", "5200", " - ", "PURCHASES OFFSET")</f>
        <v xml:space="preserve">          5200 - PURCHASES OFFSET</v>
      </c>
      <c r="C51" s="11"/>
      <c r="D51" s="2">
        <v>330700</v>
      </c>
      <c r="E51" s="2"/>
      <c r="F51" s="19">
        <f t="shared" si="6"/>
        <v>22.558057837850747</v>
      </c>
      <c r="G51" s="2"/>
      <c r="H51" s="2">
        <v>-3826</v>
      </c>
      <c r="I51" s="2"/>
      <c r="J51" s="19">
        <f t="shared" si="7"/>
        <v>-0.27909487475015693</v>
      </c>
      <c r="K51" s="2"/>
      <c r="L51" s="2">
        <f t="shared" si="8"/>
        <v>334526</v>
      </c>
      <c r="M51" s="2"/>
      <c r="N51" s="19">
        <f t="shared" si="9"/>
        <v>-87.434918975431259</v>
      </c>
      <c r="O51" s="11"/>
      <c r="P51" s="2">
        <v>-1480875</v>
      </c>
      <c r="Q51" s="2"/>
      <c r="R51" s="19">
        <f t="shared" si="10"/>
        <v>-0.51471897452763338</v>
      </c>
      <c r="S51" s="2"/>
      <c r="T51" s="2">
        <v>-1588998</v>
      </c>
      <c r="U51" s="2"/>
      <c r="V51" s="19">
        <f t="shared" si="11"/>
        <v>-0.46758313272206498</v>
      </c>
      <c r="W51" s="2"/>
      <c r="X51" s="2">
        <f t="shared" si="12"/>
        <v>108123</v>
      </c>
      <c r="Y51" s="2"/>
      <c r="Z51" s="19">
        <f t="shared" si="13"/>
        <v>-6.8044767834824216E-2</v>
      </c>
    </row>
    <row r="52" spans="1:26" s="24" customFormat="1" hidden="1" outlineLevel="1" x14ac:dyDescent="0.25">
      <c r="A52" s="44"/>
      <c r="B52" s="11" t="str">
        <f>CONCATENATE("          ", "5300", " - ", "COG$ OFFSET")</f>
        <v xml:space="preserve">          5300 - COG$ OFFSET</v>
      </c>
      <c r="C52" s="11"/>
      <c r="D52" s="2">
        <v>20379</v>
      </c>
      <c r="E52" s="2"/>
      <c r="F52" s="19">
        <f t="shared" si="6"/>
        <v>1.390113881698096</v>
      </c>
      <c r="G52" s="2"/>
      <c r="H52" s="2">
        <v>20400</v>
      </c>
      <c r="I52" s="2"/>
      <c r="J52" s="19">
        <f t="shared" si="7"/>
        <v>1.4881169484848931</v>
      </c>
      <c r="K52" s="2"/>
      <c r="L52" s="2">
        <f t="shared" si="8"/>
        <v>-21</v>
      </c>
      <c r="M52" s="2"/>
      <c r="N52" s="19">
        <f t="shared" si="9"/>
        <v>-1.0294117647058824E-3</v>
      </c>
      <c r="O52" s="11"/>
      <c r="P52" s="2">
        <v>1438765</v>
      </c>
      <c r="Q52" s="2"/>
      <c r="R52" s="19">
        <f t="shared" si="10"/>
        <v>0.50008248190174753</v>
      </c>
      <c r="S52" s="2"/>
      <c r="T52" s="2">
        <v>1710744</v>
      </c>
      <c r="U52" s="2"/>
      <c r="V52" s="19">
        <f t="shared" si="11"/>
        <v>0.50340846168810549</v>
      </c>
      <c r="W52" s="2"/>
      <c r="X52" s="2">
        <f t="shared" si="12"/>
        <v>-271979</v>
      </c>
      <c r="Y52" s="2"/>
      <c r="Z52" s="19">
        <f t="shared" si="13"/>
        <v>-0.15898287528700963</v>
      </c>
    </row>
    <row r="53" spans="1:26" s="24" customFormat="1" hidden="1" outlineLevel="1" x14ac:dyDescent="0.25">
      <c r="A53" s="44"/>
      <c r="B53" s="11" t="str">
        <f>CONCATENATE("          ", "5500", " - ", "FREIGHT-IN")</f>
        <v xml:space="preserve">          5500 - FREIGHT-IN</v>
      </c>
      <c r="C53" s="11"/>
      <c r="D53" s="2"/>
      <c r="E53" s="2"/>
      <c r="F53" s="19">
        <f t="shared" si="6"/>
        <v>0</v>
      </c>
      <c r="G53" s="2"/>
      <c r="H53" s="2"/>
      <c r="I53" s="2"/>
      <c r="J53" s="19">
        <f t="shared" si="7"/>
        <v>0</v>
      </c>
      <c r="K53" s="2"/>
      <c r="L53" s="2">
        <f t="shared" si="8"/>
        <v>0</v>
      </c>
      <c r="M53" s="2"/>
      <c r="N53" s="19">
        <f t="shared" si="9"/>
        <v>0</v>
      </c>
      <c r="O53" s="11"/>
      <c r="P53" s="2"/>
      <c r="Q53" s="2"/>
      <c r="R53" s="19">
        <f t="shared" si="10"/>
        <v>0</v>
      </c>
      <c r="S53" s="2"/>
      <c r="T53" s="2">
        <v>0</v>
      </c>
      <c r="U53" s="2"/>
      <c r="V53" s="19">
        <f t="shared" si="11"/>
        <v>0</v>
      </c>
      <c r="W53" s="2"/>
      <c r="X53" s="2">
        <f t="shared" si="12"/>
        <v>0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"5501", " - ", "FREIGHT-IN-NEW TEXT")</f>
        <v xml:space="preserve">          5501 - FREIGHT-IN-NEW TEXT</v>
      </c>
      <c r="C54" s="11"/>
      <c r="D54" s="2">
        <v>490.07</v>
      </c>
      <c r="E54" s="2"/>
      <c r="F54" s="19">
        <f t="shared" si="6"/>
        <v>3.3429172677942293E-2</v>
      </c>
      <c r="G54" s="2"/>
      <c r="H54" s="2">
        <v>588.1</v>
      </c>
      <c r="I54" s="2"/>
      <c r="J54" s="19">
        <f t="shared" si="7"/>
        <v>4.2900077323723806E-2</v>
      </c>
      <c r="K54" s="2"/>
      <c r="L54" s="2">
        <f t="shared" si="8"/>
        <v>-98.03000000000003</v>
      </c>
      <c r="M54" s="2"/>
      <c r="N54" s="19">
        <f t="shared" si="9"/>
        <v>-0.16668933854786605</v>
      </c>
      <c r="O54" s="11"/>
      <c r="P54" s="2">
        <v>34507.550000000003</v>
      </c>
      <c r="Q54" s="2"/>
      <c r="R54" s="19">
        <f t="shared" si="10"/>
        <v>1.1994051320645589E-2</v>
      </c>
      <c r="S54" s="2"/>
      <c r="T54" s="2">
        <v>36798.959999999999</v>
      </c>
      <c r="U54" s="2"/>
      <c r="V54" s="19">
        <f t="shared" si="11"/>
        <v>1.0828568064726299E-2</v>
      </c>
      <c r="W54" s="2"/>
      <c r="X54" s="2">
        <f t="shared" si="12"/>
        <v>-2291.4099999999962</v>
      </c>
      <c r="Y54" s="2"/>
      <c r="Z54" s="19">
        <f t="shared" si="13"/>
        <v>-6.2268335844273756E-2</v>
      </c>
    </row>
    <row r="55" spans="1:26" s="24" customFormat="1" hidden="1" outlineLevel="1" x14ac:dyDescent="0.25">
      <c r="A55" s="44"/>
      <c r="B55" s="11" t="str">
        <f>CONCATENATE("          ", "5502", " - ", "FREIGHT-IN-USED TEXT")</f>
        <v xml:space="preserve">          5502 - FREIGHT-IN-USED TEXT</v>
      </c>
      <c r="C55" s="11"/>
      <c r="D55" s="2">
        <v>237.65</v>
      </c>
      <c r="E55" s="2"/>
      <c r="F55" s="19">
        <f t="shared" si="6"/>
        <v>1.6210832915528366E-2</v>
      </c>
      <c r="G55" s="2"/>
      <c r="H55" s="2">
        <v>18.5</v>
      </c>
      <c r="I55" s="2"/>
      <c r="J55" s="19">
        <f t="shared" si="7"/>
        <v>1.3495178209299275E-3</v>
      </c>
      <c r="K55" s="2"/>
      <c r="L55" s="2">
        <f t="shared" si="8"/>
        <v>219.15</v>
      </c>
      <c r="M55" s="2"/>
      <c r="N55" s="19">
        <f t="shared" si="9"/>
        <v>11.845945945945946</v>
      </c>
      <c r="O55" s="11"/>
      <c r="P55" s="2">
        <v>7090.12</v>
      </c>
      <c r="Q55" s="2"/>
      <c r="R55" s="19">
        <f t="shared" si="10"/>
        <v>2.4643668747719176E-3</v>
      </c>
      <c r="S55" s="2"/>
      <c r="T55" s="2">
        <v>7751.05</v>
      </c>
      <c r="U55" s="2"/>
      <c r="V55" s="19">
        <f t="shared" si="11"/>
        <v>2.2808463200616751E-3</v>
      </c>
      <c r="W55" s="2"/>
      <c r="X55" s="2">
        <f t="shared" si="12"/>
        <v>-660.93000000000029</v>
      </c>
      <c r="Y55" s="2"/>
      <c r="Z55" s="19">
        <f t="shared" si="13"/>
        <v>-8.5269737648447669E-2</v>
      </c>
    </row>
    <row r="56" spans="1:26" s="24" customFormat="1" hidden="1" outlineLevel="1" x14ac:dyDescent="0.25">
      <c r="A56" s="44"/>
      <c r="B56" s="11" t="str">
        <f>CONCATENATE("          ", "5504", " - ", "FREIGHT-IN-DIGITAL TEXT")</f>
        <v xml:space="preserve">          5504 - FREIGHT-IN-DIGITAL TEXT</v>
      </c>
      <c r="C56" s="11"/>
      <c r="D56" s="2">
        <v>5</v>
      </c>
      <c r="E56" s="2"/>
      <c r="F56" s="19">
        <f t="shared" si="6"/>
        <v>3.4106528330587766E-4</v>
      </c>
      <c r="G56" s="2"/>
      <c r="H56" s="2"/>
      <c r="I56" s="2"/>
      <c r="J56" s="19">
        <f t="shared" si="7"/>
        <v>0</v>
      </c>
      <c r="K56" s="2"/>
      <c r="L56" s="2">
        <f t="shared" si="8"/>
        <v>5</v>
      </c>
      <c r="M56" s="2"/>
      <c r="N56" s="19">
        <f t="shared" si="9"/>
        <v>0</v>
      </c>
      <c r="O56" s="11"/>
      <c r="P56" s="2">
        <v>105.97</v>
      </c>
      <c r="Q56" s="2"/>
      <c r="R56" s="19">
        <f t="shared" si="10"/>
        <v>3.683279799489714E-5</v>
      </c>
      <c r="S56" s="2"/>
      <c r="T56" s="2">
        <v>166.22</v>
      </c>
      <c r="U56" s="2"/>
      <c r="V56" s="19">
        <f t="shared" si="11"/>
        <v>4.8912376429084012E-5</v>
      </c>
      <c r="W56" s="2"/>
      <c r="X56" s="2">
        <f t="shared" si="12"/>
        <v>-60.25</v>
      </c>
      <c r="Y56" s="2"/>
      <c r="Z56" s="19">
        <f t="shared" si="13"/>
        <v>-0.36247142341475153</v>
      </c>
    </row>
    <row r="57" spans="1:26" s="24" customFormat="1" hidden="1" outlineLevel="1" x14ac:dyDescent="0.25">
      <c r="A57" s="44"/>
      <c r="B57" s="11" t="str">
        <f>CONCATENATE("          ", "5513", " - ", "FREIGHT-IN-TRADE BOOKS")</f>
        <v xml:space="preserve">          5513 - FREIGHT-IN-TRADE BOOKS</v>
      </c>
      <c r="C57" s="11"/>
      <c r="D57" s="2">
        <v>12.33</v>
      </c>
      <c r="E57" s="2"/>
      <c r="F57" s="19">
        <f t="shared" si="6"/>
        <v>8.4106698863229432E-4</v>
      </c>
      <c r="G57" s="2"/>
      <c r="H57" s="2"/>
      <c r="I57" s="2"/>
      <c r="J57" s="19">
        <f t="shared" si="7"/>
        <v>0</v>
      </c>
      <c r="K57" s="2"/>
      <c r="L57" s="2">
        <f t="shared" si="8"/>
        <v>12.33</v>
      </c>
      <c r="M57" s="2"/>
      <c r="N57" s="19">
        <f t="shared" si="9"/>
        <v>0</v>
      </c>
      <c r="O57" s="11"/>
      <c r="P57" s="2">
        <v>12.33</v>
      </c>
      <c r="Q57" s="2"/>
      <c r="R57" s="19">
        <f t="shared" si="10"/>
        <v>4.2856317757580613E-6</v>
      </c>
      <c r="S57" s="2"/>
      <c r="T57" s="2">
        <v>12.22</v>
      </c>
      <c r="U57" s="2"/>
      <c r="V57" s="19">
        <f t="shared" si="11"/>
        <v>3.5958924314968517E-6</v>
      </c>
      <c r="W57" s="2"/>
      <c r="X57" s="2">
        <f t="shared" si="12"/>
        <v>0.10999999999999943</v>
      </c>
      <c r="Y57" s="2"/>
      <c r="Z57" s="19">
        <f t="shared" si="13"/>
        <v>9.0016366612110828E-3</v>
      </c>
    </row>
    <row r="58" spans="1:26" s="24" customFormat="1" hidden="1" outlineLevel="1" x14ac:dyDescent="0.25">
      <c r="A58" s="44"/>
      <c r="B58" s="11" t="str">
        <f>CONCATENATE("          ", "5518", " - ", "FREIGHT-IN-STUDY GUIDES")</f>
        <v xml:space="preserve">          5518 - FREIGHT-IN-STUDY GUIDES</v>
      </c>
      <c r="C58" s="11"/>
      <c r="D58" s="2">
        <v>12.26</v>
      </c>
      <c r="E58" s="2"/>
      <c r="F58" s="19">
        <f t="shared" si="6"/>
        <v>8.3629207466601196E-4</v>
      </c>
      <c r="G58" s="2"/>
      <c r="H58" s="2"/>
      <c r="I58" s="2"/>
      <c r="J58" s="19">
        <f t="shared" si="7"/>
        <v>0</v>
      </c>
      <c r="K58" s="2"/>
      <c r="L58" s="2">
        <f t="shared" si="8"/>
        <v>12.26</v>
      </c>
      <c r="M58" s="2"/>
      <c r="N58" s="19">
        <f t="shared" si="9"/>
        <v>0</v>
      </c>
      <c r="O58" s="11"/>
      <c r="P58" s="2">
        <v>12.26</v>
      </c>
      <c r="Q58" s="2"/>
      <c r="R58" s="19">
        <f t="shared" si="10"/>
        <v>4.2613013439411058E-6</v>
      </c>
      <c r="S58" s="2"/>
      <c r="T58" s="2"/>
      <c r="U58" s="2"/>
      <c r="V58" s="19">
        <f t="shared" si="11"/>
        <v>0</v>
      </c>
      <c r="W58" s="2"/>
      <c r="X58" s="2">
        <f t="shared" si="12"/>
        <v>12.26</v>
      </c>
      <c r="Y58" s="2"/>
      <c r="Z58" s="19">
        <f t="shared" si="13"/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9" t="s">
        <v>6</v>
      </c>
      <c r="C60" s="29"/>
      <c r="D60" s="21">
        <f>D12-D42</f>
        <v>-6285.9300000000112</v>
      </c>
      <c r="E60" s="14"/>
      <c r="F60" s="20">
        <f>IF(D$12=0,0,D60/D$12)</f>
        <v>-0.42878249925818385</v>
      </c>
      <c r="G60" s="14"/>
      <c r="H60" s="21">
        <f>H12-H42</f>
        <v>-4919.7100000000046</v>
      </c>
      <c r="I60" s="14"/>
      <c r="J60" s="20">
        <f>IF(H$12=0,0,H60/H$12)</f>
        <v>-0.35887763885444218</v>
      </c>
      <c r="K60" s="15"/>
      <c r="L60" s="21">
        <f>+D60-H60</f>
        <v>-1366.2200000000066</v>
      </c>
      <c r="M60" s="15"/>
      <c r="N60" s="20">
        <f>IF(H60=0,0,L60/H60)</f>
        <v>0.27770336056393674</v>
      </c>
      <c r="O60" s="28"/>
      <c r="P60" s="21">
        <f>P12-P42</f>
        <v>754953.41999999946</v>
      </c>
      <c r="Q60" s="14"/>
      <c r="R60" s="20">
        <f>IF(P$12=0,0,P60/P$12)</f>
        <v>0.26240489586125054</v>
      </c>
      <c r="S60" s="14"/>
      <c r="T60" s="21">
        <f>T12-T42</f>
        <v>891665.52</v>
      </c>
      <c r="U60" s="14"/>
      <c r="V60" s="20">
        <f>IF(T$12=0,0,T60/T$12)</f>
        <v>0.26238406667714442</v>
      </c>
      <c r="W60" s="15"/>
      <c r="X60" s="21">
        <f>+P60-T60</f>
        <v>-136712.10000000056</v>
      </c>
      <c r="Y60" s="15"/>
      <c r="Z60" s="20">
        <f>IF(T60=0,0,X60/T60)</f>
        <v>-0.15332217847786753</v>
      </c>
    </row>
    <row r="61" spans="1:26" x14ac:dyDescent="0.25">
      <c r="A61" s="9"/>
      <c r="B61" s="10"/>
      <c r="C61" s="9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8" t="s">
        <v>9</v>
      </c>
      <c r="C62" s="10"/>
      <c r="D62" s="22">
        <f>SUM(OSRRefD22x_0)</f>
        <v>48723.32</v>
      </c>
      <c r="E62" s="22"/>
      <c r="F62" s="33">
        <f t="shared" ref="F62:F72" si="14">IF(D$12=0,0,D62/D$12)</f>
        <v>3.3235665878805869</v>
      </c>
      <c r="G62" s="22"/>
      <c r="H62" s="22">
        <f>SUM(OSRRefH22x_0)</f>
        <v>63870.970000000008</v>
      </c>
      <c r="I62" s="22"/>
      <c r="J62" s="33">
        <f t="shared" ref="J62:J72" si="15">IF(H$12=0,0,H62/H$12)</f>
        <v>4.659189851625988</v>
      </c>
      <c r="K62" s="4"/>
      <c r="L62" s="22">
        <f t="shared" ref="L62:L72" si="16">+D62-H62</f>
        <v>-15147.650000000009</v>
      </c>
      <c r="M62" s="4"/>
      <c r="N62" s="33">
        <f t="shared" ref="N62:N72" si="17">IF(H62=0,0,L62/H62)</f>
        <v>-0.23716016838322648</v>
      </c>
      <c r="O62" s="10"/>
      <c r="P62" s="22">
        <f>SUM(OSRRefP22x_0)</f>
        <v>209249.05</v>
      </c>
      <c r="Q62" s="22"/>
      <c r="R62" s="33">
        <f t="shared" ref="R62:R72" si="18">IF(P$12=0,0,P62/P$12)</f>
        <v>7.273028205411089E-2</v>
      </c>
      <c r="S62" s="22"/>
      <c r="T62" s="22">
        <f>SUM(OSRRefT22x_0)</f>
        <v>299177.19000000006</v>
      </c>
      <c r="U62" s="22"/>
      <c r="V62" s="33">
        <f t="shared" ref="V62:V72" si="19">IF(T$12=0,0,T62/T$12)</f>
        <v>8.8036742487520109E-2</v>
      </c>
      <c r="W62" s="4"/>
      <c r="X62" s="22">
        <f t="shared" ref="X62:X72" si="20">+P62-T62</f>
        <v>-89928.140000000072</v>
      </c>
      <c r="Y62" s="4"/>
      <c r="Z62" s="33">
        <f t="shared" ref="Z62:Z72" si="21">IF(T62=0,0,X62/T62)</f>
        <v>-0.30058488081928991</v>
      </c>
    </row>
    <row r="63" spans="1:26" s="25" customFormat="1" outlineLevel="1" collapsed="1" x14ac:dyDescent="0.25">
      <c r="A63" s="27"/>
      <c r="B63" s="13" t="str">
        <f>CONCATENATE("     ","*Benefits                                         ")</f>
        <v xml:space="preserve">     *Benefits                                         </v>
      </c>
      <c r="C63" s="13"/>
      <c r="D63" s="1">
        <f>SUM(OSRRefD22_0x_0)</f>
        <v>8764.2699999999986</v>
      </c>
      <c r="E63" s="1"/>
      <c r="F63" s="5">
        <f t="shared" si="14"/>
        <v>0.59783764610384071</v>
      </c>
      <c r="G63" s="1"/>
      <c r="H63" s="1">
        <f>SUM(OSRRefH22_0x_0)</f>
        <v>11906.029999999999</v>
      </c>
      <c r="I63" s="1"/>
      <c r="J63" s="5">
        <f t="shared" si="15"/>
        <v>0.86850808981223482</v>
      </c>
      <c r="K63" s="1"/>
      <c r="L63" s="1">
        <f t="shared" si="16"/>
        <v>-3141.76</v>
      </c>
      <c r="M63" s="1"/>
      <c r="N63" s="5">
        <f t="shared" si="17"/>
        <v>-0.26387973153099736</v>
      </c>
      <c r="O63" s="13"/>
      <c r="P63" s="1">
        <f>SUM(OSRRefP22_0x_0)</f>
        <v>51347.56</v>
      </c>
      <c r="Q63" s="1"/>
      <c r="R63" s="5">
        <f t="shared" si="18"/>
        <v>1.7847261536386341E-2</v>
      </c>
      <c r="S63" s="1"/>
      <c r="T63" s="1">
        <f>SUM(OSRRefT22_0x_0)</f>
        <v>64549.109999999993</v>
      </c>
      <c r="U63" s="1"/>
      <c r="V63" s="5">
        <f t="shared" si="19"/>
        <v>1.8994407210217487E-2</v>
      </c>
      <c r="W63" s="1"/>
      <c r="X63" s="1">
        <f t="shared" si="20"/>
        <v>-13201.549999999996</v>
      </c>
      <c r="Y63" s="1"/>
      <c r="Z63" s="5">
        <f t="shared" si="21"/>
        <v>-0.20451947362248676</v>
      </c>
    </row>
    <row r="64" spans="1:26" s="24" customFormat="1" hidden="1" outlineLevel="2" x14ac:dyDescent="0.25">
      <c r="A64" s="26"/>
      <c r="B64" s="11" t="str">
        <f>CONCATENATE("          ", "6111", " - ", "F.I.C.A.")</f>
        <v xml:space="preserve">          6111 - F.I.C.A.</v>
      </c>
      <c r="C64" s="11"/>
      <c r="D64" s="6">
        <v>1472.33</v>
      </c>
      <c r="E64" s="2"/>
      <c r="F64" s="7">
        <f t="shared" si="14"/>
        <v>0.10043212971394856</v>
      </c>
      <c r="G64" s="2"/>
      <c r="H64" s="6">
        <v>1719.78</v>
      </c>
      <c r="I64" s="2"/>
      <c r="J64" s="7">
        <f t="shared" si="15"/>
        <v>0.12545263557183084</v>
      </c>
      <c r="K64" s="2"/>
      <c r="L64" s="6">
        <f t="shared" si="16"/>
        <v>-247.45000000000005</v>
      </c>
      <c r="M64" s="2"/>
      <c r="N64" s="7">
        <f t="shared" si="17"/>
        <v>-0.14388468292456014</v>
      </c>
      <c r="O64" s="11"/>
      <c r="P64" s="6">
        <v>9075.3799999999992</v>
      </c>
      <c r="Q64" s="2"/>
      <c r="R64" s="7">
        <f t="shared" si="18"/>
        <v>3.1543987757566253E-3</v>
      </c>
      <c r="S64" s="2"/>
      <c r="T64" s="6">
        <v>10714.15</v>
      </c>
      <c r="U64" s="2"/>
      <c r="V64" s="7">
        <f t="shared" si="19"/>
        <v>3.1527766689788861E-3</v>
      </c>
      <c r="W64" s="2"/>
      <c r="X64" s="6">
        <f t="shared" si="20"/>
        <v>-1638.7700000000004</v>
      </c>
      <c r="Y64" s="2"/>
      <c r="Z64" s="7">
        <f t="shared" si="21"/>
        <v>-0.1529538040815184</v>
      </c>
    </row>
    <row r="65" spans="1:26" s="24" customFormat="1" hidden="1" outlineLevel="2" x14ac:dyDescent="0.25">
      <c r="A65" s="26"/>
      <c r="B65" s="11" t="str">
        <f>CONCATENATE("          ", "6112", " - ", "COMPENSATION INSURANCE")</f>
        <v xml:space="preserve">          6112 - COMPENSATION INSURANCE</v>
      </c>
      <c r="C65" s="11"/>
      <c r="D65" s="6">
        <v>74.48</v>
      </c>
      <c r="E65" s="2"/>
      <c r="F65" s="7">
        <f t="shared" si="14"/>
        <v>5.0805084601243536E-3</v>
      </c>
      <c r="G65" s="2"/>
      <c r="H65" s="6">
        <v>74.97</v>
      </c>
      <c r="I65" s="2"/>
      <c r="J65" s="7">
        <f t="shared" si="15"/>
        <v>5.4688297856819819E-3</v>
      </c>
      <c r="K65" s="2"/>
      <c r="L65" s="6">
        <f t="shared" si="16"/>
        <v>-0.48999999999999488</v>
      </c>
      <c r="M65" s="2"/>
      <c r="N65" s="7">
        <f t="shared" si="17"/>
        <v>-6.5359477124182323E-3</v>
      </c>
      <c r="O65" s="11"/>
      <c r="P65" s="6">
        <v>268.06</v>
      </c>
      <c r="Q65" s="2"/>
      <c r="R65" s="7">
        <f t="shared" si="18"/>
        <v>9.3171650755045085E-5</v>
      </c>
      <c r="S65" s="2"/>
      <c r="T65" s="6">
        <v>534.15</v>
      </c>
      <c r="U65" s="2"/>
      <c r="V65" s="7">
        <f t="shared" si="19"/>
        <v>1.5718051900851418E-4</v>
      </c>
      <c r="W65" s="2"/>
      <c r="X65" s="6">
        <f t="shared" si="20"/>
        <v>-266.08999999999997</v>
      </c>
      <c r="Y65" s="2"/>
      <c r="Z65" s="7">
        <f t="shared" si="21"/>
        <v>-0.49815594870354768</v>
      </c>
    </row>
    <row r="66" spans="1:26" s="24" customFormat="1" hidden="1" outlineLevel="2" x14ac:dyDescent="0.25">
      <c r="A66" s="26"/>
      <c r="B66" s="11" t="str">
        <f>CONCATENATE("          ", "6113", " - ", "GROUP INSURANCE")</f>
        <v xml:space="preserve">          6113 - GROUP INSURANCE</v>
      </c>
      <c r="C66" s="11"/>
      <c r="D66" s="6">
        <v>4168.57</v>
      </c>
      <c r="E66" s="2"/>
      <c r="F66" s="7">
        <f t="shared" si="14"/>
        <v>0.28435090160607646</v>
      </c>
      <c r="G66" s="2"/>
      <c r="H66" s="6">
        <v>5625.32</v>
      </c>
      <c r="I66" s="2"/>
      <c r="J66" s="7">
        <f t="shared" si="15"/>
        <v>0.41034970748289401</v>
      </c>
      <c r="K66" s="2"/>
      <c r="L66" s="6">
        <f t="shared" si="16"/>
        <v>-1456.75</v>
      </c>
      <c r="M66" s="2"/>
      <c r="N66" s="7">
        <f t="shared" si="17"/>
        <v>-0.25896304565784706</v>
      </c>
      <c r="O66" s="11"/>
      <c r="P66" s="6">
        <v>20842.849999999999</v>
      </c>
      <c r="Q66" s="2"/>
      <c r="R66" s="7">
        <f t="shared" si="18"/>
        <v>7.2445077256576562E-3</v>
      </c>
      <c r="S66" s="2"/>
      <c r="T66" s="6">
        <v>24610.289999999997</v>
      </c>
      <c r="U66" s="2"/>
      <c r="V66" s="7">
        <f t="shared" si="19"/>
        <v>7.2418948893570086E-3</v>
      </c>
      <c r="W66" s="2"/>
      <c r="X66" s="6">
        <f t="shared" si="20"/>
        <v>-3767.4399999999987</v>
      </c>
      <c r="Y66" s="2"/>
      <c r="Z66" s="7">
        <f t="shared" si="21"/>
        <v>-0.15308393359038025</v>
      </c>
    </row>
    <row r="67" spans="1:26" s="24" customFormat="1" hidden="1" outlineLevel="2" x14ac:dyDescent="0.25">
      <c r="A67" s="26"/>
      <c r="B67" s="11" t="str">
        <f>CONCATENATE("          ", "6114", " - ", "STATE UNEMPLOYMENT INSURANCE")</f>
        <v xml:space="preserve">          6114 - STATE UNEMPLOYMENT INSURANCE</v>
      </c>
      <c r="C67" s="11"/>
      <c r="D67" s="6">
        <v>56.95</v>
      </c>
      <c r="E67" s="2"/>
      <c r="F67" s="7">
        <f t="shared" si="14"/>
        <v>3.8847335768539466E-3</v>
      </c>
      <c r="G67" s="2"/>
      <c r="H67" s="6">
        <v>62.88</v>
      </c>
      <c r="I67" s="2"/>
      <c r="J67" s="7">
        <f t="shared" si="15"/>
        <v>4.586901652976965E-3</v>
      </c>
      <c r="K67" s="2"/>
      <c r="L67" s="6">
        <f t="shared" si="16"/>
        <v>-5.93</v>
      </c>
      <c r="M67" s="2"/>
      <c r="N67" s="7">
        <f t="shared" si="17"/>
        <v>-9.4306615776081418E-2</v>
      </c>
      <c r="O67" s="11"/>
      <c r="P67" s="6">
        <v>303.44</v>
      </c>
      <c r="Q67" s="2"/>
      <c r="R67" s="7">
        <f t="shared" si="18"/>
        <v>1.0546894615052929E-4</v>
      </c>
      <c r="S67" s="2"/>
      <c r="T67" s="6">
        <v>442.42</v>
      </c>
      <c r="U67" s="2"/>
      <c r="V67" s="7">
        <f t="shared" si="19"/>
        <v>1.301877847416397E-4</v>
      </c>
      <c r="W67" s="2"/>
      <c r="X67" s="6">
        <f t="shared" si="20"/>
        <v>-138.98000000000002</v>
      </c>
      <c r="Y67" s="2"/>
      <c r="Z67" s="7">
        <f t="shared" si="21"/>
        <v>-0.31413588897427785</v>
      </c>
    </row>
    <row r="68" spans="1:26" s="24" customFormat="1" hidden="1" outlineLevel="2" x14ac:dyDescent="0.25">
      <c r="A68" s="26"/>
      <c r="B68" s="11" t="str">
        <f>CONCATENATE("          ", "6115", " - ", "P.E.R.S.")</f>
        <v xml:space="preserve">          6115 - P.E.R.S.</v>
      </c>
      <c r="C68" s="11"/>
      <c r="D68" s="6">
        <v>1325.86</v>
      </c>
      <c r="E68" s="2"/>
      <c r="F68" s="7">
        <f t="shared" si="14"/>
        <v>9.0440963304786182E-2</v>
      </c>
      <c r="G68" s="2"/>
      <c r="H68" s="6">
        <v>1199.44</v>
      </c>
      <c r="I68" s="2"/>
      <c r="J68" s="7">
        <f t="shared" si="15"/>
        <v>8.7495440818172565E-2</v>
      </c>
      <c r="K68" s="2"/>
      <c r="L68" s="6">
        <f t="shared" si="16"/>
        <v>126.41999999999985</v>
      </c>
      <c r="M68" s="2"/>
      <c r="N68" s="7">
        <f t="shared" si="17"/>
        <v>0.10539918628693377</v>
      </c>
      <c r="O68" s="11"/>
      <c r="P68" s="6">
        <v>7106.54</v>
      </c>
      <c r="Q68" s="2"/>
      <c r="R68" s="7">
        <f t="shared" si="18"/>
        <v>2.4700740989209808E-3</v>
      </c>
      <c r="S68" s="2"/>
      <c r="T68" s="6">
        <v>7174.92</v>
      </c>
      <c r="U68" s="2"/>
      <c r="V68" s="7">
        <f t="shared" si="19"/>
        <v>2.111312645220572E-3</v>
      </c>
      <c r="W68" s="2"/>
      <c r="X68" s="6">
        <f t="shared" si="20"/>
        <v>-68.380000000000109</v>
      </c>
      <c r="Y68" s="2"/>
      <c r="Z68" s="7">
        <f t="shared" si="21"/>
        <v>-9.5304198513711802E-3</v>
      </c>
    </row>
    <row r="69" spans="1:26" s="24" customFormat="1" hidden="1" outlineLevel="2" x14ac:dyDescent="0.25">
      <c r="A69" s="26"/>
      <c r="B69" s="11" t="str">
        <f>CONCATENATE("          ", "6117", " - ", "RETIREMENT STAFF HOURLY")</f>
        <v xml:space="preserve">          6117 - RETIREMENT STAFF HOURLY</v>
      </c>
      <c r="C69" s="11"/>
      <c r="D69" s="6">
        <v>93.57</v>
      </c>
      <c r="E69" s="2"/>
      <c r="F69" s="7">
        <f t="shared" si="14"/>
        <v>6.3826957117861941E-3</v>
      </c>
      <c r="G69" s="2"/>
      <c r="H69" s="6">
        <v>255.23</v>
      </c>
      <c r="I69" s="2"/>
      <c r="J69" s="7">
        <f t="shared" si="15"/>
        <v>1.8618239645186236E-2</v>
      </c>
      <c r="K69" s="2"/>
      <c r="L69" s="6">
        <f t="shared" si="16"/>
        <v>-161.66</v>
      </c>
      <c r="M69" s="2"/>
      <c r="N69" s="7">
        <f t="shared" si="17"/>
        <v>-0.63338949183089766</v>
      </c>
      <c r="O69" s="11"/>
      <c r="P69" s="6">
        <v>646.20000000000005</v>
      </c>
      <c r="Q69" s="2"/>
      <c r="R69" s="7">
        <f t="shared" si="18"/>
        <v>2.2460464343024002E-4</v>
      </c>
      <c r="S69" s="2"/>
      <c r="T69" s="6">
        <v>1353.94</v>
      </c>
      <c r="U69" s="2"/>
      <c r="V69" s="7">
        <f t="shared" si="19"/>
        <v>3.984142879460595E-4</v>
      </c>
      <c r="W69" s="2"/>
      <c r="X69" s="6">
        <f t="shared" si="20"/>
        <v>-707.74</v>
      </c>
      <c r="Y69" s="2"/>
      <c r="Z69" s="7">
        <f t="shared" si="21"/>
        <v>-0.52272626556568236</v>
      </c>
    </row>
    <row r="70" spans="1:26" s="24" customFormat="1" hidden="1" outlineLevel="2" x14ac:dyDescent="0.25">
      <c r="A70" s="26"/>
      <c r="B70" s="11" t="str">
        <f>CONCATENATE("          ", "6118", " - ", "VACATION")</f>
        <v xml:space="preserve">          6118 - VACATION</v>
      </c>
      <c r="C70" s="11"/>
      <c r="D70" s="6">
        <v>204.7</v>
      </c>
      <c r="E70" s="2"/>
      <c r="F70" s="7">
        <f t="shared" si="14"/>
        <v>1.3963212698542631E-2</v>
      </c>
      <c r="G70" s="2"/>
      <c r="H70" s="6">
        <v>1323.9</v>
      </c>
      <c r="I70" s="2"/>
      <c r="J70" s="7">
        <f t="shared" si="15"/>
        <v>9.6574413142115192E-2</v>
      </c>
      <c r="K70" s="2"/>
      <c r="L70" s="6">
        <f t="shared" si="16"/>
        <v>-1119.2</v>
      </c>
      <c r="M70" s="2"/>
      <c r="N70" s="7">
        <f t="shared" si="17"/>
        <v>-0.84538107107787597</v>
      </c>
      <c r="O70" s="11"/>
      <c r="P70" s="6">
        <v>4841.92</v>
      </c>
      <c r="Q70" s="2"/>
      <c r="R70" s="7">
        <f t="shared" si="18"/>
        <v>1.6829429203307764E-3</v>
      </c>
      <c r="S70" s="2"/>
      <c r="T70" s="6">
        <v>8655.41</v>
      </c>
      <c r="U70" s="2"/>
      <c r="V70" s="7">
        <f t="shared" si="19"/>
        <v>2.5469659010230903E-3</v>
      </c>
      <c r="W70" s="2"/>
      <c r="X70" s="6">
        <f t="shared" si="20"/>
        <v>-3813.49</v>
      </c>
      <c r="Y70" s="2"/>
      <c r="Z70" s="7">
        <f t="shared" si="21"/>
        <v>-0.44059033598639463</v>
      </c>
    </row>
    <row r="71" spans="1:26" s="24" customFormat="1" hidden="1" outlineLevel="2" x14ac:dyDescent="0.25">
      <c r="A71" s="26"/>
      <c r="B71" s="11" t="str">
        <f>CONCATENATE("          ", "6119", " - ", "SICK LEAVE")</f>
        <v xml:space="preserve">          6119 - SICK LEAVE</v>
      </c>
      <c r="C71" s="11"/>
      <c r="D71" s="6">
        <v>801.74</v>
      </c>
      <c r="E71" s="2"/>
      <c r="F71" s="7">
        <f t="shared" si="14"/>
        <v>5.4689136047530867E-2</v>
      </c>
      <c r="G71" s="2"/>
      <c r="H71" s="6">
        <v>926.46</v>
      </c>
      <c r="I71" s="2"/>
      <c r="J71" s="7">
        <f t="shared" si="15"/>
        <v>6.7582393533985985E-2</v>
      </c>
      <c r="K71" s="2"/>
      <c r="L71" s="6">
        <f t="shared" si="16"/>
        <v>-124.72000000000003</v>
      </c>
      <c r="M71" s="2"/>
      <c r="N71" s="7">
        <f t="shared" si="17"/>
        <v>-0.13461995121214085</v>
      </c>
      <c r="O71" s="11"/>
      <c r="P71" s="6">
        <v>5318.37</v>
      </c>
      <c r="Q71" s="2"/>
      <c r="R71" s="7">
        <f t="shared" si="18"/>
        <v>1.8485462666048987E-3</v>
      </c>
      <c r="S71" s="2"/>
      <c r="T71" s="6">
        <v>7524.48</v>
      </c>
      <c r="U71" s="2"/>
      <c r="V71" s="7">
        <f t="shared" si="19"/>
        <v>2.2141751786374326E-3</v>
      </c>
      <c r="W71" s="2"/>
      <c r="X71" s="6">
        <f t="shared" si="20"/>
        <v>-2206.1099999999997</v>
      </c>
      <c r="Y71" s="2"/>
      <c r="Z71" s="7">
        <f t="shared" si="21"/>
        <v>-0.29319102449604489</v>
      </c>
    </row>
    <row r="72" spans="1:26" s="24" customFormat="1" hidden="1" outlineLevel="2" x14ac:dyDescent="0.25">
      <c r="A72" s="26"/>
      <c r="B72" s="11" t="str">
        <f>CONCATENATE("          ", "6156", " - ", "EMPLOYEE MEALS")</f>
        <v xml:space="preserve">          6156 - EMPLOYEE MEALS</v>
      </c>
      <c r="C72" s="11"/>
      <c r="D72" s="6">
        <v>566.07000000000005</v>
      </c>
      <c r="E72" s="2"/>
      <c r="F72" s="7">
        <f t="shared" si="14"/>
        <v>3.8613364984191635E-2</v>
      </c>
      <c r="G72" s="2"/>
      <c r="H72" s="6">
        <v>718.05</v>
      </c>
      <c r="I72" s="2"/>
      <c r="J72" s="7">
        <f t="shared" si="15"/>
        <v>5.2379528179391045E-2</v>
      </c>
      <c r="K72" s="2"/>
      <c r="L72" s="6">
        <f t="shared" si="16"/>
        <v>-151.9799999999999</v>
      </c>
      <c r="M72" s="2"/>
      <c r="N72" s="7">
        <f t="shared" si="17"/>
        <v>-0.21165656987674941</v>
      </c>
      <c r="O72" s="11"/>
      <c r="P72" s="6">
        <v>2944.8</v>
      </c>
      <c r="Q72" s="2"/>
      <c r="R72" s="7">
        <f t="shared" si="18"/>
        <v>1.0235465087795896E-3</v>
      </c>
      <c r="S72" s="2"/>
      <c r="T72" s="6">
        <v>3539.35</v>
      </c>
      <c r="U72" s="2"/>
      <c r="V72" s="7">
        <f t="shared" si="19"/>
        <v>1.0414993353042865E-3</v>
      </c>
      <c r="W72" s="2"/>
      <c r="X72" s="6">
        <f t="shared" si="20"/>
        <v>-594.54999999999973</v>
      </c>
      <c r="Y72" s="2"/>
      <c r="Z72" s="7">
        <f t="shared" si="21"/>
        <v>-0.1679828217045502</v>
      </c>
    </row>
    <row r="73" spans="1:26" s="25" customFormat="1" outlineLevel="1" collapsed="1" x14ac:dyDescent="0.25">
      <c r="A73" s="27"/>
      <c r="B73" s="13" t="str">
        <f>CONCATENATE("     ","*Payroll                                          ")</f>
        <v xml:space="preserve">     *Payroll                                          </v>
      </c>
      <c r="C73" s="13"/>
      <c r="D73" s="1">
        <f>SUM(OSRRefD22_1x_0)</f>
        <v>22494.690000000002</v>
      </c>
      <c r="E73" s="1"/>
      <c r="F73" s="5">
        <f t="shared" ref="F73:F78" si="22">IF(D$12=0,0,D73/D$12)</f>
        <v>1.5344315635455787</v>
      </c>
      <c r="G73" s="1"/>
      <c r="H73" s="1">
        <f>SUM(OSRRefH22_1x_0)</f>
        <v>26101.690000000002</v>
      </c>
      <c r="I73" s="1"/>
      <c r="J73" s="5">
        <f t="shared" ref="J73:J78" si="23">IF(H$12=0,0,H73/H$12)</f>
        <v>1.9040376114264046</v>
      </c>
      <c r="K73" s="1"/>
      <c r="L73" s="1">
        <f t="shared" ref="L73:L78" si="24">+D73-H73</f>
        <v>-3607</v>
      </c>
      <c r="M73" s="1"/>
      <c r="N73" s="5">
        <f t="shared" ref="N73:N78" si="25">IF(H73=0,0,L73/H73)</f>
        <v>-0.13819028576310574</v>
      </c>
      <c r="O73" s="13"/>
      <c r="P73" s="1">
        <f>SUM(OSRRefP22_1x_0)</f>
        <v>118955.95999999999</v>
      </c>
      <c r="Q73" s="1"/>
      <c r="R73" s="5">
        <f t="shared" ref="R73:R78" si="26">IF(P$12=0,0,P73/P$12)</f>
        <v>4.1346426771435921E-2</v>
      </c>
      <c r="S73" s="1"/>
      <c r="T73" s="1">
        <f>SUM(OSRRefT22_1x_0)</f>
        <v>142394.81</v>
      </c>
      <c r="U73" s="1"/>
      <c r="V73" s="5">
        <f t="shared" ref="V73:V78" si="27">IF(T$12=0,0,T73/T$12)</f>
        <v>4.1901507329249771E-2</v>
      </c>
      <c r="W73" s="1"/>
      <c r="X73" s="1">
        <f t="shared" ref="X73:X78" si="28">+P73-T73</f>
        <v>-23438.850000000006</v>
      </c>
      <c r="Y73" s="1"/>
      <c r="Z73" s="5">
        <f t="shared" ref="Z73:Z78" si="29">IF(T73=0,0,X73/T73)</f>
        <v>-0.16460466501552976</v>
      </c>
    </row>
    <row r="74" spans="1:26" s="24" customFormat="1" hidden="1" outlineLevel="2" x14ac:dyDescent="0.25">
      <c r="A74" s="26"/>
      <c r="B74" s="11" t="str">
        <f>CONCATENATE("          ", "6002", " - ", "STAFF SALARIES")</f>
        <v xml:space="preserve">          6002 - STAFF SALARIES</v>
      </c>
      <c r="C74" s="11"/>
      <c r="D74" s="6">
        <v>13756.3</v>
      </c>
      <c r="E74" s="2"/>
      <c r="F74" s="7">
        <f t="shared" si="22"/>
        <v>0.93835927134812891</v>
      </c>
      <c r="G74" s="2"/>
      <c r="H74" s="6">
        <v>13053.83</v>
      </c>
      <c r="I74" s="2"/>
      <c r="J74" s="7">
        <f t="shared" si="23"/>
        <v>0.95223655223728187</v>
      </c>
      <c r="K74" s="2"/>
      <c r="L74" s="6">
        <f t="shared" si="24"/>
        <v>702.46999999999935</v>
      </c>
      <c r="M74" s="2"/>
      <c r="N74" s="7">
        <f t="shared" si="25"/>
        <v>5.3813325284609907E-2</v>
      </c>
      <c r="O74" s="11"/>
      <c r="P74" s="6">
        <v>74645.83</v>
      </c>
      <c r="Q74" s="2"/>
      <c r="R74" s="7">
        <f t="shared" si="26"/>
        <v>2.5945218246215276E-2</v>
      </c>
      <c r="S74" s="2"/>
      <c r="T74" s="6">
        <v>67603.360000000001</v>
      </c>
      <c r="U74" s="2"/>
      <c r="V74" s="7">
        <f t="shared" si="27"/>
        <v>1.9893159620929378E-2</v>
      </c>
      <c r="W74" s="2"/>
      <c r="X74" s="6">
        <f t="shared" si="28"/>
        <v>7042.4700000000012</v>
      </c>
      <c r="Y74" s="2"/>
      <c r="Z74" s="7">
        <f t="shared" si="29"/>
        <v>0.10417337244776001</v>
      </c>
    </row>
    <row r="75" spans="1:26" s="24" customFormat="1" hidden="1" outlineLevel="2" x14ac:dyDescent="0.25">
      <c r="A75" s="26"/>
      <c r="B75" s="11" t="str">
        <f>CONCATENATE("          ", "6004", " - ", "STAFF HOURLY")</f>
        <v xml:space="preserve">          6004 - STAFF HOURLY</v>
      </c>
      <c r="C75" s="11"/>
      <c r="D75" s="6">
        <v>3123.86</v>
      </c>
      <c r="E75" s="2"/>
      <c r="F75" s="7">
        <f t="shared" si="22"/>
        <v>0.21308803918157979</v>
      </c>
      <c r="G75" s="2"/>
      <c r="H75" s="6">
        <v>6226.82</v>
      </c>
      <c r="I75" s="2"/>
      <c r="J75" s="7">
        <f t="shared" si="23"/>
        <v>0.45422727339042651</v>
      </c>
      <c r="K75" s="2"/>
      <c r="L75" s="6">
        <f t="shared" si="24"/>
        <v>-3102.9599999999996</v>
      </c>
      <c r="M75" s="2"/>
      <c r="N75" s="7">
        <f t="shared" si="25"/>
        <v>-0.49832177580209475</v>
      </c>
      <c r="O75" s="11"/>
      <c r="P75" s="6">
        <v>15313.030000000002</v>
      </c>
      <c r="Q75" s="2"/>
      <c r="R75" s="7">
        <f t="shared" si="26"/>
        <v>5.322466176085683E-3</v>
      </c>
      <c r="S75" s="2"/>
      <c r="T75" s="6">
        <v>31097.32</v>
      </c>
      <c r="U75" s="2"/>
      <c r="V75" s="7">
        <f t="shared" si="27"/>
        <v>9.150787039921086E-3</v>
      </c>
      <c r="W75" s="2"/>
      <c r="X75" s="6">
        <f t="shared" si="28"/>
        <v>-15784.289999999997</v>
      </c>
      <c r="Y75" s="2"/>
      <c r="Z75" s="7">
        <f t="shared" si="29"/>
        <v>-0.50757718028434595</v>
      </c>
    </row>
    <row r="76" spans="1:26" s="24" customFormat="1" hidden="1" outlineLevel="2" x14ac:dyDescent="0.25">
      <c r="A76" s="26"/>
      <c r="B76" s="11" t="str">
        <f>CONCATENATE("          ", "6005", " - ", "TEMPORARY WAGES-HOURLY")</f>
        <v xml:space="preserve">          6005 - TEMPORARY WAGES-HOURLY</v>
      </c>
      <c r="C76" s="11"/>
      <c r="D76" s="6">
        <v>2577.02</v>
      </c>
      <c r="E76" s="2"/>
      <c r="F76" s="7">
        <f t="shared" si="22"/>
        <v>0.17578641127698255</v>
      </c>
      <c r="G76" s="2"/>
      <c r="H76" s="6">
        <v>3128.22</v>
      </c>
      <c r="I76" s="2"/>
      <c r="J76" s="7">
        <f t="shared" si="23"/>
        <v>0.2281939804210496</v>
      </c>
      <c r="K76" s="2"/>
      <c r="L76" s="6">
        <f t="shared" si="24"/>
        <v>-551.19999999999982</v>
      </c>
      <c r="M76" s="2"/>
      <c r="N76" s="7">
        <f t="shared" si="25"/>
        <v>-0.17620244100478863</v>
      </c>
      <c r="O76" s="11"/>
      <c r="P76" s="6">
        <v>10271.120000000001</v>
      </c>
      <c r="Q76" s="2"/>
      <c r="R76" s="7">
        <f t="shared" si="26"/>
        <v>3.5700112120538637E-3</v>
      </c>
      <c r="S76" s="2"/>
      <c r="T76" s="6">
        <v>16855.53</v>
      </c>
      <c r="U76" s="2"/>
      <c r="V76" s="7">
        <f t="shared" si="27"/>
        <v>4.9599568539990284E-3</v>
      </c>
      <c r="W76" s="2"/>
      <c r="X76" s="6">
        <f t="shared" si="28"/>
        <v>-6584.409999999998</v>
      </c>
      <c r="Y76" s="2"/>
      <c r="Z76" s="7">
        <f t="shared" si="29"/>
        <v>-0.390637968666663</v>
      </c>
    </row>
    <row r="77" spans="1:26" s="24" customFormat="1" hidden="1" outlineLevel="2" x14ac:dyDescent="0.25">
      <c r="A77" s="26"/>
      <c r="B77" s="11" t="str">
        <f>CONCATENATE("          ", "6006", " - ", "TEMPORARY PART TIME")</f>
        <v xml:space="preserve">          6006 - TEMPORARY PART TIME</v>
      </c>
      <c r="C77" s="11"/>
      <c r="D77" s="6"/>
      <c r="E77" s="2"/>
      <c r="F77" s="7">
        <f t="shared" si="22"/>
        <v>0</v>
      </c>
      <c r="G77" s="2"/>
      <c r="H77" s="6">
        <v>470.25</v>
      </c>
      <c r="I77" s="2"/>
      <c r="J77" s="7">
        <f t="shared" si="23"/>
        <v>3.4303284069853966E-2</v>
      </c>
      <c r="K77" s="2"/>
      <c r="L77" s="6">
        <f t="shared" si="24"/>
        <v>-470.25</v>
      </c>
      <c r="M77" s="2"/>
      <c r="N77" s="7">
        <f t="shared" si="25"/>
        <v>-1</v>
      </c>
      <c r="O77" s="11"/>
      <c r="P77" s="6"/>
      <c r="Q77" s="2"/>
      <c r="R77" s="7">
        <f t="shared" si="26"/>
        <v>0</v>
      </c>
      <c r="S77" s="2"/>
      <c r="T77" s="6">
        <v>3834.31</v>
      </c>
      <c r="U77" s="2"/>
      <c r="V77" s="7">
        <f t="shared" si="27"/>
        <v>1.128295115303821E-3</v>
      </c>
      <c r="W77" s="2"/>
      <c r="X77" s="6">
        <f t="shared" si="28"/>
        <v>-3834.31</v>
      </c>
      <c r="Y77" s="2"/>
      <c r="Z77" s="7">
        <f t="shared" si="29"/>
        <v>-1</v>
      </c>
    </row>
    <row r="78" spans="1:26" s="24" customFormat="1" hidden="1" outlineLevel="2" x14ac:dyDescent="0.25">
      <c r="A78" s="26"/>
      <c r="B78" s="11" t="str">
        <f>CONCATENATE("          ", "6007", " - ", "STUDENT HOURLY")</f>
        <v xml:space="preserve">          6007 - STUDENT HOURLY</v>
      </c>
      <c r="C78" s="11"/>
      <c r="D78" s="6">
        <v>3037.51</v>
      </c>
      <c r="E78" s="2"/>
      <c r="F78" s="7">
        <f t="shared" si="22"/>
        <v>0.20719784173888731</v>
      </c>
      <c r="G78" s="2"/>
      <c r="H78" s="6">
        <v>3222.57</v>
      </c>
      <c r="I78" s="2"/>
      <c r="J78" s="7">
        <f t="shared" si="23"/>
        <v>0.23507652130779225</v>
      </c>
      <c r="K78" s="2"/>
      <c r="L78" s="6">
        <f t="shared" si="24"/>
        <v>-185.05999999999995</v>
      </c>
      <c r="M78" s="2"/>
      <c r="N78" s="7">
        <f t="shared" si="25"/>
        <v>-5.7426215722234095E-2</v>
      </c>
      <c r="O78" s="11"/>
      <c r="P78" s="6">
        <v>18725.98</v>
      </c>
      <c r="Q78" s="2"/>
      <c r="R78" s="7">
        <f t="shared" si="26"/>
        <v>6.5087311370810976E-3</v>
      </c>
      <c r="S78" s="2"/>
      <c r="T78" s="6">
        <v>23004.289999999997</v>
      </c>
      <c r="U78" s="2"/>
      <c r="V78" s="7">
        <f t="shared" si="27"/>
        <v>6.769308699096456E-3</v>
      </c>
      <c r="W78" s="2"/>
      <c r="X78" s="6">
        <f t="shared" si="28"/>
        <v>-4278.3099999999977</v>
      </c>
      <c r="Y78" s="2"/>
      <c r="Z78" s="7">
        <f t="shared" si="29"/>
        <v>-0.18597878917367144</v>
      </c>
    </row>
    <row r="79" spans="1:26" s="25" customFormat="1" outlineLevel="1" collapsed="1" x14ac:dyDescent="0.25">
      <c r="A79" s="27"/>
      <c r="B79" s="13" t="str">
        <f>CONCATENATE("     ","Advertising/Promo                                 ")</f>
        <v xml:space="preserve">     Advertising/Promo                                 </v>
      </c>
      <c r="C79" s="13"/>
      <c r="D79" s="1">
        <f>SUM(OSRRefD22_2x_0)</f>
        <v>72.069999999999993</v>
      </c>
      <c r="E79" s="1"/>
      <c r="F79" s="5">
        <f t="shared" ref="F79:F83" si="30">IF(D$12=0,0,D79/D$12)</f>
        <v>4.9161149935709201E-3</v>
      </c>
      <c r="G79" s="1"/>
      <c r="H79" s="1">
        <f>SUM(OSRRefH22_2x_0)</f>
        <v>263.55</v>
      </c>
      <c r="I79" s="1"/>
      <c r="J79" s="5">
        <f t="shared" ref="J79:J83" si="31">IF(H$12=0,0,H79/H$12)</f>
        <v>1.9225157930058509E-2</v>
      </c>
      <c r="K79" s="1"/>
      <c r="L79" s="1">
        <f t="shared" ref="L79:L83" si="32">+D79-H79</f>
        <v>-191.48000000000002</v>
      </c>
      <c r="M79" s="1"/>
      <c r="N79" s="5">
        <f t="shared" ref="N79:N83" si="33">IF(H79=0,0,L79/H79)</f>
        <v>-0.72654145323468033</v>
      </c>
      <c r="O79" s="13"/>
      <c r="P79" s="1">
        <f>SUM(OSRRefP22_2x_0)</f>
        <v>3208.09</v>
      </c>
      <c r="Q79" s="1"/>
      <c r="R79" s="5">
        <f t="shared" ref="R79:R83" si="34">IF(P$12=0,0,P79/P$12)</f>
        <v>1.1150602143951078E-3</v>
      </c>
      <c r="S79" s="1"/>
      <c r="T79" s="1">
        <f>SUM(OSRRefT22_2x_0)</f>
        <v>2244.89</v>
      </c>
      <c r="U79" s="1"/>
      <c r="V79" s="5">
        <f t="shared" ref="V79:V83" si="35">IF(T$12=0,0,T79/T$12)</f>
        <v>6.6058780364508724E-4</v>
      </c>
      <c r="W79" s="1"/>
      <c r="X79" s="1">
        <f t="shared" ref="X79:X83" si="36">+P79-T79</f>
        <v>963.20000000000027</v>
      </c>
      <c r="Y79" s="1"/>
      <c r="Z79" s="5">
        <f t="shared" ref="Z79:Z83" si="37">IF(T79=0,0,X79/T79)</f>
        <v>0.4290633394063853</v>
      </c>
    </row>
    <row r="80" spans="1:26" s="24" customFormat="1" hidden="1" outlineLevel="2" x14ac:dyDescent="0.25">
      <c r="A80" s="26"/>
      <c r="B80" s="11" t="str">
        <f>CONCATENATE("          ", "6362", " - ", "ADVERTISING EXPENSE")</f>
        <v xml:space="preserve">          6362 - ADVERTISING EXPENSE</v>
      </c>
      <c r="C80" s="11"/>
      <c r="D80" s="6">
        <v>72.069999999999993</v>
      </c>
      <c r="E80" s="2"/>
      <c r="F80" s="7">
        <f t="shared" si="30"/>
        <v>4.9161149935709201E-3</v>
      </c>
      <c r="G80" s="2"/>
      <c r="H80" s="6">
        <v>263.55</v>
      </c>
      <c r="I80" s="2"/>
      <c r="J80" s="7">
        <f t="shared" si="31"/>
        <v>1.9225157930058509E-2</v>
      </c>
      <c r="K80" s="2"/>
      <c r="L80" s="6">
        <f t="shared" si="32"/>
        <v>-191.48000000000002</v>
      </c>
      <c r="M80" s="2"/>
      <c r="N80" s="7">
        <f t="shared" si="33"/>
        <v>-0.72654145323468033</v>
      </c>
      <c r="O80" s="11"/>
      <c r="P80" s="6">
        <v>3208.09</v>
      </c>
      <c r="Q80" s="2"/>
      <c r="R80" s="7">
        <f t="shared" si="34"/>
        <v>1.1150602143951078E-3</v>
      </c>
      <c r="S80" s="2"/>
      <c r="T80" s="6">
        <v>2244.89</v>
      </c>
      <c r="U80" s="2"/>
      <c r="V80" s="7">
        <f t="shared" si="35"/>
        <v>6.6058780364508724E-4</v>
      </c>
      <c r="W80" s="2"/>
      <c r="X80" s="6">
        <f t="shared" si="36"/>
        <v>963.20000000000027</v>
      </c>
      <c r="Y80" s="2"/>
      <c r="Z80" s="7">
        <f t="shared" si="37"/>
        <v>0.4290633394063853</v>
      </c>
    </row>
    <row r="81" spans="1:26" s="25" customFormat="1" outlineLevel="1" collapsed="1" x14ac:dyDescent="0.25">
      <c r="A81" s="27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SUM(OSRRefD22_3x_0)</f>
        <v>242.82</v>
      </c>
      <c r="E81" s="1"/>
      <c r="F81" s="5">
        <f t="shared" si="30"/>
        <v>1.6563494418466641E-2</v>
      </c>
      <c r="G81" s="1"/>
      <c r="H81" s="1">
        <f>SUM(OSRRefH22_3x_0)</f>
        <v>-2341.2800000000002</v>
      </c>
      <c r="I81" s="1"/>
      <c r="J81" s="5">
        <f t="shared" si="31"/>
        <v>-0.17078913966415249</v>
      </c>
      <c r="K81" s="1"/>
      <c r="L81" s="1">
        <f t="shared" si="32"/>
        <v>2584.1000000000004</v>
      </c>
      <c r="M81" s="1"/>
      <c r="N81" s="5">
        <f t="shared" si="33"/>
        <v>-1.1037124991457665</v>
      </c>
      <c r="O81" s="13"/>
      <c r="P81" s="1">
        <f>SUM(OSRRefP22_3x_0)</f>
        <v>-2513.23</v>
      </c>
      <c r="Q81" s="1"/>
      <c r="R81" s="5">
        <f t="shared" si="34"/>
        <v>-8.7354244507610969E-4</v>
      </c>
      <c r="S81" s="1"/>
      <c r="T81" s="1">
        <f>SUM(OSRRefT22_3x_0)</f>
        <v>14701.780000000002</v>
      </c>
      <c r="U81" s="1"/>
      <c r="V81" s="5">
        <f t="shared" si="35"/>
        <v>4.3261881695197861E-3</v>
      </c>
      <c r="W81" s="1"/>
      <c r="X81" s="1">
        <f t="shared" si="36"/>
        <v>-17215.010000000002</v>
      </c>
      <c r="Y81" s="1"/>
      <c r="Z81" s="5">
        <f t="shared" si="37"/>
        <v>-1.1709473274664699</v>
      </c>
    </row>
    <row r="82" spans="1:26" s="24" customFormat="1" hidden="1" outlineLevel="2" x14ac:dyDescent="0.25">
      <c r="A82" s="26"/>
      <c r="B82" s="11" t="str">
        <f>CONCATENATE("          ", "6382", " - ", "DISCOUNTS/MARK DOWNS")</f>
        <v xml:space="preserve">          6382 - DISCOUNTS/MARK DOWNS</v>
      </c>
      <c r="C82" s="11"/>
      <c r="D82" s="6">
        <v>242.82</v>
      </c>
      <c r="E82" s="2"/>
      <c r="F82" s="7">
        <f t="shared" si="30"/>
        <v>1.6563494418466641E-2</v>
      </c>
      <c r="G82" s="2"/>
      <c r="H82" s="6">
        <v>-2341.2800000000002</v>
      </c>
      <c r="I82" s="2"/>
      <c r="J82" s="7">
        <f t="shared" si="31"/>
        <v>-0.17078913966415249</v>
      </c>
      <c r="K82" s="2"/>
      <c r="L82" s="6">
        <f t="shared" si="32"/>
        <v>2584.1000000000004</v>
      </c>
      <c r="M82" s="2"/>
      <c r="N82" s="7">
        <f t="shared" si="33"/>
        <v>-1.1037124991457665</v>
      </c>
      <c r="O82" s="11"/>
      <c r="P82" s="6">
        <v>-2079.6</v>
      </c>
      <c r="Q82" s="2"/>
      <c r="R82" s="7">
        <f t="shared" si="34"/>
        <v>-7.2282237152201652E-4</v>
      </c>
      <c r="S82" s="2"/>
      <c r="T82" s="6">
        <v>14779.350000000002</v>
      </c>
      <c r="U82" s="2"/>
      <c r="V82" s="7">
        <f t="shared" si="35"/>
        <v>4.3490141413619473E-3</v>
      </c>
      <c r="W82" s="2"/>
      <c r="X82" s="6">
        <f t="shared" si="36"/>
        <v>-16858.95</v>
      </c>
      <c r="Y82" s="2"/>
      <c r="Z82" s="7">
        <f t="shared" si="37"/>
        <v>-1.140709841772473</v>
      </c>
    </row>
    <row r="83" spans="1:26" s="24" customFormat="1" hidden="1" outlineLevel="2" x14ac:dyDescent="0.25">
      <c r="A83" s="26"/>
      <c r="B83" s="11" t="str">
        <f>CONCATENATE("          ", "9175", " - ", "EARNED DISCOUNTS")</f>
        <v xml:space="preserve">          9175 - EARNED DISCOUNTS</v>
      </c>
      <c r="C83" s="11"/>
      <c r="D83" s="6"/>
      <c r="E83" s="2"/>
      <c r="F83" s="7">
        <f t="shared" si="30"/>
        <v>0</v>
      </c>
      <c r="G83" s="2"/>
      <c r="H83" s="6"/>
      <c r="I83" s="2"/>
      <c r="J83" s="7">
        <f t="shared" si="31"/>
        <v>0</v>
      </c>
      <c r="K83" s="2"/>
      <c r="L83" s="6">
        <f t="shared" si="32"/>
        <v>0</v>
      </c>
      <c r="M83" s="2"/>
      <c r="N83" s="7">
        <f t="shared" si="33"/>
        <v>0</v>
      </c>
      <c r="O83" s="11"/>
      <c r="P83" s="6">
        <v>-433.63</v>
      </c>
      <c r="Q83" s="2"/>
      <c r="R83" s="7">
        <f t="shared" si="34"/>
        <v>-1.5072007355409312E-4</v>
      </c>
      <c r="S83" s="2"/>
      <c r="T83" s="6">
        <v>-77.569999999999993</v>
      </c>
      <c r="U83" s="2"/>
      <c r="V83" s="7">
        <f t="shared" si="35"/>
        <v>-2.2825971842161273E-5</v>
      </c>
      <c r="W83" s="2"/>
      <c r="X83" s="6">
        <f t="shared" si="36"/>
        <v>-356.06</v>
      </c>
      <c r="Y83" s="2"/>
      <c r="Z83" s="7">
        <f t="shared" si="37"/>
        <v>4.5901766146706207</v>
      </c>
    </row>
    <row r="84" spans="1:26" s="25" customFormat="1" outlineLevel="1" collapsed="1" x14ac:dyDescent="0.25">
      <c r="A84" s="27"/>
      <c r="B84" s="13" t="str">
        <f>CONCATENATE("     ","Employees' Appreciation                           ")</f>
        <v xml:space="preserve">     Employees' Appreciation                           </v>
      </c>
      <c r="C84" s="13"/>
      <c r="D84" s="1">
        <f>SUM(OSRRefD22_4x_0)</f>
        <v>37.880000000000003</v>
      </c>
      <c r="E84" s="1"/>
      <c r="F84" s="5">
        <f t="shared" ref="F84:F90" si="38">IF(D$12=0,0,D84/D$12)</f>
        <v>2.583910586325329E-3</v>
      </c>
      <c r="G84" s="1"/>
      <c r="H84" s="1">
        <f>SUM(OSRRefH22_4x_0)</f>
        <v>73.61</v>
      </c>
      <c r="I84" s="1"/>
      <c r="J84" s="5">
        <f t="shared" ref="J84:J90" si="39">IF(H$12=0,0,H84/H$12)</f>
        <v>5.3696219891163225E-3</v>
      </c>
      <c r="K84" s="1"/>
      <c r="L84" s="1">
        <f t="shared" ref="L84:L90" si="40">+D84-H84</f>
        <v>-35.729999999999997</v>
      </c>
      <c r="M84" s="1"/>
      <c r="N84" s="5">
        <f t="shared" ref="N84:N90" si="41">IF(H84=0,0,L84/H84)</f>
        <v>-0.4853960059774487</v>
      </c>
      <c r="O84" s="13"/>
      <c r="P84" s="1">
        <f>SUM(OSRRefP22_4x_0)</f>
        <v>37.880000000000003</v>
      </c>
      <c r="Q84" s="1"/>
      <c r="R84" s="5">
        <f t="shared" ref="R84:R90" si="42">IF(P$12=0,0,P84/P$12)</f>
        <v>1.3166239388946907E-5</v>
      </c>
      <c r="S84" s="1"/>
      <c r="T84" s="1">
        <f>SUM(OSRRefT22_4x_0)</f>
        <v>372.67</v>
      </c>
      <c r="U84" s="1"/>
      <c r="V84" s="5">
        <f t="shared" ref="V84:V90" si="43">IF(T$12=0,0,T84/T$12)</f>
        <v>1.0966294864532993E-4</v>
      </c>
      <c r="W84" s="1"/>
      <c r="X84" s="1">
        <f t="shared" ref="X84:X90" si="44">+P84-T84</f>
        <v>-334.79</v>
      </c>
      <c r="Y84" s="1"/>
      <c r="Z84" s="5">
        <f t="shared" ref="Z84:Z90" si="45">IF(T84=0,0,X84/T84)</f>
        <v>-0.89835511310274507</v>
      </c>
    </row>
    <row r="85" spans="1:26" s="24" customFormat="1" hidden="1" outlineLevel="2" x14ac:dyDescent="0.25">
      <c r="A85" s="26"/>
      <c r="B85" s="11" t="str">
        <f>CONCATENATE("          ", "6277", " - ", "EMPLOYEE APPRECIATION")</f>
        <v xml:space="preserve">          6277 - EMPLOYEE APPRECIATION</v>
      </c>
      <c r="C85" s="11"/>
      <c r="D85" s="6">
        <v>37.880000000000003</v>
      </c>
      <c r="E85" s="2"/>
      <c r="F85" s="7">
        <f t="shared" si="38"/>
        <v>2.583910586325329E-3</v>
      </c>
      <c r="G85" s="2"/>
      <c r="H85" s="6">
        <v>73.61</v>
      </c>
      <c r="I85" s="2"/>
      <c r="J85" s="7">
        <f t="shared" si="39"/>
        <v>5.3696219891163225E-3</v>
      </c>
      <c r="K85" s="2"/>
      <c r="L85" s="6">
        <f t="shared" si="40"/>
        <v>-35.729999999999997</v>
      </c>
      <c r="M85" s="2"/>
      <c r="N85" s="7">
        <f t="shared" si="41"/>
        <v>-0.4853960059774487</v>
      </c>
      <c r="O85" s="11"/>
      <c r="P85" s="6">
        <v>37.880000000000003</v>
      </c>
      <c r="Q85" s="2"/>
      <c r="R85" s="7">
        <f t="shared" si="42"/>
        <v>1.3166239388946907E-5</v>
      </c>
      <c r="S85" s="2"/>
      <c r="T85" s="6">
        <v>372.67</v>
      </c>
      <c r="U85" s="2"/>
      <c r="V85" s="7">
        <f t="shared" si="43"/>
        <v>1.0966294864532993E-4</v>
      </c>
      <c r="W85" s="2"/>
      <c r="X85" s="6">
        <f t="shared" si="44"/>
        <v>-334.79</v>
      </c>
      <c r="Y85" s="2"/>
      <c r="Z85" s="7">
        <f t="shared" si="45"/>
        <v>-0.89835511310274507</v>
      </c>
    </row>
    <row r="86" spans="1:26" s="25" customFormat="1" outlineLevel="1" collapsed="1" x14ac:dyDescent="0.25">
      <c r="A86" s="27"/>
      <c r="B86" s="13" t="str">
        <f>CONCATENATE("     ","Equipment Rental                                  ")</f>
        <v xml:space="preserve">     Equipment Rental                                  </v>
      </c>
      <c r="C86" s="13"/>
      <c r="D86" s="1">
        <f>SUM(OSRRefD22_5x_0)</f>
        <v>91.26</v>
      </c>
      <c r="E86" s="1"/>
      <c r="F86" s="5">
        <f t="shared" si="38"/>
        <v>6.2251235508988794E-3</v>
      </c>
      <c r="G86" s="1"/>
      <c r="H86" s="1">
        <f>SUM(OSRRefH22_5x_0)</f>
        <v>91.26</v>
      </c>
      <c r="I86" s="1"/>
      <c r="J86" s="5">
        <f t="shared" si="39"/>
        <v>6.6571349371927135E-3</v>
      </c>
      <c r="K86" s="1"/>
      <c r="L86" s="1">
        <f t="shared" si="40"/>
        <v>0</v>
      </c>
      <c r="M86" s="1"/>
      <c r="N86" s="5">
        <f t="shared" si="41"/>
        <v>0</v>
      </c>
      <c r="O86" s="13"/>
      <c r="P86" s="1">
        <f>SUM(OSRRefP22_5x_0)</f>
        <v>547.55999999999995</v>
      </c>
      <c r="Q86" s="1"/>
      <c r="R86" s="5">
        <f t="shared" si="42"/>
        <v>1.9031958922417549E-4</v>
      </c>
      <c r="S86" s="1"/>
      <c r="T86" s="1">
        <f>SUM(OSRRefT22_5x_0)</f>
        <v>456.3</v>
      </c>
      <c r="U86" s="1"/>
      <c r="V86" s="5">
        <f t="shared" si="43"/>
        <v>1.3427215355908456E-4</v>
      </c>
      <c r="W86" s="1"/>
      <c r="X86" s="1">
        <f t="shared" si="44"/>
        <v>91.259999999999934</v>
      </c>
      <c r="Y86" s="1"/>
      <c r="Z86" s="5">
        <f t="shared" si="45"/>
        <v>0.19999999999999984</v>
      </c>
    </row>
    <row r="87" spans="1:26" s="24" customFormat="1" hidden="1" outlineLevel="2" x14ac:dyDescent="0.25">
      <c r="A87" s="26"/>
      <c r="B87" s="11" t="str">
        <f>CONCATENATE("          ", "6351", " - ", "EQUIPMENT RENTAL")</f>
        <v xml:space="preserve">          6351 - EQUIPMENT RENTAL</v>
      </c>
      <c r="C87" s="11"/>
      <c r="D87" s="6">
        <v>91.26</v>
      </c>
      <c r="E87" s="2"/>
      <c r="F87" s="7">
        <f t="shared" si="38"/>
        <v>6.2251235508988794E-3</v>
      </c>
      <c r="G87" s="2"/>
      <c r="H87" s="6">
        <v>91.26</v>
      </c>
      <c r="I87" s="2"/>
      <c r="J87" s="7">
        <f t="shared" si="39"/>
        <v>6.6571349371927135E-3</v>
      </c>
      <c r="K87" s="2"/>
      <c r="L87" s="6">
        <f t="shared" si="40"/>
        <v>0</v>
      </c>
      <c r="M87" s="2"/>
      <c r="N87" s="7">
        <f t="shared" si="41"/>
        <v>0</v>
      </c>
      <c r="O87" s="11"/>
      <c r="P87" s="6">
        <v>547.55999999999995</v>
      </c>
      <c r="Q87" s="2"/>
      <c r="R87" s="7">
        <f t="shared" si="42"/>
        <v>1.9031958922417549E-4</v>
      </c>
      <c r="S87" s="2"/>
      <c r="T87" s="6">
        <v>456.3</v>
      </c>
      <c r="U87" s="2"/>
      <c r="V87" s="7">
        <f t="shared" si="43"/>
        <v>1.3427215355908456E-4</v>
      </c>
      <c r="W87" s="2"/>
      <c r="X87" s="6">
        <f t="shared" si="44"/>
        <v>91.259999999999934</v>
      </c>
      <c r="Y87" s="2"/>
      <c r="Z87" s="7">
        <f t="shared" si="45"/>
        <v>0.19999999999999984</v>
      </c>
    </row>
    <row r="88" spans="1:26" s="25" customFormat="1" outlineLevel="1" collapsed="1" x14ac:dyDescent="0.25">
      <c r="A88" s="27"/>
      <c r="B88" s="13" t="str">
        <f>CONCATENATE("     ","Freight out/Postage                               ")</f>
        <v xml:space="preserve">     Freight out/Postage                               </v>
      </c>
      <c r="C88" s="13"/>
      <c r="D88" s="1">
        <f>SUM(OSRRefD22_6x_0)</f>
        <v>5255.62</v>
      </c>
      <c r="E88" s="1"/>
      <c r="F88" s="5">
        <f t="shared" si="38"/>
        <v>0.35850190484960731</v>
      </c>
      <c r="G88" s="1"/>
      <c r="H88" s="1">
        <f>SUM(OSRRefH22_6x_0)</f>
        <v>3796.18</v>
      </c>
      <c r="I88" s="1"/>
      <c r="J88" s="5">
        <f t="shared" si="39"/>
        <v>0.27691959791663634</v>
      </c>
      <c r="K88" s="1"/>
      <c r="L88" s="1">
        <f t="shared" si="40"/>
        <v>1459.44</v>
      </c>
      <c r="M88" s="1"/>
      <c r="N88" s="5">
        <f t="shared" si="41"/>
        <v>0.3844496309447919</v>
      </c>
      <c r="O88" s="13"/>
      <c r="P88" s="1">
        <f>SUM(OSRRefP22_6x_0)</f>
        <v>9370.7900000000009</v>
      </c>
      <c r="Q88" s="1"/>
      <c r="R88" s="5">
        <f t="shared" si="42"/>
        <v>3.2570766738001531E-3</v>
      </c>
      <c r="S88" s="1"/>
      <c r="T88" s="1">
        <f>SUM(OSRRefT22_6x_0)</f>
        <v>12527.66</v>
      </c>
      <c r="U88" s="1"/>
      <c r="V88" s="5">
        <f t="shared" si="43"/>
        <v>3.6864253501117713E-3</v>
      </c>
      <c r="W88" s="1"/>
      <c r="X88" s="1">
        <f t="shared" si="44"/>
        <v>-3156.869999999999</v>
      </c>
      <c r="Y88" s="1"/>
      <c r="Z88" s="5">
        <f t="shared" si="45"/>
        <v>-0.25199199211983714</v>
      </c>
    </row>
    <row r="89" spans="1:26" s="24" customFormat="1" hidden="1" outlineLevel="2" x14ac:dyDescent="0.25">
      <c r="A89" s="26"/>
      <c r="B89" s="11" t="str">
        <f>CONCATENATE("          ", "6305", " - ", "FREIGHT OUT")</f>
        <v xml:space="preserve">          6305 - FREIGHT OUT</v>
      </c>
      <c r="C89" s="11"/>
      <c r="D89" s="6">
        <v>5255.62</v>
      </c>
      <c r="E89" s="2"/>
      <c r="F89" s="7">
        <f t="shared" si="38"/>
        <v>0.35850190484960731</v>
      </c>
      <c r="G89" s="2"/>
      <c r="H89" s="6">
        <v>3796.18</v>
      </c>
      <c r="I89" s="2"/>
      <c r="J89" s="7">
        <f t="shared" si="39"/>
        <v>0.27691959791663634</v>
      </c>
      <c r="K89" s="2"/>
      <c r="L89" s="6">
        <f t="shared" si="40"/>
        <v>1459.44</v>
      </c>
      <c r="M89" s="2"/>
      <c r="N89" s="7">
        <f t="shared" si="41"/>
        <v>0.3844496309447919</v>
      </c>
      <c r="O89" s="11"/>
      <c r="P89" s="6">
        <v>9370.2900000000009</v>
      </c>
      <c r="Q89" s="2"/>
      <c r="R89" s="7">
        <f t="shared" si="42"/>
        <v>3.2569028850014605E-3</v>
      </c>
      <c r="S89" s="2"/>
      <c r="T89" s="6">
        <v>12526.72</v>
      </c>
      <c r="U89" s="2"/>
      <c r="V89" s="7">
        <f t="shared" si="43"/>
        <v>3.6861487430016561E-3</v>
      </c>
      <c r="W89" s="2"/>
      <c r="X89" s="6">
        <f t="shared" si="44"/>
        <v>-3156.4299999999985</v>
      </c>
      <c r="Y89" s="2"/>
      <c r="Z89" s="7">
        <f t="shared" si="45"/>
        <v>-0.25197577657998255</v>
      </c>
    </row>
    <row r="90" spans="1:26" s="24" customFormat="1" hidden="1" outlineLevel="2" x14ac:dyDescent="0.25">
      <c r="A90" s="26"/>
      <c r="B90" s="11" t="str">
        <f>CONCATENATE("          ", "6307", " - ", "POSTAGE")</f>
        <v xml:space="preserve">          6307 - POSTAGE</v>
      </c>
      <c r="C90" s="11"/>
      <c r="D90" s="6"/>
      <c r="E90" s="2"/>
      <c r="F90" s="7">
        <f t="shared" si="38"/>
        <v>0</v>
      </c>
      <c r="G90" s="2"/>
      <c r="H90" s="6"/>
      <c r="I90" s="2"/>
      <c r="J90" s="7">
        <f t="shared" si="39"/>
        <v>0</v>
      </c>
      <c r="K90" s="2"/>
      <c r="L90" s="6">
        <f t="shared" si="40"/>
        <v>0</v>
      </c>
      <c r="M90" s="2"/>
      <c r="N90" s="7">
        <f t="shared" si="41"/>
        <v>0</v>
      </c>
      <c r="O90" s="11"/>
      <c r="P90" s="6">
        <v>0.5</v>
      </c>
      <c r="Q90" s="2"/>
      <c r="R90" s="7">
        <f t="shared" si="42"/>
        <v>1.73788798692541E-7</v>
      </c>
      <c r="S90" s="2"/>
      <c r="T90" s="6">
        <v>0.94</v>
      </c>
      <c r="U90" s="2"/>
      <c r="V90" s="7">
        <f t="shared" si="43"/>
        <v>2.7660711011514241E-7</v>
      </c>
      <c r="W90" s="2"/>
      <c r="X90" s="6">
        <f t="shared" si="44"/>
        <v>-0.43999999999999995</v>
      </c>
      <c r="Y90" s="2"/>
      <c r="Z90" s="7">
        <f t="shared" si="45"/>
        <v>-0.46808510638297868</v>
      </c>
    </row>
    <row r="91" spans="1:26" s="25" customFormat="1" outlineLevel="1" collapsed="1" x14ac:dyDescent="0.25">
      <c r="A91" s="27"/>
      <c r="B91" s="13" t="str">
        <f>CONCATENATE("     ","General                                           ")</f>
        <v xml:space="preserve">     General                                           </v>
      </c>
      <c r="C91" s="13"/>
      <c r="D91" s="1">
        <f>SUM(OSRRefD22_7x_0)</f>
        <v>9645.06</v>
      </c>
      <c r="E91" s="1"/>
      <c r="F91" s="5">
        <f t="shared" ref="F91:F97" si="46">IF(D$12=0,0,D91/D$12)</f>
        <v>0.65791902428043758</v>
      </c>
      <c r="G91" s="1"/>
      <c r="H91" s="1">
        <f>SUM(OSRRefH22_7x_0)</f>
        <v>12777.05</v>
      </c>
      <c r="I91" s="1"/>
      <c r="J91" s="5">
        <f t="shared" ref="J91:J97" si="47">IF(H$12=0,0,H91/H$12)</f>
        <v>0.93204630669798538</v>
      </c>
      <c r="K91" s="1"/>
      <c r="L91" s="1">
        <f t="shared" ref="L91:L97" si="48">+D91-H91</f>
        <v>-3131.99</v>
      </c>
      <c r="M91" s="1"/>
      <c r="N91" s="5">
        <f t="shared" ref="N91:N97" si="49">IF(H91=0,0,L91/H91)</f>
        <v>-0.24512622240658055</v>
      </c>
      <c r="O91" s="13"/>
      <c r="P91" s="1">
        <f>SUM(OSRRefP22_7x_0)</f>
        <v>8152.9</v>
      </c>
      <c r="Q91" s="1"/>
      <c r="R91" s="5">
        <f t="shared" ref="R91:R97" si="50">IF(P$12=0,0,P91/P$12)</f>
        <v>2.8337653937208348E-3</v>
      </c>
      <c r="S91" s="1"/>
      <c r="T91" s="1">
        <f>SUM(OSRRefT22_7x_0)</f>
        <v>12128.63</v>
      </c>
      <c r="U91" s="1"/>
      <c r="V91" s="5">
        <f t="shared" ref="V91:V97" si="51">IF(T$12=0,0,T91/T$12)</f>
        <v>3.5690056318678932E-3</v>
      </c>
      <c r="W91" s="1"/>
      <c r="X91" s="1">
        <f t="shared" ref="X91:X97" si="52">+P91-T91</f>
        <v>-3975.7299999999996</v>
      </c>
      <c r="Y91" s="1"/>
      <c r="Z91" s="5">
        <f t="shared" ref="Z91:Z97" si="53">IF(T91=0,0,X91/T91)</f>
        <v>-0.32779712135665773</v>
      </c>
    </row>
    <row r="92" spans="1:26" s="24" customFormat="1" hidden="1" outlineLevel="2" x14ac:dyDescent="0.25">
      <c r="A92" s="26"/>
      <c r="B92" s="11" t="str">
        <f>CONCATENATE("          ", "6279", " - ", "GENERAL EXPENSE")</f>
        <v xml:space="preserve">          6279 - GENERAL EXPENSE</v>
      </c>
      <c r="C92" s="11"/>
      <c r="D92" s="6">
        <v>9645.06</v>
      </c>
      <c r="E92" s="2"/>
      <c r="F92" s="7">
        <f t="shared" si="46"/>
        <v>0.65791902428043758</v>
      </c>
      <c r="G92" s="2"/>
      <c r="H92" s="6">
        <v>12777.05</v>
      </c>
      <c r="I92" s="2"/>
      <c r="J92" s="7">
        <f t="shared" si="47"/>
        <v>0.93204630669798538</v>
      </c>
      <c r="K92" s="2"/>
      <c r="L92" s="6">
        <f t="shared" si="48"/>
        <v>-3131.99</v>
      </c>
      <c r="M92" s="2"/>
      <c r="N92" s="7">
        <f t="shared" si="49"/>
        <v>-0.24512622240658055</v>
      </c>
      <c r="O92" s="11"/>
      <c r="P92" s="6">
        <v>8152.9</v>
      </c>
      <c r="Q92" s="2"/>
      <c r="R92" s="7">
        <f t="shared" si="50"/>
        <v>2.8337653937208348E-3</v>
      </c>
      <c r="S92" s="2"/>
      <c r="T92" s="6">
        <v>12128.63</v>
      </c>
      <c r="U92" s="2"/>
      <c r="V92" s="7">
        <f t="shared" si="51"/>
        <v>3.5690056318678932E-3</v>
      </c>
      <c r="W92" s="2"/>
      <c r="X92" s="6">
        <f t="shared" si="52"/>
        <v>-3975.7299999999996</v>
      </c>
      <c r="Y92" s="2"/>
      <c r="Z92" s="7">
        <f t="shared" si="53"/>
        <v>-0.32779712135665773</v>
      </c>
    </row>
    <row r="93" spans="1:26" s="25" customFormat="1" outlineLevel="1" collapsed="1" x14ac:dyDescent="0.25">
      <c r="A93" s="27"/>
      <c r="B93" s="13" t="str">
        <f>CONCATENATE("     ","Inventory Adjustment                              ")</f>
        <v xml:space="preserve">     Inventory Adjustment                              </v>
      </c>
      <c r="C93" s="13"/>
      <c r="D93" s="1">
        <f>SUM(OSRRefD22_8x_0)</f>
        <v>1000</v>
      </c>
      <c r="E93" s="1"/>
      <c r="F93" s="5">
        <f t="shared" si="46"/>
        <v>6.8213056661175525E-2</v>
      </c>
      <c r="G93" s="1"/>
      <c r="H93" s="1">
        <f>SUM(OSRRefH22_8x_0)</f>
        <v>6950</v>
      </c>
      <c r="I93" s="1"/>
      <c r="J93" s="5">
        <f t="shared" si="47"/>
        <v>0.50698101921421601</v>
      </c>
      <c r="K93" s="1"/>
      <c r="L93" s="1">
        <f t="shared" si="48"/>
        <v>-5950</v>
      </c>
      <c r="M93" s="1"/>
      <c r="N93" s="5">
        <f t="shared" si="49"/>
        <v>-0.85611510791366907</v>
      </c>
      <c r="O93" s="13"/>
      <c r="P93" s="1">
        <f>SUM(OSRRefP22_8x_0)</f>
        <v>5000</v>
      </c>
      <c r="Q93" s="1"/>
      <c r="R93" s="5">
        <f t="shared" si="50"/>
        <v>1.7378879869254101E-3</v>
      </c>
      <c r="S93" s="1"/>
      <c r="T93" s="1">
        <f>SUM(OSRRefT22_8x_0)</f>
        <v>34750</v>
      </c>
      <c r="U93" s="1"/>
      <c r="V93" s="5">
        <f t="shared" si="51"/>
        <v>1.0225635187767233E-2</v>
      </c>
      <c r="W93" s="1"/>
      <c r="X93" s="1">
        <f t="shared" si="52"/>
        <v>-29750</v>
      </c>
      <c r="Y93" s="1"/>
      <c r="Z93" s="5">
        <f t="shared" si="53"/>
        <v>-0.85611510791366907</v>
      </c>
    </row>
    <row r="94" spans="1:26" s="24" customFormat="1" hidden="1" outlineLevel="2" x14ac:dyDescent="0.25">
      <c r="A94" s="26"/>
      <c r="B94" s="11" t="str">
        <f>CONCATENATE("          ", "6408", " - ", "INVENTORY ADJUSTMENT")</f>
        <v xml:space="preserve">          6408 - INVENTORY ADJUSTMENT</v>
      </c>
      <c r="C94" s="11"/>
      <c r="D94" s="6">
        <v>1000</v>
      </c>
      <c r="E94" s="2"/>
      <c r="F94" s="7">
        <f t="shared" si="46"/>
        <v>6.8213056661175525E-2</v>
      </c>
      <c r="G94" s="2"/>
      <c r="H94" s="6">
        <v>6950</v>
      </c>
      <c r="I94" s="2"/>
      <c r="J94" s="7">
        <f t="shared" si="47"/>
        <v>0.50698101921421601</v>
      </c>
      <c r="K94" s="2"/>
      <c r="L94" s="6">
        <f t="shared" si="48"/>
        <v>-5950</v>
      </c>
      <c r="M94" s="2"/>
      <c r="N94" s="7">
        <f t="shared" si="49"/>
        <v>-0.85611510791366907</v>
      </c>
      <c r="O94" s="11"/>
      <c r="P94" s="6">
        <v>5000</v>
      </c>
      <c r="Q94" s="2"/>
      <c r="R94" s="7">
        <f t="shared" si="50"/>
        <v>1.7378879869254101E-3</v>
      </c>
      <c r="S94" s="2"/>
      <c r="T94" s="6">
        <v>34750</v>
      </c>
      <c r="U94" s="2"/>
      <c r="V94" s="7">
        <f t="shared" si="51"/>
        <v>1.0225635187767233E-2</v>
      </c>
      <c r="W94" s="2"/>
      <c r="X94" s="6">
        <f t="shared" si="52"/>
        <v>-29750</v>
      </c>
      <c r="Y94" s="2"/>
      <c r="Z94" s="7">
        <f t="shared" si="53"/>
        <v>-0.85611510791366907</v>
      </c>
    </row>
    <row r="95" spans="1:26" s="25" customFormat="1" outlineLevel="1" collapsed="1" x14ac:dyDescent="0.25">
      <c r="A95" s="27"/>
      <c r="B95" s="13" t="str">
        <f>CONCATENATE("     ","Repair and Maintenance                            ")</f>
        <v xml:space="preserve">     Repair and Maintenance                            </v>
      </c>
      <c r="C95" s="13"/>
      <c r="D95" s="1">
        <f>SUM(OSRRefD22_9x_0)</f>
        <v>21.62</v>
      </c>
      <c r="E95" s="1"/>
      <c r="F95" s="5">
        <f t="shared" si="46"/>
        <v>1.474766285014615E-3</v>
      </c>
      <c r="G95" s="1"/>
      <c r="H95" s="1">
        <f>SUM(OSRRefH22_9x_0)</f>
        <v>105.78999999999999</v>
      </c>
      <c r="I95" s="1"/>
      <c r="J95" s="5">
        <f t="shared" si="47"/>
        <v>7.7170535284420009E-3</v>
      </c>
      <c r="K95" s="1"/>
      <c r="L95" s="1">
        <f t="shared" si="48"/>
        <v>-84.169999999999987</v>
      </c>
      <c r="M95" s="1"/>
      <c r="N95" s="5">
        <f t="shared" si="49"/>
        <v>-0.79563285754797231</v>
      </c>
      <c r="O95" s="13"/>
      <c r="P95" s="1">
        <f>SUM(OSRRefP22_9x_0)</f>
        <v>119.56</v>
      </c>
      <c r="Q95" s="1"/>
      <c r="R95" s="5">
        <f t="shared" si="50"/>
        <v>4.1556377543360405E-5</v>
      </c>
      <c r="S95" s="1"/>
      <c r="T95" s="1">
        <f>SUM(OSRRefT22_9x_0)</f>
        <v>464.18</v>
      </c>
      <c r="U95" s="1"/>
      <c r="V95" s="5">
        <f t="shared" si="51"/>
        <v>1.3659094507792214E-4</v>
      </c>
      <c r="W95" s="1"/>
      <c r="X95" s="1">
        <f t="shared" si="52"/>
        <v>-344.62</v>
      </c>
      <c r="Y95" s="1"/>
      <c r="Z95" s="5">
        <f t="shared" si="53"/>
        <v>-0.74242750657072687</v>
      </c>
    </row>
    <row r="96" spans="1:26" s="24" customFormat="1" hidden="1" outlineLevel="2" x14ac:dyDescent="0.25">
      <c r="A96" s="26"/>
      <c r="B96" s="11" t="str">
        <f>CONCATENATE("          ", "6373", " - ", "MAINTENANCE CONTRACTS")</f>
        <v xml:space="preserve">          6373 - MAINTENANCE CONTRACTS</v>
      </c>
      <c r="C96" s="11"/>
      <c r="D96" s="6">
        <v>21.62</v>
      </c>
      <c r="E96" s="2"/>
      <c r="F96" s="7">
        <f t="shared" si="46"/>
        <v>1.474766285014615E-3</v>
      </c>
      <c r="G96" s="2"/>
      <c r="H96" s="6">
        <v>27.79</v>
      </c>
      <c r="I96" s="2"/>
      <c r="J96" s="7">
        <f t="shared" si="47"/>
        <v>2.0271946077644694E-3</v>
      </c>
      <c r="K96" s="2"/>
      <c r="L96" s="6">
        <f t="shared" si="48"/>
        <v>-6.1699999999999982</v>
      </c>
      <c r="M96" s="2"/>
      <c r="N96" s="7">
        <f t="shared" si="49"/>
        <v>-0.2220223101835192</v>
      </c>
      <c r="O96" s="11"/>
      <c r="P96" s="6">
        <v>119.56</v>
      </c>
      <c r="Q96" s="2"/>
      <c r="R96" s="7">
        <f t="shared" si="50"/>
        <v>4.1556377543360405E-5</v>
      </c>
      <c r="S96" s="2"/>
      <c r="T96" s="6">
        <v>152.18</v>
      </c>
      <c r="U96" s="2"/>
      <c r="V96" s="7">
        <f t="shared" si="51"/>
        <v>4.4780925550342952E-5</v>
      </c>
      <c r="W96" s="2"/>
      <c r="X96" s="6">
        <f t="shared" si="52"/>
        <v>-32.620000000000005</v>
      </c>
      <c r="Y96" s="2"/>
      <c r="Z96" s="7">
        <f t="shared" si="53"/>
        <v>-0.2143514259429623</v>
      </c>
    </row>
    <row r="97" spans="1:26" s="24" customFormat="1" hidden="1" outlineLevel="2" x14ac:dyDescent="0.25">
      <c r="A97" s="26"/>
      <c r="B97" s="11" t="str">
        <f>CONCATENATE("          ", "6375", " - ", "OUTSIDE REPAIRS &amp; MAINTENANCE")</f>
        <v xml:space="preserve">          6375 - OUTSIDE REPAIRS &amp; MAINTENANCE</v>
      </c>
      <c r="C97" s="11"/>
      <c r="D97" s="6"/>
      <c r="E97" s="2"/>
      <c r="F97" s="7">
        <f t="shared" si="46"/>
        <v>0</v>
      </c>
      <c r="G97" s="2"/>
      <c r="H97" s="6">
        <v>78</v>
      </c>
      <c r="I97" s="2"/>
      <c r="J97" s="7">
        <f t="shared" si="47"/>
        <v>5.6898589206775324E-3</v>
      </c>
      <c r="K97" s="2"/>
      <c r="L97" s="6">
        <f t="shared" si="48"/>
        <v>-78</v>
      </c>
      <c r="M97" s="2"/>
      <c r="N97" s="7">
        <f t="shared" si="49"/>
        <v>-1</v>
      </c>
      <c r="O97" s="11"/>
      <c r="P97" s="6"/>
      <c r="Q97" s="2"/>
      <c r="R97" s="7">
        <f t="shared" si="50"/>
        <v>0</v>
      </c>
      <c r="S97" s="2"/>
      <c r="T97" s="6">
        <v>312</v>
      </c>
      <c r="U97" s="2"/>
      <c r="V97" s="7">
        <f t="shared" si="51"/>
        <v>9.1810019527579183E-5</v>
      </c>
      <c r="W97" s="2"/>
      <c r="X97" s="6">
        <f t="shared" si="52"/>
        <v>-312</v>
      </c>
      <c r="Y97" s="2"/>
      <c r="Z97" s="7">
        <f t="shared" si="53"/>
        <v>-1</v>
      </c>
    </row>
    <row r="98" spans="1:26" s="25" customFormat="1" outlineLevel="1" collapsed="1" x14ac:dyDescent="0.25">
      <c r="A98" s="27"/>
      <c r="B98" s="13" t="str">
        <f>CONCATENATE("     ","Subscriptions &amp; Dues                              ")</f>
        <v xml:space="preserve">     Subscriptions &amp; Dues                              </v>
      </c>
      <c r="C98" s="13"/>
      <c r="D98" s="1">
        <f>SUM(OSRRefD22_10x_0)</f>
        <v>250</v>
      </c>
      <c r="E98" s="1"/>
      <c r="F98" s="5">
        <f t="shared" ref="F98:F104" si="54">IF(D$12=0,0,D98/D$12)</f>
        <v>1.7053264165293881E-2</v>
      </c>
      <c r="G98" s="1"/>
      <c r="H98" s="1">
        <f>SUM(OSRRefH22_10x_0)</f>
        <v>3193.53</v>
      </c>
      <c r="I98" s="1"/>
      <c r="J98" s="5">
        <f t="shared" ref="J98:J104" si="55">IF(H$12=0,0,H98/H$12)</f>
        <v>0.23295814306347848</v>
      </c>
      <c r="K98" s="1"/>
      <c r="L98" s="1">
        <f t="shared" ref="L98:L104" si="56">+D98-H98</f>
        <v>-2943.53</v>
      </c>
      <c r="M98" s="1"/>
      <c r="N98" s="5">
        <f t="shared" ref="N98:N104" si="57">IF(H98=0,0,L98/H98)</f>
        <v>-0.92171672099526225</v>
      </c>
      <c r="O98" s="13"/>
      <c r="P98" s="1">
        <f>SUM(OSRRefP22_10x_0)</f>
        <v>1307.4000000000001</v>
      </c>
      <c r="Q98" s="1"/>
      <c r="R98" s="5">
        <f t="shared" ref="R98:R104" si="58">IF(P$12=0,0,P98/P$12)</f>
        <v>4.5442295082125626E-4</v>
      </c>
      <c r="S98" s="1"/>
      <c r="T98" s="1">
        <f>SUM(OSRRefT22_10x_0)</f>
        <v>4757.6499999999996</v>
      </c>
      <c r="U98" s="1"/>
      <c r="V98" s="5">
        <f t="shared" ref="V98:V104" si="59">IF(T$12=0,0,T98/T$12)</f>
        <v>1.3999998057864971E-3</v>
      </c>
      <c r="W98" s="1"/>
      <c r="X98" s="1">
        <f t="shared" ref="X98:X104" si="60">+P98-T98</f>
        <v>-3450.2499999999995</v>
      </c>
      <c r="Y98" s="1"/>
      <c r="Z98" s="5">
        <f t="shared" ref="Z98:Z104" si="61">IF(T98=0,0,X98/T98)</f>
        <v>-0.72520046661692217</v>
      </c>
    </row>
    <row r="99" spans="1:26" s="24" customFormat="1" hidden="1" outlineLevel="2" x14ac:dyDescent="0.25">
      <c r="A99" s="26"/>
      <c r="B99" s="11" t="str">
        <f>CONCATENATE("          ", "6258", " - ", "MEMBERSHIP DUES")</f>
        <v xml:space="preserve">          6258 - MEMBERSHIP DUES</v>
      </c>
      <c r="C99" s="11"/>
      <c r="D99" s="6">
        <v>250</v>
      </c>
      <c r="E99" s="2"/>
      <c r="F99" s="7">
        <f t="shared" si="54"/>
        <v>1.7053264165293881E-2</v>
      </c>
      <c r="G99" s="2"/>
      <c r="H99" s="6">
        <v>3193.53</v>
      </c>
      <c r="I99" s="2"/>
      <c r="J99" s="7">
        <f t="shared" si="55"/>
        <v>0.23295814306347848</v>
      </c>
      <c r="K99" s="2"/>
      <c r="L99" s="6">
        <f t="shared" si="56"/>
        <v>-2943.53</v>
      </c>
      <c r="M99" s="2"/>
      <c r="N99" s="7">
        <f t="shared" si="57"/>
        <v>-0.92171672099526225</v>
      </c>
      <c r="O99" s="11"/>
      <c r="P99" s="6">
        <v>1307.4000000000001</v>
      </c>
      <c r="Q99" s="2"/>
      <c r="R99" s="7">
        <f t="shared" si="58"/>
        <v>4.5442295082125626E-4</v>
      </c>
      <c r="S99" s="2"/>
      <c r="T99" s="6">
        <v>4757.6499999999996</v>
      </c>
      <c r="U99" s="2"/>
      <c r="V99" s="7">
        <f t="shared" si="59"/>
        <v>1.3999998057864971E-3</v>
      </c>
      <c r="W99" s="2"/>
      <c r="X99" s="6">
        <f t="shared" si="60"/>
        <v>-3450.2499999999995</v>
      </c>
      <c r="Y99" s="2"/>
      <c r="Z99" s="7">
        <f t="shared" si="61"/>
        <v>-0.72520046661692217</v>
      </c>
    </row>
    <row r="100" spans="1:26" s="25" customFormat="1" outlineLevel="1" collapsed="1" x14ac:dyDescent="0.25">
      <c r="A100" s="27"/>
      <c r="B100" s="13" t="str">
        <f>CONCATENATE("     ","Supplies                                          ")</f>
        <v xml:space="preserve">     Supplies                                          </v>
      </c>
      <c r="C100" s="13"/>
      <c r="D100" s="1">
        <f>SUM(OSRRefD22_11x_0)</f>
        <v>78.040000000000006</v>
      </c>
      <c r="E100" s="1"/>
      <c r="F100" s="5">
        <f t="shared" si="54"/>
        <v>5.3233469418381384E-3</v>
      </c>
      <c r="G100" s="1"/>
      <c r="H100" s="1">
        <f>SUM(OSRRefH22_11x_0)</f>
        <v>180.71</v>
      </c>
      <c r="I100" s="1"/>
      <c r="J100" s="5">
        <f t="shared" si="55"/>
        <v>1.3182235968662012E-2</v>
      </c>
      <c r="K100" s="1"/>
      <c r="L100" s="1">
        <f t="shared" si="56"/>
        <v>-102.67</v>
      </c>
      <c r="M100" s="1"/>
      <c r="N100" s="5">
        <f t="shared" si="57"/>
        <v>-0.56814786121409988</v>
      </c>
      <c r="O100" s="13"/>
      <c r="P100" s="1">
        <f>SUM(OSRRefP22_11x_0)</f>
        <v>9214.59</v>
      </c>
      <c r="Q100" s="1"/>
      <c r="R100" s="5">
        <f t="shared" si="58"/>
        <v>3.2027850530886031E-3</v>
      </c>
      <c r="S100" s="1"/>
      <c r="T100" s="1">
        <f>SUM(OSRRefT22_11x_0)</f>
        <v>7402.9</v>
      </c>
      <c r="U100" s="1"/>
      <c r="V100" s="5">
        <f t="shared" si="59"/>
        <v>2.1783986973099869E-3</v>
      </c>
      <c r="W100" s="1"/>
      <c r="X100" s="1">
        <f t="shared" si="60"/>
        <v>1811.6900000000005</v>
      </c>
      <c r="Y100" s="1"/>
      <c r="Z100" s="5">
        <f t="shared" si="61"/>
        <v>0.24472706641991659</v>
      </c>
    </row>
    <row r="101" spans="1:26" s="24" customFormat="1" hidden="1" outlineLevel="2" x14ac:dyDescent="0.25">
      <c r="A101" s="26"/>
      <c r="B101" s="11" t="str">
        <f>CONCATENATE("          ", "6234", " - ", "EXPENDABLE SUPPLIES &amp; EQUIPMEN")</f>
        <v xml:space="preserve">          6234 - EXPENDABLE SUPPLIES &amp; EQUIPMEN</v>
      </c>
      <c r="C101" s="11"/>
      <c r="D101" s="6"/>
      <c r="E101" s="2"/>
      <c r="F101" s="7">
        <f t="shared" si="54"/>
        <v>0</v>
      </c>
      <c r="G101" s="2"/>
      <c r="H101" s="6"/>
      <c r="I101" s="2"/>
      <c r="J101" s="7">
        <f t="shared" si="55"/>
        <v>0</v>
      </c>
      <c r="K101" s="2"/>
      <c r="L101" s="6">
        <f t="shared" si="56"/>
        <v>0</v>
      </c>
      <c r="M101" s="2"/>
      <c r="N101" s="7">
        <f t="shared" si="57"/>
        <v>0</v>
      </c>
      <c r="O101" s="11"/>
      <c r="P101" s="6"/>
      <c r="Q101" s="2"/>
      <c r="R101" s="7">
        <f t="shared" si="58"/>
        <v>0</v>
      </c>
      <c r="S101" s="2"/>
      <c r="T101" s="6">
        <v>272.45999999999998</v>
      </c>
      <c r="U101" s="2"/>
      <c r="V101" s="7">
        <f t="shared" si="59"/>
        <v>8.0174865129757121E-5</v>
      </c>
      <c r="W101" s="2"/>
      <c r="X101" s="6">
        <f t="shared" si="60"/>
        <v>-272.45999999999998</v>
      </c>
      <c r="Y101" s="2"/>
      <c r="Z101" s="7">
        <f t="shared" si="61"/>
        <v>-1</v>
      </c>
    </row>
    <row r="102" spans="1:26" s="24" customFormat="1" hidden="1" outlineLevel="2" x14ac:dyDescent="0.25">
      <c r="A102" s="26"/>
      <c r="B102" s="11" t="str">
        <f>CONCATENATE("          ", "6241", " - ", "OFFICE EXPENSE")</f>
        <v xml:space="preserve">          6241 - OFFICE EXPENSE</v>
      </c>
      <c r="C102" s="11"/>
      <c r="D102" s="6">
        <v>78.040000000000006</v>
      </c>
      <c r="E102" s="2"/>
      <c r="F102" s="7">
        <f t="shared" si="54"/>
        <v>5.3233469418381384E-3</v>
      </c>
      <c r="G102" s="2"/>
      <c r="H102" s="6">
        <v>180.71</v>
      </c>
      <c r="I102" s="2"/>
      <c r="J102" s="7">
        <f t="shared" si="55"/>
        <v>1.3182235968662012E-2</v>
      </c>
      <c r="K102" s="2"/>
      <c r="L102" s="6">
        <f t="shared" si="56"/>
        <v>-102.67</v>
      </c>
      <c r="M102" s="2"/>
      <c r="N102" s="7">
        <f t="shared" si="57"/>
        <v>-0.56814786121409988</v>
      </c>
      <c r="O102" s="11"/>
      <c r="P102" s="6">
        <v>3375.47</v>
      </c>
      <c r="Q102" s="2"/>
      <c r="R102" s="7">
        <f t="shared" si="58"/>
        <v>1.1732377526454227E-3</v>
      </c>
      <c r="S102" s="2"/>
      <c r="T102" s="6">
        <v>1195.28</v>
      </c>
      <c r="U102" s="2"/>
      <c r="V102" s="7">
        <f t="shared" si="59"/>
        <v>3.5172653891322065E-4</v>
      </c>
      <c r="W102" s="2"/>
      <c r="X102" s="6">
        <f t="shared" si="60"/>
        <v>2180.1899999999996</v>
      </c>
      <c r="Y102" s="2"/>
      <c r="Z102" s="7">
        <f t="shared" si="61"/>
        <v>1.8239993976306803</v>
      </c>
    </row>
    <row r="103" spans="1:26" s="24" customFormat="1" hidden="1" outlineLevel="2" x14ac:dyDescent="0.25">
      <c r="A103" s="26"/>
      <c r="B103" s="11" t="str">
        <f>CONCATENATE("          ", "6245", " - ", "PRINTING")</f>
        <v xml:space="preserve">          6245 - PRINTING</v>
      </c>
      <c r="C103" s="11"/>
      <c r="D103" s="6"/>
      <c r="E103" s="2"/>
      <c r="F103" s="7">
        <f t="shared" si="54"/>
        <v>0</v>
      </c>
      <c r="G103" s="2"/>
      <c r="H103" s="6"/>
      <c r="I103" s="2"/>
      <c r="J103" s="7">
        <f t="shared" si="55"/>
        <v>0</v>
      </c>
      <c r="K103" s="2"/>
      <c r="L103" s="6">
        <f t="shared" si="56"/>
        <v>0</v>
      </c>
      <c r="M103" s="2"/>
      <c r="N103" s="7">
        <f t="shared" si="57"/>
        <v>0</v>
      </c>
      <c r="O103" s="11"/>
      <c r="P103" s="6">
        <v>4978.08</v>
      </c>
      <c r="Q103" s="2"/>
      <c r="R103" s="7">
        <f t="shared" si="58"/>
        <v>1.7302690859907291E-3</v>
      </c>
      <c r="S103" s="2"/>
      <c r="T103" s="6">
        <v>509.8</v>
      </c>
      <c r="U103" s="2"/>
      <c r="V103" s="7">
        <f t="shared" si="59"/>
        <v>1.5001521780499957E-4</v>
      </c>
      <c r="W103" s="2"/>
      <c r="X103" s="6">
        <f t="shared" si="60"/>
        <v>4468.28</v>
      </c>
      <c r="Y103" s="2"/>
      <c r="Z103" s="7">
        <f t="shared" si="61"/>
        <v>8.7647704982346006</v>
      </c>
    </row>
    <row r="104" spans="1:26" s="24" customFormat="1" hidden="1" outlineLevel="2" x14ac:dyDescent="0.25">
      <c r="A104" s="26"/>
      <c r="B104" s="11" t="str">
        <f>CONCATENATE("          ", "6247", " - ", "STORE SUPPLIES")</f>
        <v xml:space="preserve">          6247 - STORE SUPPLIES</v>
      </c>
      <c r="C104" s="11"/>
      <c r="D104" s="6"/>
      <c r="E104" s="2"/>
      <c r="F104" s="7">
        <f t="shared" si="54"/>
        <v>0</v>
      </c>
      <c r="G104" s="2"/>
      <c r="H104" s="6"/>
      <c r="I104" s="2"/>
      <c r="J104" s="7">
        <f t="shared" si="55"/>
        <v>0</v>
      </c>
      <c r="K104" s="2"/>
      <c r="L104" s="6">
        <f t="shared" si="56"/>
        <v>0</v>
      </c>
      <c r="M104" s="2"/>
      <c r="N104" s="7">
        <f t="shared" si="57"/>
        <v>0</v>
      </c>
      <c r="O104" s="11"/>
      <c r="P104" s="6">
        <v>861.04</v>
      </c>
      <c r="Q104" s="2"/>
      <c r="R104" s="7">
        <f t="shared" si="58"/>
        <v>2.9927821445245101E-4</v>
      </c>
      <c r="S104" s="2"/>
      <c r="T104" s="6">
        <v>5425.36</v>
      </c>
      <c r="U104" s="2"/>
      <c r="V104" s="7">
        <f t="shared" si="59"/>
        <v>1.5964820754620097E-3</v>
      </c>
      <c r="W104" s="2"/>
      <c r="X104" s="6">
        <f t="shared" si="60"/>
        <v>-4564.32</v>
      </c>
      <c r="Y104" s="2"/>
      <c r="Z104" s="7">
        <f t="shared" si="61"/>
        <v>-0.84129348098559353</v>
      </c>
    </row>
    <row r="105" spans="1:26" s="25" customFormat="1" outlineLevel="1" collapsed="1" x14ac:dyDescent="0.25">
      <c r="A105" s="27"/>
      <c r="B105" s="13" t="str">
        <f>CONCATENATE("     ","Telephone/Data Lines                              ")</f>
        <v xml:space="preserve">     Telephone/Data Lines                              </v>
      </c>
      <c r="C105" s="13"/>
      <c r="D105" s="1">
        <f>SUM(OSRRefD22_12x_0)</f>
        <v>769.99</v>
      </c>
      <c r="E105" s="1"/>
      <c r="F105" s="5">
        <f t="shared" ref="F105:F107" si="62">IF(D$12=0,0,D105/D$12)</f>
        <v>5.2523371498538543E-2</v>
      </c>
      <c r="G105" s="1"/>
      <c r="H105" s="1">
        <f>SUM(OSRRefH22_12x_0)</f>
        <v>772.85</v>
      </c>
      <c r="I105" s="1"/>
      <c r="J105" s="5">
        <f t="shared" ref="J105:J107" si="63">IF(H$12=0,0,H105/H$12)</f>
        <v>5.6377018805713219E-2</v>
      </c>
      <c r="K105" s="1"/>
      <c r="L105" s="1">
        <f t="shared" ref="L105:L107" si="64">+D105-H105</f>
        <v>-2.8600000000000136</v>
      </c>
      <c r="M105" s="1"/>
      <c r="N105" s="5">
        <f t="shared" ref="N105:N107" si="65">IF(H105=0,0,L105/H105)</f>
        <v>-3.7005887300252489E-3</v>
      </c>
      <c r="O105" s="13"/>
      <c r="P105" s="1">
        <f>SUM(OSRRefP22_12x_0)</f>
        <v>3868.59</v>
      </c>
      <c r="Q105" s="1"/>
      <c r="R105" s="5">
        <f t="shared" ref="R105:R107" si="66">IF(P$12=0,0,P105/P$12)</f>
        <v>1.3446352174679545E-3</v>
      </c>
      <c r="S105" s="1"/>
      <c r="T105" s="1">
        <f>SUM(OSRRefT22_12x_0)</f>
        <v>3382.6</v>
      </c>
      <c r="U105" s="1"/>
      <c r="V105" s="5">
        <f t="shared" ref="V105:V107" si="67">IF(T$12=0,0,T105/T$12)</f>
        <v>9.9537362837817103E-4</v>
      </c>
      <c r="W105" s="1"/>
      <c r="X105" s="1">
        <f t="shared" ref="X105:X107" si="68">+P105-T105</f>
        <v>485.99000000000024</v>
      </c>
      <c r="Y105" s="1"/>
      <c r="Z105" s="5">
        <f t="shared" ref="Z105:Z107" si="69">IF(T105=0,0,X105/T105)</f>
        <v>0.14367350558741804</v>
      </c>
    </row>
    <row r="106" spans="1:26" s="24" customFormat="1" hidden="1" outlineLevel="2" x14ac:dyDescent="0.25">
      <c r="A106" s="26"/>
      <c r="B106" s="11" t="str">
        <f>CONCATENATE("          ", "6303", " - ", "DATA PHONE LINES")</f>
        <v xml:space="preserve">          6303 - DATA PHONE LINES</v>
      </c>
      <c r="C106" s="11"/>
      <c r="D106" s="6">
        <v>295</v>
      </c>
      <c r="E106" s="2"/>
      <c r="F106" s="7">
        <f t="shared" si="62"/>
        <v>2.0122851715046783E-2</v>
      </c>
      <c r="G106" s="2"/>
      <c r="H106" s="6">
        <v>295</v>
      </c>
      <c r="I106" s="2"/>
      <c r="J106" s="7">
        <f t="shared" si="63"/>
        <v>2.1519338225639385E-2</v>
      </c>
      <c r="K106" s="2"/>
      <c r="L106" s="6">
        <f t="shared" si="64"/>
        <v>0</v>
      </c>
      <c r="M106" s="2"/>
      <c r="N106" s="7">
        <f t="shared" si="65"/>
        <v>0</v>
      </c>
      <c r="O106" s="11"/>
      <c r="P106" s="6">
        <v>1475</v>
      </c>
      <c r="Q106" s="2"/>
      <c r="R106" s="7">
        <f t="shared" si="66"/>
        <v>5.1267695614299594E-4</v>
      </c>
      <c r="S106" s="2"/>
      <c r="T106" s="6">
        <v>885</v>
      </c>
      <c r="U106" s="2"/>
      <c r="V106" s="7">
        <f t="shared" si="67"/>
        <v>2.6042265154457557E-4</v>
      </c>
      <c r="W106" s="2"/>
      <c r="X106" s="6">
        <f t="shared" si="68"/>
        <v>590</v>
      </c>
      <c r="Y106" s="2"/>
      <c r="Z106" s="7">
        <f t="shared" si="69"/>
        <v>0.66666666666666663</v>
      </c>
    </row>
    <row r="107" spans="1:26" s="24" customFormat="1" hidden="1" outlineLevel="2" x14ac:dyDescent="0.25">
      <c r="A107" s="26"/>
      <c r="B107" s="11" t="str">
        <f>CONCATENATE("          ", "6309", " - ", "TELEPHONE")</f>
        <v xml:space="preserve">          6309 - TELEPHONE</v>
      </c>
      <c r="C107" s="11"/>
      <c r="D107" s="6">
        <v>474.99</v>
      </c>
      <c r="E107" s="2"/>
      <c r="F107" s="7">
        <f t="shared" si="62"/>
        <v>3.2400519783491767E-2</v>
      </c>
      <c r="G107" s="2"/>
      <c r="H107" s="6">
        <v>477.85</v>
      </c>
      <c r="I107" s="2"/>
      <c r="J107" s="7">
        <f t="shared" si="63"/>
        <v>3.4857680580073831E-2</v>
      </c>
      <c r="K107" s="2"/>
      <c r="L107" s="6">
        <f t="shared" si="64"/>
        <v>-2.8600000000000136</v>
      </c>
      <c r="M107" s="2"/>
      <c r="N107" s="7">
        <f t="shared" si="65"/>
        <v>-5.9851417808936139E-3</v>
      </c>
      <c r="O107" s="11"/>
      <c r="P107" s="6">
        <v>2393.59</v>
      </c>
      <c r="Q107" s="2"/>
      <c r="R107" s="7">
        <f t="shared" si="66"/>
        <v>8.3195826132495846E-4</v>
      </c>
      <c r="S107" s="2"/>
      <c r="T107" s="6">
        <v>2497.6</v>
      </c>
      <c r="U107" s="2"/>
      <c r="V107" s="7">
        <f t="shared" si="67"/>
        <v>7.3495097683359541E-4</v>
      </c>
      <c r="W107" s="2"/>
      <c r="X107" s="6">
        <f t="shared" si="68"/>
        <v>-104.00999999999976</v>
      </c>
      <c r="Y107" s="2"/>
      <c r="Z107" s="7">
        <f t="shared" si="69"/>
        <v>-4.164397821909023E-2</v>
      </c>
    </row>
    <row r="108" spans="1:26" s="25" customFormat="1" outlineLevel="1" collapsed="1" x14ac:dyDescent="0.25">
      <c r="A108" s="27"/>
      <c r="B108" s="13" t="str">
        <f>CONCATENATE("     ","Training                                          ")</f>
        <v xml:space="preserve">     Training                                          </v>
      </c>
      <c r="C108" s="13"/>
      <c r="D108" s="1">
        <f>SUM(OSRRefD22_13x_0)</f>
        <v>0</v>
      </c>
      <c r="E108" s="1"/>
      <c r="F108" s="5">
        <f t="shared" ref="F108:F111" si="70">IF(D$12=0,0,D108/D$12)</f>
        <v>0</v>
      </c>
      <c r="G108" s="1"/>
      <c r="H108" s="1">
        <f>SUM(OSRRefH22_13x_0)</f>
        <v>0</v>
      </c>
      <c r="I108" s="1"/>
      <c r="J108" s="5">
        <f t="shared" ref="J108:J111" si="71">IF(H$12=0,0,H108/H$12)</f>
        <v>0</v>
      </c>
      <c r="K108" s="1"/>
      <c r="L108" s="1">
        <f t="shared" ref="L108:L111" si="72">+D108-H108</f>
        <v>0</v>
      </c>
      <c r="M108" s="1"/>
      <c r="N108" s="5">
        <f t="shared" ref="N108:N111" si="73">IF(H108=0,0,L108/H108)</f>
        <v>0</v>
      </c>
      <c r="O108" s="13"/>
      <c r="P108" s="1">
        <f>SUM(OSRRefP22_13x_0)</f>
        <v>547.47</v>
      </c>
      <c r="Q108" s="1"/>
      <c r="R108" s="5">
        <f t="shared" ref="R108:R111" si="74">IF(P$12=0,0,P108/P$12)</f>
        <v>1.9028830724041087E-4</v>
      </c>
      <c r="S108" s="1"/>
      <c r="T108" s="1">
        <f>SUM(OSRRefT22_13x_0)</f>
        <v>-1024.26</v>
      </c>
      <c r="U108" s="1"/>
      <c r="V108" s="5">
        <f t="shared" ref="V108:V111" si="75">IF(T$12=0,0,T108/T$12)</f>
        <v>-3.0140170064525083E-4</v>
      </c>
      <c r="W108" s="1"/>
      <c r="X108" s="1">
        <f t="shared" ref="X108:X111" si="76">+P108-T108</f>
        <v>1571.73</v>
      </c>
      <c r="Y108" s="1"/>
      <c r="Z108" s="5">
        <f t="shared" ref="Z108:Z111" si="77">IF(T108=0,0,X108/T108)</f>
        <v>-1.5345029582332612</v>
      </c>
    </row>
    <row r="109" spans="1:26" s="24" customFormat="1" hidden="1" outlineLevel="2" x14ac:dyDescent="0.25">
      <c r="A109" s="26"/>
      <c r="B109" s="11" t="str">
        <f>CONCATENATE("          ", "6376", " - ", "TRAINING")</f>
        <v xml:space="preserve">          6376 - TRAINING</v>
      </c>
      <c r="C109" s="11"/>
      <c r="D109" s="6"/>
      <c r="E109" s="2"/>
      <c r="F109" s="7">
        <f t="shared" si="70"/>
        <v>0</v>
      </c>
      <c r="G109" s="2"/>
      <c r="H109" s="6"/>
      <c r="I109" s="2"/>
      <c r="J109" s="7">
        <f t="shared" si="71"/>
        <v>0</v>
      </c>
      <c r="K109" s="2"/>
      <c r="L109" s="6">
        <f t="shared" si="72"/>
        <v>0</v>
      </c>
      <c r="M109" s="2"/>
      <c r="N109" s="7">
        <f t="shared" si="73"/>
        <v>0</v>
      </c>
      <c r="O109" s="11"/>
      <c r="P109" s="6">
        <v>547.47</v>
      </c>
      <c r="Q109" s="2"/>
      <c r="R109" s="7">
        <f t="shared" si="74"/>
        <v>1.9028830724041087E-4</v>
      </c>
      <c r="S109" s="2"/>
      <c r="T109" s="6">
        <v>-1024.26</v>
      </c>
      <c r="U109" s="2"/>
      <c r="V109" s="7">
        <f t="shared" si="75"/>
        <v>-3.0140170064525083E-4</v>
      </c>
      <c r="W109" s="2"/>
      <c r="X109" s="6">
        <f t="shared" si="76"/>
        <v>1571.73</v>
      </c>
      <c r="Y109" s="2"/>
      <c r="Z109" s="7">
        <f t="shared" si="77"/>
        <v>-1.5345029582332612</v>
      </c>
    </row>
    <row r="110" spans="1:26" s="25" customFormat="1" outlineLevel="1" collapsed="1" x14ac:dyDescent="0.25">
      <c r="A110" s="27"/>
      <c r="B110" s="13" t="str">
        <f>CONCATENATE("     ","Travel                                            ")</f>
        <v xml:space="preserve">     Travel                                            </v>
      </c>
      <c r="C110" s="13"/>
      <c r="D110" s="1">
        <f>SUM(OSRRefD22_14x_0)</f>
        <v>0</v>
      </c>
      <c r="E110" s="1"/>
      <c r="F110" s="5">
        <f t="shared" si="70"/>
        <v>0</v>
      </c>
      <c r="G110" s="1"/>
      <c r="H110" s="1">
        <f>SUM(OSRRefH22_14x_0)</f>
        <v>0</v>
      </c>
      <c r="I110" s="1"/>
      <c r="J110" s="5">
        <f t="shared" si="71"/>
        <v>0</v>
      </c>
      <c r="K110" s="1"/>
      <c r="L110" s="1">
        <f t="shared" si="72"/>
        <v>0</v>
      </c>
      <c r="M110" s="1"/>
      <c r="N110" s="5">
        <f t="shared" si="73"/>
        <v>0</v>
      </c>
      <c r="O110" s="13"/>
      <c r="P110" s="1">
        <f>SUM(OSRRefP22_14x_0)</f>
        <v>83.93</v>
      </c>
      <c r="Q110" s="1"/>
      <c r="R110" s="5">
        <f t="shared" si="74"/>
        <v>2.9172187748529937E-5</v>
      </c>
      <c r="S110" s="1"/>
      <c r="T110" s="1">
        <f>SUM(OSRRefT22_14x_0)</f>
        <v>68.27</v>
      </c>
      <c r="U110" s="1"/>
      <c r="V110" s="5">
        <f t="shared" si="75"/>
        <v>2.0089327029319969E-5</v>
      </c>
      <c r="W110" s="1"/>
      <c r="X110" s="1">
        <f t="shared" si="76"/>
        <v>15.660000000000011</v>
      </c>
      <c r="Y110" s="1"/>
      <c r="Z110" s="5">
        <f t="shared" si="77"/>
        <v>0.22938333089204646</v>
      </c>
    </row>
    <row r="111" spans="1:26" s="24" customFormat="1" hidden="1" outlineLevel="2" x14ac:dyDescent="0.25">
      <c r="A111" s="26"/>
      <c r="B111" s="11" t="str">
        <f>CONCATENATE("          ", "6292", " - ", "TRAVEL/CONFERENCE")</f>
        <v xml:space="preserve">          6292 - TRAVEL/CONFERENCE</v>
      </c>
      <c r="C111" s="11"/>
      <c r="D111" s="6"/>
      <c r="E111" s="2"/>
      <c r="F111" s="7">
        <f t="shared" si="70"/>
        <v>0</v>
      </c>
      <c r="G111" s="2"/>
      <c r="H111" s="6"/>
      <c r="I111" s="2"/>
      <c r="J111" s="7">
        <f t="shared" si="71"/>
        <v>0</v>
      </c>
      <c r="K111" s="2"/>
      <c r="L111" s="6">
        <f t="shared" si="72"/>
        <v>0</v>
      </c>
      <c r="M111" s="2"/>
      <c r="N111" s="7">
        <f t="shared" si="73"/>
        <v>0</v>
      </c>
      <c r="O111" s="11"/>
      <c r="P111" s="6">
        <v>83.93</v>
      </c>
      <c r="Q111" s="2"/>
      <c r="R111" s="7">
        <f t="shared" si="74"/>
        <v>2.9172187748529937E-5</v>
      </c>
      <c r="S111" s="2"/>
      <c r="T111" s="6">
        <v>68.27</v>
      </c>
      <c r="U111" s="2"/>
      <c r="V111" s="7">
        <f t="shared" si="75"/>
        <v>2.0089327029319969E-5</v>
      </c>
      <c r="W111" s="2"/>
      <c r="X111" s="6">
        <f t="shared" si="76"/>
        <v>15.660000000000011</v>
      </c>
      <c r="Y111" s="2"/>
      <c r="Z111" s="7">
        <f t="shared" si="77"/>
        <v>0.22938333089204646</v>
      </c>
    </row>
    <row r="112" spans="1:26" s="53" customFormat="1" x14ac:dyDescent="0.25">
      <c r="A112" s="37"/>
      <c r="B112" s="37"/>
      <c r="C112" s="37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7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collapsed="1" x14ac:dyDescent="0.25">
      <c r="A113" s="10"/>
      <c r="B113" s="28" t="s">
        <v>0</v>
      </c>
      <c r="C113" s="10"/>
      <c r="D113" s="4">
        <f>SUM(OSRRefD25x_0)</f>
        <v>197.54</v>
      </c>
      <c r="E113" s="4"/>
      <c r="F113" s="12">
        <f t="shared" ref="F113:F116" si="78">IF(D$12=0,0,D113/D$12)</f>
        <v>1.3474807212848614E-2</v>
      </c>
      <c r="G113" s="4"/>
      <c r="H113" s="4">
        <f>SUM(OSRRefH25x_0)</f>
        <v>2270.54</v>
      </c>
      <c r="I113" s="4"/>
      <c r="J113" s="12">
        <f t="shared" ref="J113:J116" si="79">IF(H$12=0,0,H113/H$12)</f>
        <v>0.16562887530455339</v>
      </c>
      <c r="K113" s="4"/>
      <c r="L113" s="4">
        <f t="shared" ref="L113:L116" si="80">+D113-H113</f>
        <v>-2073</v>
      </c>
      <c r="M113" s="4"/>
      <c r="N113" s="12">
        <f t="shared" ref="N113:N116" si="81">IF(H113=0,0,L113/H113)</f>
        <v>-0.91299866991993095</v>
      </c>
      <c r="O113" s="10"/>
      <c r="P113" s="4">
        <f>SUM(OSRRefP25x_0)</f>
        <v>142441.94</v>
      </c>
      <c r="Q113" s="4"/>
      <c r="R113" s="12">
        <f t="shared" ref="R113:R116" si="82">IF(P$12=0,0,P113/P$12)</f>
        <v>4.9509627272070013E-2</v>
      </c>
      <c r="S113" s="4"/>
      <c r="T113" s="4">
        <f>SUM(OSRRefT25x_0)</f>
        <v>46195.33</v>
      </c>
      <c r="U113" s="4"/>
      <c r="V113" s="12">
        <f t="shared" ref="V113:V116" si="83">IF(T$12=0,0,T113/T$12)</f>
        <v>1.3593570991612066E-2</v>
      </c>
      <c r="W113" s="4"/>
      <c r="X113" s="4">
        <f t="shared" ref="X113:X116" si="84">+P113-T113</f>
        <v>96246.61</v>
      </c>
      <c r="Y113" s="4"/>
      <c r="Z113" s="12">
        <f t="shared" ref="Z113:Z116" si="85">IF(T113=0,0,X113/T113)</f>
        <v>2.083470558604084</v>
      </c>
    </row>
    <row r="114" spans="1:26" s="24" customFormat="1" hidden="1" outlineLevel="1" x14ac:dyDescent="0.25">
      <c r="A114" s="44"/>
      <c r="B114" s="11" t="str">
        <f>CONCATENATE("          ", "9150", " - ", "MISC. INCOME")</f>
        <v xml:space="preserve">          9150 - MISC. INCOME</v>
      </c>
      <c r="C114" s="11"/>
      <c r="D114" s="2">
        <f>--43.32</f>
        <v>43.32</v>
      </c>
      <c r="E114" s="2"/>
      <c r="F114" s="19">
        <f t="shared" si="78"/>
        <v>2.9549896145621237E-3</v>
      </c>
      <c r="G114" s="2"/>
      <c r="H114" s="2">
        <f>--2232.75</f>
        <v>2232.75</v>
      </c>
      <c r="I114" s="2"/>
      <c r="J114" s="19">
        <f t="shared" si="79"/>
        <v>0.16287221160439436</v>
      </c>
      <c r="K114" s="2"/>
      <c r="L114" s="2">
        <f t="shared" si="80"/>
        <v>-2189.4299999999998</v>
      </c>
      <c r="M114" s="2"/>
      <c r="N114" s="19">
        <f t="shared" si="81"/>
        <v>-0.98059791736647628</v>
      </c>
      <c r="O114" s="11"/>
      <c r="P114" s="2">
        <f>--53917.42</f>
        <v>53917.42</v>
      </c>
      <c r="Q114" s="2"/>
      <c r="R114" s="19">
        <f t="shared" si="82"/>
        <v>1.8740487300802369E-2</v>
      </c>
      <c r="S114" s="2"/>
      <c r="T114" s="2">
        <f>--42940.42</f>
        <v>42940.42</v>
      </c>
      <c r="U114" s="2"/>
      <c r="V114" s="19">
        <f t="shared" si="83"/>
        <v>1.2635771790777088E-2</v>
      </c>
      <c r="W114" s="2"/>
      <c r="X114" s="2">
        <f t="shared" si="84"/>
        <v>10977</v>
      </c>
      <c r="Y114" s="2"/>
      <c r="Z114" s="19">
        <f t="shared" si="85"/>
        <v>0.25563327047103873</v>
      </c>
    </row>
    <row r="115" spans="1:26" s="24" customFormat="1" hidden="1" outlineLevel="1" x14ac:dyDescent="0.25">
      <c r="A115" s="44"/>
      <c r="B115" s="11" t="str">
        <f>CONCATENATE("          ", "9151", " - ", "MISC. INCOME")</f>
        <v xml:space="preserve">          9151 - MISC. INCOME</v>
      </c>
      <c r="C115" s="11"/>
      <c r="D115" s="2">
        <f>0</f>
        <v>0</v>
      </c>
      <c r="E115" s="2"/>
      <c r="F115" s="19">
        <f t="shared" si="78"/>
        <v>0</v>
      </c>
      <c r="G115" s="2"/>
      <c r="H115" s="2">
        <f>0</f>
        <v>0</v>
      </c>
      <c r="I115" s="2"/>
      <c r="J115" s="19">
        <f t="shared" si="79"/>
        <v>0</v>
      </c>
      <c r="K115" s="2"/>
      <c r="L115" s="2">
        <f t="shared" si="80"/>
        <v>0</v>
      </c>
      <c r="M115" s="2"/>
      <c r="N115" s="19">
        <f t="shared" si="81"/>
        <v>0</v>
      </c>
      <c r="O115" s="11"/>
      <c r="P115" s="2">
        <f>--87676.2</f>
        <v>87676.2</v>
      </c>
      <c r="Q115" s="2"/>
      <c r="R115" s="19">
        <f t="shared" si="82"/>
        <v>3.0474282943853927E-2</v>
      </c>
      <c r="S115" s="2"/>
      <c r="T115" s="2">
        <f>0</f>
        <v>0</v>
      </c>
      <c r="U115" s="2"/>
      <c r="V115" s="19">
        <f t="shared" si="83"/>
        <v>0</v>
      </c>
      <c r="W115" s="2"/>
      <c r="X115" s="2">
        <f t="shared" si="84"/>
        <v>87676.2</v>
      </c>
      <c r="Y115" s="2"/>
      <c r="Z115" s="19">
        <f t="shared" si="85"/>
        <v>0</v>
      </c>
    </row>
    <row r="116" spans="1:26" s="24" customFormat="1" hidden="1" outlineLevel="1" x14ac:dyDescent="0.25">
      <c r="A116" s="44"/>
      <c r="B116" s="11" t="str">
        <f>CONCATENATE("          ", "9152", " - ", "MISC. INCOME")</f>
        <v xml:space="preserve">          9152 - MISC. INCOME</v>
      </c>
      <c r="C116" s="11"/>
      <c r="D116" s="2">
        <f>--154.22</f>
        <v>154.22</v>
      </c>
      <c r="E116" s="2"/>
      <c r="F116" s="19">
        <f t="shared" si="78"/>
        <v>1.0519817598286491E-2</v>
      </c>
      <c r="G116" s="2"/>
      <c r="H116" s="2">
        <f>--37.79</f>
        <v>37.79</v>
      </c>
      <c r="I116" s="2"/>
      <c r="J116" s="19">
        <f t="shared" si="79"/>
        <v>2.7566637001590249E-3</v>
      </c>
      <c r="K116" s="2"/>
      <c r="L116" s="2">
        <f t="shared" si="80"/>
        <v>116.43</v>
      </c>
      <c r="M116" s="2"/>
      <c r="N116" s="19">
        <f t="shared" si="81"/>
        <v>3.0809738025932787</v>
      </c>
      <c r="O116" s="11"/>
      <c r="P116" s="2">
        <f>--848.32</f>
        <v>848.32</v>
      </c>
      <c r="Q116" s="2"/>
      <c r="R116" s="19">
        <f t="shared" si="82"/>
        <v>2.9485702741371278E-4</v>
      </c>
      <c r="S116" s="2"/>
      <c r="T116" s="2">
        <f>--3254.91</f>
        <v>3254.91</v>
      </c>
      <c r="U116" s="2"/>
      <c r="V116" s="19">
        <f t="shared" si="83"/>
        <v>9.5779920083497675E-4</v>
      </c>
      <c r="W116" s="2"/>
      <c r="X116" s="2">
        <f t="shared" si="84"/>
        <v>-2406.5899999999997</v>
      </c>
      <c r="Y116" s="2"/>
      <c r="Z116" s="19">
        <f t="shared" si="85"/>
        <v>-0.73937220998430053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10"/>
      <c r="B118" s="29" t="s">
        <v>3</v>
      </c>
      <c r="C118" s="29"/>
      <c r="D118" s="21">
        <f>+D60-D62+D113</f>
        <v>-54811.710000000014</v>
      </c>
      <c r="E118" s="14"/>
      <c r="F118" s="20">
        <f>IF(D$12=0,0,D118/D$12)</f>
        <v>-3.7388742799259225</v>
      </c>
      <c r="G118" s="14"/>
      <c r="H118" s="21">
        <f>+H60-H62+H113</f>
        <v>-66520.140000000014</v>
      </c>
      <c r="I118" s="14"/>
      <c r="J118" s="20">
        <f>IF(H$12=0,0,H118/H$12)</f>
        <v>-4.8524386151758776</v>
      </c>
      <c r="K118" s="15"/>
      <c r="L118" s="21">
        <f>+D118-H118</f>
        <v>11708.43</v>
      </c>
      <c r="M118" s="15"/>
      <c r="N118" s="20">
        <f>IF(H118=0,0,L118/H118)</f>
        <v>-0.17601330965328693</v>
      </c>
      <c r="O118" s="28"/>
      <c r="P118" s="21">
        <f>+P60-P62+P113</f>
        <v>688146.30999999936</v>
      </c>
      <c r="Q118" s="14"/>
      <c r="R118" s="20">
        <f>IF(P$12=0,0,P118/P$12)</f>
        <v>0.2391842410792096</v>
      </c>
      <c r="S118" s="14"/>
      <c r="T118" s="21">
        <f>+T60-T62+T113</f>
        <v>638683.65999999992</v>
      </c>
      <c r="U118" s="14"/>
      <c r="V118" s="20">
        <f>IF(T$12=0,0,T118/T$12)</f>
        <v>0.18794089518123636</v>
      </c>
      <c r="W118" s="15"/>
      <c r="X118" s="21">
        <f>+P118-T118</f>
        <v>49462.649999999441</v>
      </c>
      <c r="Y118" s="15"/>
      <c r="Z118" s="20">
        <f>IF(T118=0,0,X118/T118)</f>
        <v>7.7444677385357638E-2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51"/>
      <c r="B120" s="10" t="s">
        <v>13</v>
      </c>
      <c r="C120" s="10"/>
      <c r="D120" s="4">
        <v>16524.670000000002</v>
      </c>
      <c r="E120" s="4"/>
      <c r="F120" s="12">
        <f>IF(D$12=0,0,D120/D$12)</f>
        <v>1.1271982510172276</v>
      </c>
      <c r="G120" s="4"/>
      <c r="H120" s="4">
        <v>46737.39</v>
      </c>
      <c r="I120" s="4"/>
      <c r="J120" s="12">
        <f>IF(H$12=0,0,H120/H$12)</f>
        <v>3.4093481464190369</v>
      </c>
      <c r="K120" s="4"/>
      <c r="L120" s="4">
        <f>+D120-H120</f>
        <v>-30212.719999999998</v>
      </c>
      <c r="M120" s="4"/>
      <c r="N120" s="12">
        <f>IF(H120=0,0,L120/H120)</f>
        <v>-0.64643575518444651</v>
      </c>
      <c r="O120" s="10"/>
      <c r="P120" s="4">
        <v>304660.7</v>
      </c>
      <c r="Q120" s="4"/>
      <c r="R120" s="12">
        <f>IF(P$12=0,0,P120/P$12)</f>
        <v>0.10589323412365725</v>
      </c>
      <c r="S120" s="4"/>
      <c r="T120" s="4">
        <v>357579.55</v>
      </c>
      <c r="U120" s="4"/>
      <c r="V120" s="12">
        <f>IF(T$12=0,0,T120/T$12)</f>
        <v>0.10522238932103518</v>
      </c>
      <c r="W120" s="4"/>
      <c r="X120" s="4">
        <f>+P120-T120</f>
        <v>-52918.849999999977</v>
      </c>
      <c r="Y120" s="4"/>
      <c r="Z120" s="12">
        <f>IF(T120=0,0,X120/T120)</f>
        <v>-0.1479918244765395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9" t="s">
        <v>4</v>
      </c>
      <c r="C122" s="29"/>
      <c r="D122" s="31">
        <f>+D118-D120</f>
        <v>-71336.380000000019</v>
      </c>
      <c r="E122" s="14"/>
      <c r="F122" s="32">
        <f>IF(D$12=0,0,D122/D$12)</f>
        <v>-4.8660725309431498</v>
      </c>
      <c r="G122" s="14"/>
      <c r="H122" s="31">
        <f>+H118-H120</f>
        <v>-113257.53000000001</v>
      </c>
      <c r="I122" s="14"/>
      <c r="J122" s="32">
        <f>IF(H$12=0,0,H122/H$12)</f>
        <v>-8.2617867615949141</v>
      </c>
      <c r="K122" s="15"/>
      <c r="L122" s="31">
        <f>D122-H122</f>
        <v>41921.149999999994</v>
      </c>
      <c r="M122" s="15"/>
      <c r="N122" s="32">
        <f>IF(H122=0,0,L122/H122)</f>
        <v>-0.37014006927398108</v>
      </c>
      <c r="O122" s="28"/>
      <c r="P122" s="31">
        <f>+P118-P120</f>
        <v>383485.60999999935</v>
      </c>
      <c r="Q122" s="14"/>
      <c r="R122" s="32">
        <f>IF(P$12=0,0,P122/P$12)</f>
        <v>0.13329100695555235</v>
      </c>
      <c r="S122" s="14"/>
      <c r="T122" s="31">
        <f>+T118-T120</f>
        <v>281104.10999999993</v>
      </c>
      <c r="U122" s="14"/>
      <c r="V122" s="32">
        <f>IF(T$12=0,0,T122/T$12)</f>
        <v>8.2718505860201158E-2</v>
      </c>
      <c r="W122" s="15"/>
      <c r="X122" s="31">
        <f>P122-T122</f>
        <v>102381.49999999942</v>
      </c>
      <c r="Y122" s="15"/>
      <c r="Z122" s="32">
        <f>IF(T122=0,0,X122/T122)</f>
        <v>0.36421203517799666</v>
      </c>
    </row>
    <row r="123" spans="1:26" ht="15.75" thickTop="1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9" t="s">
        <v>5</v>
      </c>
      <c r="C125" s="29"/>
      <c r="D125" s="34">
        <f>SUM(D122:D124)</f>
        <v>-71336.380000000019</v>
      </c>
      <c r="E125" s="14"/>
      <c r="F125" s="30">
        <f>IF(D$12=0,0,D125/D$12)</f>
        <v>-4.8660725309431498</v>
      </c>
      <c r="G125" s="14"/>
      <c r="H125" s="34">
        <f>SUM(H122:H124)</f>
        <v>-113257.53000000001</v>
      </c>
      <c r="I125" s="14"/>
      <c r="J125" s="30">
        <f>IF(H$12=0,0,H125/H$12)</f>
        <v>-8.2617867615949141</v>
      </c>
      <c r="K125" s="15"/>
      <c r="L125" s="34">
        <f>+D125-H125</f>
        <v>41921.149999999994</v>
      </c>
      <c r="M125" s="15"/>
      <c r="N125" s="30">
        <f>IF(H125=0,0,L125/H125)</f>
        <v>-0.37014006927398108</v>
      </c>
      <c r="O125" s="28"/>
      <c r="P125" s="34">
        <f>SUM(P122:P124)</f>
        <v>383485.60999999935</v>
      </c>
      <c r="Q125" s="14"/>
      <c r="R125" s="30">
        <f>IF(P$12=0,0,P125/P$12)</f>
        <v>0.13329100695555235</v>
      </c>
      <c r="S125" s="14"/>
      <c r="T125" s="34">
        <f>SUM(T122:T124)</f>
        <v>281104.10999999993</v>
      </c>
      <c r="U125" s="14"/>
      <c r="V125" s="30">
        <f>IF(T$12=0,0,T125/T$12)</f>
        <v>8.2718505860201158E-2</v>
      </c>
      <c r="W125" s="15"/>
      <c r="X125" s="34">
        <f>+P125-T125</f>
        <v>102381.49999999942</v>
      </c>
      <c r="Y125" s="15"/>
      <c r="Z125" s="30">
        <f>IF(T125=0,0,X125/T125)</f>
        <v>0.36421203517799666</v>
      </c>
    </row>
    <row r="126" spans="1:26" ht="15.75" thickTop="1" x14ac:dyDescent="0.25">
      <c r="A126" s="9"/>
      <c r="C126" s="9"/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  <row r="127" spans="1:26" x14ac:dyDescent="0.25">
      <c r="A127" s="9"/>
      <c r="B127" s="59">
        <v>43815.491309178244</v>
      </c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62" t="s">
        <v>313</v>
      </c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61"/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","311", " - ", "Textbooks")</f>
        <v>Department 311 - Textbooks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13126.559999999998</v>
      </c>
      <c r="E12" s="4"/>
      <c r="F12" s="12"/>
      <c r="G12" s="4"/>
      <c r="H12" s="4">
        <f>SUM(OSRRefH13x_0)</f>
        <v>12260.749999999998</v>
      </c>
      <c r="I12" s="4"/>
      <c r="J12" s="12"/>
      <c r="K12" s="4"/>
      <c r="L12" s="4">
        <f t="shared" ref="L12:L39" si="0">+D12-H12</f>
        <v>865.80999999999949</v>
      </c>
      <c r="M12" s="4"/>
      <c r="N12" s="12">
        <f t="shared" ref="N12:N39" si="1">IF(H12=0,0,L12/H12)</f>
        <v>7.0616397854943586E-2</v>
      </c>
      <c r="O12" s="10"/>
      <c r="P12" s="4">
        <f>SUM(OSRRefP13x_0)</f>
        <v>1974236.3099999998</v>
      </c>
      <c r="Q12" s="4"/>
      <c r="R12" s="12"/>
      <c r="S12" s="4"/>
      <c r="T12" s="4">
        <f>SUM(OSRRefT13x_0)</f>
        <v>2319985.1400000006</v>
      </c>
      <c r="U12" s="4"/>
      <c r="V12" s="12"/>
      <c r="W12" s="4"/>
      <c r="X12" s="4">
        <f t="shared" ref="X12:X39" si="2">+P12-T12</f>
        <v>-345748.83000000077</v>
      </c>
      <c r="Y12" s="4"/>
      <c r="Z12" s="12">
        <f t="shared" ref="Z12:Z39" si="3">IF(T12=0,0,X12/T12)</f>
        <v>-0.14903062267028172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--7536.29</f>
        <v>7536.29</v>
      </c>
      <c r="E13" s="2"/>
      <c r="F13" s="19"/>
      <c r="G13" s="2"/>
      <c r="H13" s="2">
        <f>--10982.25</f>
        <v>10982.25</v>
      </c>
      <c r="I13" s="2"/>
      <c r="J13" s="19"/>
      <c r="K13" s="2"/>
      <c r="L13" s="2">
        <f t="shared" si="0"/>
        <v>-3445.96</v>
      </c>
      <c r="M13" s="2"/>
      <c r="N13" s="19">
        <f t="shared" si="1"/>
        <v>-0.3137754103212001</v>
      </c>
      <c r="O13" s="11"/>
      <c r="P13" s="2">
        <f>--1246325.72</f>
        <v>1246325.72</v>
      </c>
      <c r="Q13" s="2"/>
      <c r="R13" s="19"/>
      <c r="S13" s="2"/>
      <c r="T13" s="2">
        <f>--1542396.45</f>
        <v>1542396.45</v>
      </c>
      <c r="U13" s="2"/>
      <c r="V13" s="19"/>
      <c r="W13" s="2"/>
      <c r="X13" s="2">
        <f t="shared" si="2"/>
        <v>-296070.73</v>
      </c>
      <c r="Y13" s="2"/>
      <c r="Z13" s="19">
        <f t="shared" si="3"/>
        <v>-0.19195501260392553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--3756.83</f>
        <v>3756.83</v>
      </c>
      <c r="E14" s="2"/>
      <c r="F14" s="19"/>
      <c r="G14" s="2"/>
      <c r="H14" s="2">
        <f>--224.75</f>
        <v>224.75</v>
      </c>
      <c r="I14" s="2"/>
      <c r="J14" s="19"/>
      <c r="K14" s="2"/>
      <c r="L14" s="2">
        <f t="shared" si="0"/>
        <v>3532.08</v>
      </c>
      <c r="M14" s="2"/>
      <c r="N14" s="19">
        <f t="shared" si="1"/>
        <v>15.715595105672969</v>
      </c>
      <c r="O14" s="11"/>
      <c r="P14" s="2">
        <f>--360519.48</f>
        <v>360519.48</v>
      </c>
      <c r="Q14" s="2"/>
      <c r="R14" s="19"/>
      <c r="S14" s="2"/>
      <c r="T14" s="2">
        <f>--361659.15</f>
        <v>361659.15</v>
      </c>
      <c r="U14" s="2"/>
      <c r="V14" s="19"/>
      <c r="W14" s="2"/>
      <c r="X14" s="2">
        <f t="shared" si="2"/>
        <v>-1139.6700000000419</v>
      </c>
      <c r="Y14" s="2"/>
      <c r="Z14" s="19">
        <f t="shared" si="3"/>
        <v>-3.1512267835613777E-3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--15844.66</f>
        <v>15844.66</v>
      </c>
      <c r="Q15" s="2"/>
      <c r="R15" s="19"/>
      <c r="S15" s="2"/>
      <c r="T15" s="2">
        <f>--9944.25</f>
        <v>9944.25</v>
      </c>
      <c r="U15" s="2"/>
      <c r="V15" s="19"/>
      <c r="W15" s="2"/>
      <c r="X15" s="2">
        <f t="shared" si="2"/>
        <v>5900.41</v>
      </c>
      <c r="Y15" s="2"/>
      <c r="Z15" s="19">
        <f t="shared" si="3"/>
        <v>0.59334892023028385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--119.4</f>
        <v>119.4</v>
      </c>
      <c r="E16" s="2"/>
      <c r="F16" s="19"/>
      <c r="G16" s="2"/>
      <c r="H16" s="2">
        <f>--345.04</f>
        <v>345.04</v>
      </c>
      <c r="I16" s="2"/>
      <c r="J16" s="19"/>
      <c r="K16" s="2"/>
      <c r="L16" s="2">
        <f t="shared" si="0"/>
        <v>-225.64000000000001</v>
      </c>
      <c r="M16" s="2"/>
      <c r="N16" s="19">
        <f t="shared" si="1"/>
        <v>-0.65395316485045207</v>
      </c>
      <c r="O16" s="11"/>
      <c r="P16" s="2">
        <f>--30279.88</f>
        <v>30279.88</v>
      </c>
      <c r="Q16" s="2"/>
      <c r="R16" s="19"/>
      <c r="S16" s="2"/>
      <c r="T16" s="2">
        <f>--42625.32</f>
        <v>42625.32</v>
      </c>
      <c r="U16" s="2"/>
      <c r="V16" s="19"/>
      <c r="W16" s="2"/>
      <c r="X16" s="2">
        <f t="shared" si="2"/>
        <v>-12345.439999999999</v>
      </c>
      <c r="Y16" s="2"/>
      <c r="Z16" s="19">
        <f t="shared" si="3"/>
        <v>-0.28962691658385203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>
        <f>--0.08</f>
        <v>0.08</v>
      </c>
      <c r="I17" s="2"/>
      <c r="J17" s="19"/>
      <c r="K17" s="2"/>
      <c r="L17" s="2">
        <f t="shared" si="0"/>
        <v>-0.08</v>
      </c>
      <c r="M17" s="2"/>
      <c r="N17" s="19">
        <f t="shared" si="1"/>
        <v>-1</v>
      </c>
      <c r="O17" s="11"/>
      <c r="P17" s="2">
        <f>--9.6</f>
        <v>9.6</v>
      </c>
      <c r="Q17" s="2"/>
      <c r="R17" s="19"/>
      <c r="S17" s="2"/>
      <c r="T17" s="2">
        <f>--5.31</f>
        <v>5.31</v>
      </c>
      <c r="U17" s="2"/>
      <c r="V17" s="19"/>
      <c r="W17" s="2"/>
      <c r="X17" s="2">
        <f t="shared" si="2"/>
        <v>4.29</v>
      </c>
      <c r="Y17" s="2"/>
      <c r="Z17" s="19">
        <f t="shared" si="3"/>
        <v>0.80790960451977412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--285.33</f>
        <v>285.33</v>
      </c>
      <c r="E18" s="2"/>
      <c r="F18" s="19"/>
      <c r="G18" s="2"/>
      <c r="H18" s="2">
        <f>--578.59</f>
        <v>578.59</v>
      </c>
      <c r="I18" s="2"/>
      <c r="J18" s="19"/>
      <c r="K18" s="2"/>
      <c r="L18" s="2">
        <f t="shared" si="0"/>
        <v>-293.26000000000005</v>
      </c>
      <c r="M18" s="2"/>
      <c r="N18" s="19">
        <f t="shared" si="1"/>
        <v>-0.50685286645120042</v>
      </c>
      <c r="O18" s="11"/>
      <c r="P18" s="2">
        <f>--1112.72</f>
        <v>1112.72</v>
      </c>
      <c r="Q18" s="2"/>
      <c r="R18" s="19"/>
      <c r="S18" s="2"/>
      <c r="T18" s="2">
        <f>--2587.08</f>
        <v>2587.08</v>
      </c>
      <c r="U18" s="2"/>
      <c r="V18" s="19"/>
      <c r="W18" s="2"/>
      <c r="X18" s="2">
        <f t="shared" si="2"/>
        <v>-1474.36</v>
      </c>
      <c r="Y18" s="2"/>
      <c r="Z18" s="19">
        <f t="shared" si="3"/>
        <v>-0.56989347063098161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--189.13</f>
        <v>189.13</v>
      </c>
      <c r="E19" s="2"/>
      <c r="F19" s="19"/>
      <c r="G19" s="2"/>
      <c r="H19" s="2">
        <f>--327.3</f>
        <v>327.3</v>
      </c>
      <c r="I19" s="2"/>
      <c r="J19" s="19"/>
      <c r="K19" s="2"/>
      <c r="L19" s="2">
        <f t="shared" si="0"/>
        <v>-138.17000000000002</v>
      </c>
      <c r="M19" s="2"/>
      <c r="N19" s="19">
        <f t="shared" si="1"/>
        <v>-0.42215093186678893</v>
      </c>
      <c r="O19" s="11"/>
      <c r="P19" s="2">
        <f>--883.35</f>
        <v>883.35</v>
      </c>
      <c r="Q19" s="2"/>
      <c r="R19" s="19"/>
      <c r="S19" s="2"/>
      <c r="T19" s="2">
        <f>--1143.92</f>
        <v>1143.92</v>
      </c>
      <c r="U19" s="2"/>
      <c r="V19" s="19"/>
      <c r="W19" s="2"/>
      <c r="X19" s="2">
        <f t="shared" si="2"/>
        <v>-260.57000000000005</v>
      </c>
      <c r="Y19" s="2"/>
      <c r="Z19" s="19">
        <f t="shared" si="3"/>
        <v>-0.2277869081753969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--277.82</f>
        <v>277.82</v>
      </c>
      <c r="E20" s="2"/>
      <c r="F20" s="19"/>
      <c r="G20" s="2"/>
      <c r="H20" s="2">
        <f>--289.77</f>
        <v>289.77</v>
      </c>
      <c r="I20" s="2"/>
      <c r="J20" s="19"/>
      <c r="K20" s="2"/>
      <c r="L20" s="2">
        <f t="shared" si="0"/>
        <v>-11.949999999999989</v>
      </c>
      <c r="M20" s="2"/>
      <c r="N20" s="19">
        <f t="shared" si="1"/>
        <v>-4.1239603823722229E-2</v>
      </c>
      <c r="O20" s="11"/>
      <c r="P20" s="2">
        <f>--2732.65</f>
        <v>2732.65</v>
      </c>
      <c r="Q20" s="2"/>
      <c r="R20" s="19"/>
      <c r="S20" s="2"/>
      <c r="T20" s="2">
        <f>--3719.55</f>
        <v>3719.55</v>
      </c>
      <c r="U20" s="2"/>
      <c r="V20" s="19"/>
      <c r="W20" s="2"/>
      <c r="X20" s="2">
        <f t="shared" si="2"/>
        <v>-986.90000000000009</v>
      </c>
      <c r="Y20" s="2"/>
      <c r="Z20" s="19">
        <f t="shared" si="3"/>
        <v>-0.26532779502896858</v>
      </c>
    </row>
    <row r="21" spans="1:26" s="24" customFormat="1" hidden="1" outlineLevel="1" x14ac:dyDescent="0.25">
      <c r="A21" s="44"/>
      <c r="B21" s="11" t="str">
        <f>CONCATENATE("          ", "4101", " - ", "NON-TAXABLE SALES-NEW TEXT")</f>
        <v xml:space="preserve">          4101 - NON-TAXABLE SALES-NEW TEXT</v>
      </c>
      <c r="C21" s="11"/>
      <c r="D21" s="2">
        <f>--349.66</f>
        <v>349.66</v>
      </c>
      <c r="E21" s="2"/>
      <c r="F21" s="19"/>
      <c r="G21" s="2"/>
      <c r="H21" s="2">
        <f>--643.05</f>
        <v>643.04999999999995</v>
      </c>
      <c r="I21" s="2"/>
      <c r="J21" s="19"/>
      <c r="K21" s="2"/>
      <c r="L21" s="2">
        <f t="shared" si="0"/>
        <v>-293.38999999999993</v>
      </c>
      <c r="M21" s="2"/>
      <c r="N21" s="19">
        <f t="shared" si="1"/>
        <v>-0.45624757017339235</v>
      </c>
      <c r="O21" s="11"/>
      <c r="P21" s="2">
        <f>--92680.75</f>
        <v>92680.75</v>
      </c>
      <c r="Q21" s="2"/>
      <c r="R21" s="19"/>
      <c r="S21" s="2"/>
      <c r="T21" s="2">
        <f>--148652.33</f>
        <v>148652.32999999999</v>
      </c>
      <c r="U21" s="2"/>
      <c r="V21" s="19"/>
      <c r="W21" s="2"/>
      <c r="X21" s="2">
        <f t="shared" si="2"/>
        <v>-55971.579999999987</v>
      </c>
      <c r="Y21" s="2"/>
      <c r="Z21" s="19">
        <f t="shared" si="3"/>
        <v>-0.37652675878003389</v>
      </c>
    </row>
    <row r="22" spans="1:26" s="24" customFormat="1" hidden="1" outlineLevel="1" x14ac:dyDescent="0.25">
      <c r="A22" s="44"/>
      <c r="B22" s="11" t="str">
        <f>CONCATENATE("          ", "4102", " - ", "NON-TAXABLE SALES-USED TEXT")</f>
        <v xml:space="preserve">          4102 - NON-TAXABLE SALES-USED TEXT</v>
      </c>
      <c r="C22" s="11"/>
      <c r="D22" s="2">
        <f>--584.52</f>
        <v>584.52</v>
      </c>
      <c r="E22" s="2"/>
      <c r="F22" s="19"/>
      <c r="G22" s="2"/>
      <c r="H22" s="2">
        <f>--365.45</f>
        <v>365.45</v>
      </c>
      <c r="I22" s="2"/>
      <c r="J22" s="19"/>
      <c r="K22" s="2"/>
      <c r="L22" s="2">
        <f t="shared" si="0"/>
        <v>219.07</v>
      </c>
      <c r="M22" s="2"/>
      <c r="N22" s="19">
        <f t="shared" si="1"/>
        <v>0.59945272951156114</v>
      </c>
      <c r="O22" s="11"/>
      <c r="P22" s="2">
        <f>--37606.84</f>
        <v>37606.839999999997</v>
      </c>
      <c r="Q22" s="2"/>
      <c r="R22" s="19"/>
      <c r="S22" s="2"/>
      <c r="T22" s="2">
        <f>--50860.62</f>
        <v>50860.62</v>
      </c>
      <c r="U22" s="2"/>
      <c r="V22" s="19"/>
      <c r="W22" s="2"/>
      <c r="X22" s="2">
        <f t="shared" si="2"/>
        <v>-13253.780000000006</v>
      </c>
      <c r="Y22" s="2"/>
      <c r="Z22" s="19">
        <f t="shared" si="3"/>
        <v>-0.2605902169497738</v>
      </c>
    </row>
    <row r="23" spans="1:26" s="24" customFormat="1" hidden="1" outlineLevel="1" x14ac:dyDescent="0.25">
      <c r="A23" s="44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--329.98</f>
        <v>329.98</v>
      </c>
      <c r="Q23" s="2"/>
      <c r="R23" s="19"/>
      <c r="S23" s="2"/>
      <c r="T23" s="2">
        <f>--509.85</f>
        <v>509.85</v>
      </c>
      <c r="U23" s="2"/>
      <c r="V23" s="19"/>
      <c r="W23" s="2"/>
      <c r="X23" s="2">
        <f t="shared" si="2"/>
        <v>-179.87</v>
      </c>
      <c r="Y23" s="2"/>
      <c r="Z23" s="19">
        <f t="shared" si="3"/>
        <v>-0.35279003628518191</v>
      </c>
    </row>
    <row r="24" spans="1:26" s="24" customFormat="1" hidden="1" outlineLevel="1" x14ac:dyDescent="0.25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--206.24</f>
        <v>206.24</v>
      </c>
      <c r="E24" s="2"/>
      <c r="F24" s="19"/>
      <c r="G24" s="2"/>
      <c r="H24" s="2">
        <f>--397.48</f>
        <v>397.48</v>
      </c>
      <c r="I24" s="2"/>
      <c r="J24" s="19"/>
      <c r="K24" s="2"/>
      <c r="L24" s="2">
        <f t="shared" si="0"/>
        <v>-191.24</v>
      </c>
      <c r="M24" s="2"/>
      <c r="N24" s="19">
        <f t="shared" si="1"/>
        <v>-0.48113112609439468</v>
      </c>
      <c r="O24" s="11"/>
      <c r="P24" s="2">
        <f>--320699.09</f>
        <v>320699.09000000003</v>
      </c>
      <c r="Q24" s="2"/>
      <c r="R24" s="19"/>
      <c r="S24" s="2"/>
      <c r="T24" s="2">
        <f>--337723.61</f>
        <v>337723.61</v>
      </c>
      <c r="U24" s="2"/>
      <c r="V24" s="19"/>
      <c r="W24" s="2"/>
      <c r="X24" s="2">
        <f t="shared" si="2"/>
        <v>-17024.51999999996</v>
      </c>
      <c r="Y24" s="2"/>
      <c r="Z24" s="19">
        <f t="shared" si="3"/>
        <v>-5.0409623419576624E-2</v>
      </c>
    </row>
    <row r="25" spans="1:26" s="24" customFormat="1" hidden="1" outlineLevel="1" x14ac:dyDescent="0.25">
      <c r="A25" s="44"/>
      <c r="B25" s="11" t="str">
        <f>CONCATENATE("          ", "4111", " - ", "NON-TAXABLE SALES-NO VALUE TEX")</f>
        <v xml:space="preserve">          4111 - NON-TAXABLE SALES-NO VALUE TEX</v>
      </c>
      <c r="C25" s="11"/>
      <c r="D25" s="2">
        <f>--492.72</f>
        <v>492.72</v>
      </c>
      <c r="E25" s="2"/>
      <c r="F25" s="19"/>
      <c r="G25" s="2"/>
      <c r="H25" s="2">
        <f>--204.07</f>
        <v>204.07</v>
      </c>
      <c r="I25" s="2"/>
      <c r="J25" s="19"/>
      <c r="K25" s="2"/>
      <c r="L25" s="2">
        <f t="shared" si="0"/>
        <v>288.65000000000003</v>
      </c>
      <c r="M25" s="2"/>
      <c r="N25" s="19">
        <f t="shared" si="1"/>
        <v>1.4144656245405991</v>
      </c>
      <c r="O25" s="11"/>
      <c r="P25" s="2">
        <f>--7592.19</f>
        <v>7592.19</v>
      </c>
      <c r="Q25" s="2"/>
      <c r="R25" s="19"/>
      <c r="S25" s="2"/>
      <c r="T25" s="2">
        <f>--9917.98</f>
        <v>9917.98</v>
      </c>
      <c r="U25" s="2"/>
      <c r="V25" s="19"/>
      <c r="W25" s="2"/>
      <c r="X25" s="2">
        <f t="shared" si="2"/>
        <v>-2325.79</v>
      </c>
      <c r="Y25" s="2"/>
      <c r="Z25" s="19">
        <f t="shared" si="3"/>
        <v>-0.23450238859122524</v>
      </c>
    </row>
    <row r="26" spans="1:26" s="24" customFormat="1" hidden="1" outlineLevel="1" x14ac:dyDescent="0.2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--1146.72</f>
        <v>1146.72</v>
      </c>
      <c r="Q26" s="2"/>
      <c r="R26" s="19"/>
      <c r="S26" s="2"/>
      <c r="T26" s="2">
        <f>--38.23</f>
        <v>38.229999999999997</v>
      </c>
      <c r="U26" s="2"/>
      <c r="V26" s="19"/>
      <c r="W26" s="2"/>
      <c r="X26" s="2">
        <f t="shared" si="2"/>
        <v>1108.49</v>
      </c>
      <c r="Y26" s="2"/>
      <c r="Z26" s="19">
        <f t="shared" si="3"/>
        <v>28.995291655767723</v>
      </c>
    </row>
    <row r="27" spans="1:26" s="24" customFormat="1" hidden="1" outlineLevel="1" x14ac:dyDescent="0.25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--14.04</f>
        <v>14.04</v>
      </c>
      <c r="E27" s="2"/>
      <c r="F27" s="19"/>
      <c r="G27" s="2"/>
      <c r="H27" s="2">
        <f>--10.34</f>
        <v>10.34</v>
      </c>
      <c r="I27" s="2"/>
      <c r="J27" s="19"/>
      <c r="K27" s="2"/>
      <c r="L27" s="2">
        <f t="shared" si="0"/>
        <v>3.6999999999999993</v>
      </c>
      <c r="M27" s="2"/>
      <c r="N27" s="19">
        <f t="shared" si="1"/>
        <v>0.35783365570599607</v>
      </c>
      <c r="O27" s="11"/>
      <c r="P27" s="2">
        <f>--34.96</f>
        <v>34.96</v>
      </c>
      <c r="Q27" s="2"/>
      <c r="R27" s="19"/>
      <c r="S27" s="2"/>
      <c r="T27" s="2">
        <f>--121.75</f>
        <v>121.75</v>
      </c>
      <c r="U27" s="2"/>
      <c r="V27" s="19"/>
      <c r="W27" s="2"/>
      <c r="X27" s="2">
        <f t="shared" si="2"/>
        <v>-86.789999999999992</v>
      </c>
      <c r="Y27" s="2"/>
      <c r="Z27" s="19">
        <f t="shared" si="3"/>
        <v>-0.7128542094455852</v>
      </c>
    </row>
    <row r="28" spans="1:26" s="24" customFormat="1" hidden="1" outlineLevel="1" x14ac:dyDescent="0.25">
      <c r="A28" s="44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-314.9</f>
        <v>-314.89999999999998</v>
      </c>
      <c r="E28" s="2"/>
      <c r="F28" s="19"/>
      <c r="G28" s="2"/>
      <c r="H28" s="2">
        <f>-829.9</f>
        <v>-829.9</v>
      </c>
      <c r="I28" s="2"/>
      <c r="J28" s="19"/>
      <c r="K28" s="2"/>
      <c r="L28" s="2">
        <f t="shared" si="0"/>
        <v>515</v>
      </c>
      <c r="M28" s="2"/>
      <c r="N28" s="19">
        <f t="shared" si="1"/>
        <v>-0.62055669357753951</v>
      </c>
      <c r="O28" s="11"/>
      <c r="P28" s="2">
        <f>-78098.57</f>
        <v>-78098.570000000007</v>
      </c>
      <c r="Q28" s="2"/>
      <c r="R28" s="19"/>
      <c r="S28" s="2"/>
      <c r="T28" s="2">
        <f>-112562.57</f>
        <v>-112562.57</v>
      </c>
      <c r="U28" s="2"/>
      <c r="V28" s="19"/>
      <c r="W28" s="2"/>
      <c r="X28" s="2">
        <f t="shared" si="2"/>
        <v>34464</v>
      </c>
      <c r="Y28" s="2"/>
      <c r="Z28" s="19">
        <f t="shared" si="3"/>
        <v>-0.30617637816904852</v>
      </c>
    </row>
    <row r="29" spans="1:26" s="24" customFormat="1" hidden="1" outlineLevel="1" x14ac:dyDescent="0.25">
      <c r="A29" s="44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-113.2</f>
        <v>-113.2</v>
      </c>
      <c r="E29" s="2"/>
      <c r="F29" s="19"/>
      <c r="G29" s="2"/>
      <c r="H29" s="2">
        <f>-368.75</f>
        <v>-368.75</v>
      </c>
      <c r="I29" s="2"/>
      <c r="J29" s="19"/>
      <c r="K29" s="2"/>
      <c r="L29" s="2">
        <f t="shared" si="0"/>
        <v>255.55</v>
      </c>
      <c r="M29" s="2"/>
      <c r="N29" s="19">
        <f t="shared" si="1"/>
        <v>-0.69301694915254242</v>
      </c>
      <c r="O29" s="11"/>
      <c r="P29" s="2">
        <f>-27042.2</f>
        <v>-27042.2</v>
      </c>
      <c r="Q29" s="2"/>
      <c r="R29" s="19"/>
      <c r="S29" s="2"/>
      <c r="T29" s="2">
        <f>-29468.4</f>
        <v>-29468.400000000001</v>
      </c>
      <c r="U29" s="2"/>
      <c r="V29" s="19"/>
      <c r="W29" s="2"/>
      <c r="X29" s="2">
        <f t="shared" si="2"/>
        <v>2426.2000000000007</v>
      </c>
      <c r="Y29" s="2"/>
      <c r="Z29" s="19">
        <f t="shared" si="3"/>
        <v>-8.2332260998221843E-2</v>
      </c>
    </row>
    <row r="30" spans="1:26" s="24" customFormat="1" hidden="1" outlineLevel="1" x14ac:dyDescent="0.25">
      <c r="A30" s="44"/>
      <c r="B30" s="11" t="str">
        <f>CONCATENATE("          ", "4203", " - ", "SALES RETURN TAXABLE-RENTAL TE")</f>
        <v xml:space="preserve">          4203 - SALES RETURN TAXABLE-RENTAL TE</v>
      </c>
      <c r="C30" s="11"/>
      <c r="D30" s="2">
        <f>0</f>
        <v>0</v>
      </c>
      <c r="E30" s="2"/>
      <c r="F30" s="19"/>
      <c r="G30" s="2"/>
      <c r="H30" s="2">
        <f>-169.95</f>
        <v>-169.95</v>
      </c>
      <c r="I30" s="2"/>
      <c r="J30" s="19"/>
      <c r="K30" s="2"/>
      <c r="L30" s="2">
        <f t="shared" si="0"/>
        <v>169.95</v>
      </c>
      <c r="M30" s="2"/>
      <c r="N30" s="19">
        <f t="shared" si="1"/>
        <v>-1</v>
      </c>
      <c r="O30" s="11"/>
      <c r="P30" s="2">
        <f>-144.99</f>
        <v>-144.99</v>
      </c>
      <c r="Q30" s="2"/>
      <c r="R30" s="19"/>
      <c r="S30" s="2"/>
      <c r="T30" s="2">
        <f>-1699.5</f>
        <v>-1699.5</v>
      </c>
      <c r="U30" s="2"/>
      <c r="V30" s="19"/>
      <c r="W30" s="2"/>
      <c r="X30" s="2">
        <f t="shared" si="2"/>
        <v>1554.51</v>
      </c>
      <c r="Y30" s="2"/>
      <c r="Z30" s="19">
        <f t="shared" si="3"/>
        <v>-0.9146866725507502</v>
      </c>
    </row>
    <row r="31" spans="1:26" s="24" customFormat="1" hidden="1" outlineLevel="1" x14ac:dyDescent="0.25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>-119.4</f>
        <v>-119.4</v>
      </c>
      <c r="E31" s="2"/>
      <c r="F31" s="19"/>
      <c r="G31" s="2"/>
      <c r="H31" s="2">
        <f>-487.29</f>
        <v>-487.29</v>
      </c>
      <c r="I31" s="2"/>
      <c r="J31" s="19"/>
      <c r="K31" s="2"/>
      <c r="L31" s="2">
        <f t="shared" si="0"/>
        <v>367.89</v>
      </c>
      <c r="M31" s="2"/>
      <c r="N31" s="19">
        <f t="shared" si="1"/>
        <v>-0.75497137228344513</v>
      </c>
      <c r="O31" s="11"/>
      <c r="P31" s="2">
        <f>-11369.46</f>
        <v>-11369.46</v>
      </c>
      <c r="Q31" s="2"/>
      <c r="R31" s="19"/>
      <c r="S31" s="2"/>
      <c r="T31" s="2">
        <f>-15987.07</f>
        <v>-15987.07</v>
      </c>
      <c r="U31" s="2"/>
      <c r="V31" s="19"/>
      <c r="W31" s="2"/>
      <c r="X31" s="2">
        <f t="shared" si="2"/>
        <v>4617.6100000000006</v>
      </c>
      <c r="Y31" s="2"/>
      <c r="Z31" s="19">
        <f t="shared" si="3"/>
        <v>-0.28883403900777321</v>
      </c>
    </row>
    <row r="32" spans="1:26" s="24" customFormat="1" hidden="1" outlineLevel="1" x14ac:dyDescent="0.25">
      <c r="A32" s="44"/>
      <c r="B32" s="11" t="str">
        <f>CONCATENATE("          ", "4213", " - ", "NON-TAXABLE SALES-TRADE BOOKS")</f>
        <v xml:space="preserve">          4213 - NON-TAXABLE SALES-TRADE BOOKS</v>
      </c>
      <c r="C32" s="11"/>
      <c r="D32" s="2">
        <f>-67.34</f>
        <v>-67.34</v>
      </c>
      <c r="E32" s="2"/>
      <c r="F32" s="19"/>
      <c r="G32" s="2"/>
      <c r="H32" s="2">
        <f>-81.96</f>
        <v>-81.96</v>
      </c>
      <c r="I32" s="2"/>
      <c r="J32" s="19"/>
      <c r="K32" s="2"/>
      <c r="L32" s="2">
        <f t="shared" si="0"/>
        <v>14.61999999999999</v>
      </c>
      <c r="M32" s="2"/>
      <c r="N32" s="19">
        <f t="shared" si="1"/>
        <v>-0.17837969741337228</v>
      </c>
      <c r="O32" s="11"/>
      <c r="P32" s="2">
        <f>-102.71</f>
        <v>-102.71</v>
      </c>
      <c r="Q32" s="2"/>
      <c r="R32" s="19"/>
      <c r="S32" s="2"/>
      <c r="T32" s="2">
        <f>-96.96</f>
        <v>-96.96</v>
      </c>
      <c r="U32" s="2"/>
      <c r="V32" s="19"/>
      <c r="W32" s="2"/>
      <c r="X32" s="2">
        <f t="shared" si="2"/>
        <v>-5.75</v>
      </c>
      <c r="Y32" s="2"/>
      <c r="Z32" s="19">
        <f t="shared" si="3"/>
        <v>5.9302805280528059E-2</v>
      </c>
    </row>
    <row r="33" spans="1:26" s="24" customFormat="1" hidden="1" outlineLevel="1" x14ac:dyDescent="0.25">
      <c r="A33" s="44"/>
      <c r="B33" s="11" t="str">
        <f>CONCATENATE("          ", "4214", " - ", "SALES RETURN TAXABLE-REMAINDER")</f>
        <v xml:space="preserve">          4214 - SALES RETURN TAXABLE-REMAINDER</v>
      </c>
      <c r="C33" s="11"/>
      <c r="D33" s="2">
        <f t="shared" ref="D33:D37" si="4">0</f>
        <v>0</v>
      </c>
      <c r="E33" s="2"/>
      <c r="F33" s="19"/>
      <c r="G33" s="2"/>
      <c r="H33" s="2">
        <f>-3.95</f>
        <v>-3.95</v>
      </c>
      <c r="I33" s="2"/>
      <c r="J33" s="19"/>
      <c r="K33" s="2"/>
      <c r="L33" s="2">
        <f t="shared" si="0"/>
        <v>3.95</v>
      </c>
      <c r="M33" s="2"/>
      <c r="N33" s="19">
        <f t="shared" si="1"/>
        <v>-1</v>
      </c>
      <c r="O33" s="11"/>
      <c r="P33" s="2">
        <f>0</f>
        <v>0</v>
      </c>
      <c r="Q33" s="2"/>
      <c r="R33" s="19"/>
      <c r="S33" s="2"/>
      <c r="T33" s="2">
        <f>-3.95</f>
        <v>-3.95</v>
      </c>
      <c r="U33" s="2"/>
      <c r="V33" s="19"/>
      <c r="W33" s="2"/>
      <c r="X33" s="2">
        <f t="shared" si="2"/>
        <v>3.95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"4218", " - ", "SALES RETURN TAXABLE-STUDY GUI")</f>
        <v xml:space="preserve">          4218 - SALES RETURN TAXABLE-STUDY GUI</v>
      </c>
      <c r="C34" s="11"/>
      <c r="D34" s="2">
        <f t="shared" si="4"/>
        <v>0</v>
      </c>
      <c r="E34" s="2"/>
      <c r="F34" s="19"/>
      <c r="G34" s="2"/>
      <c r="H34" s="2">
        <f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-32.75</f>
        <v>-32.75</v>
      </c>
      <c r="Q34" s="2"/>
      <c r="R34" s="19"/>
      <c r="S34" s="2"/>
      <c r="T34" s="2">
        <f>-22.9</f>
        <v>-22.9</v>
      </c>
      <c r="U34" s="2"/>
      <c r="V34" s="19"/>
      <c r="W34" s="2"/>
      <c r="X34" s="2">
        <f t="shared" si="2"/>
        <v>-9.8500000000000014</v>
      </c>
      <c r="Y34" s="2"/>
      <c r="Z34" s="19">
        <f t="shared" si="3"/>
        <v>0.43013100436681234</v>
      </c>
    </row>
    <row r="35" spans="1:26" s="24" customFormat="1" hidden="1" outlineLevel="1" x14ac:dyDescent="0.25">
      <c r="A35" s="44"/>
      <c r="B35" s="11" t="str">
        <f>CONCATENATE("          ", "4301", " - ", "SALES RETURN NON TAXABLE-NEW T")</f>
        <v xml:space="preserve">          4301 - SALES RETURN NON TAXABLE-NEW T</v>
      </c>
      <c r="C35" s="11"/>
      <c r="D35" s="2">
        <f t="shared" si="4"/>
        <v>0</v>
      </c>
      <c r="E35" s="2"/>
      <c r="F35" s="19"/>
      <c r="G35" s="2"/>
      <c r="H35" s="2">
        <f>-111.62</f>
        <v>-111.62</v>
      </c>
      <c r="I35" s="2"/>
      <c r="J35" s="19"/>
      <c r="K35" s="2"/>
      <c r="L35" s="2">
        <f t="shared" si="0"/>
        <v>111.62</v>
      </c>
      <c r="M35" s="2"/>
      <c r="N35" s="19">
        <f t="shared" si="1"/>
        <v>-1</v>
      </c>
      <c r="O35" s="11"/>
      <c r="P35" s="2">
        <f>-12310.98</f>
        <v>-12310.98</v>
      </c>
      <c r="Q35" s="2"/>
      <c r="R35" s="19"/>
      <c r="S35" s="2"/>
      <c r="T35" s="2">
        <f>-25032.99</f>
        <v>-25032.99</v>
      </c>
      <c r="U35" s="2"/>
      <c r="V35" s="19"/>
      <c r="W35" s="2"/>
      <c r="X35" s="2">
        <f t="shared" si="2"/>
        <v>12722.010000000002</v>
      </c>
      <c r="Y35" s="2"/>
      <c r="Z35" s="19">
        <f t="shared" si="3"/>
        <v>-0.50820976639226878</v>
      </c>
    </row>
    <row r="36" spans="1:26" s="24" customFormat="1" hidden="1" outlineLevel="1" x14ac:dyDescent="0.25">
      <c r="A36" s="44"/>
      <c r="B36" s="11" t="str">
        <f>CONCATENATE("          ", "4302", " - ", "SALES RETURN NON TAXABLE-TEXT")</f>
        <v xml:space="preserve">          4302 - SALES RETURN NON TAXABLE-TEXT</v>
      </c>
      <c r="C36" s="11"/>
      <c r="D36" s="2">
        <f t="shared" si="4"/>
        <v>0</v>
      </c>
      <c r="E36" s="2"/>
      <c r="F36" s="19"/>
      <c r="G36" s="2"/>
      <c r="H36" s="2">
        <f>-54</f>
        <v>-54</v>
      </c>
      <c r="I36" s="2"/>
      <c r="J36" s="19"/>
      <c r="K36" s="2"/>
      <c r="L36" s="2">
        <f t="shared" si="0"/>
        <v>54</v>
      </c>
      <c r="M36" s="2"/>
      <c r="N36" s="19">
        <f t="shared" si="1"/>
        <v>-1</v>
      </c>
      <c r="O36" s="11"/>
      <c r="P36" s="2">
        <f>-683.8</f>
        <v>-683.8</v>
      </c>
      <c r="Q36" s="2"/>
      <c r="R36" s="19"/>
      <c r="S36" s="2"/>
      <c r="T36" s="2">
        <f>-2206.04</f>
        <v>-2206.04</v>
      </c>
      <c r="U36" s="2"/>
      <c r="V36" s="19"/>
      <c r="W36" s="2"/>
      <c r="X36" s="2">
        <f t="shared" si="2"/>
        <v>1522.24</v>
      </c>
      <c r="Y36" s="2"/>
      <c r="Z36" s="19">
        <f t="shared" si="3"/>
        <v>-0.69003281898786972</v>
      </c>
    </row>
    <row r="37" spans="1:26" s="24" customFormat="1" hidden="1" outlineLevel="1" x14ac:dyDescent="0.25">
      <c r="A37" s="44"/>
      <c r="B37" s="11" t="str">
        <f>CONCATENATE("          ", "4303", " - ", "SALES RETURN NON-TAXABLE-RENTA")</f>
        <v xml:space="preserve">          4303 - SALES RETURN NON-TAXABLE-RENTA</v>
      </c>
      <c r="C37" s="11"/>
      <c r="D37" s="2">
        <f t="shared" si="4"/>
        <v>0</v>
      </c>
      <c r="E37" s="2"/>
      <c r="F37" s="19"/>
      <c r="G37" s="2"/>
      <c r="H37" s="2">
        <f t="shared" ref="H37:H39" si="5"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-184.99</f>
        <v>-184.99</v>
      </c>
      <c r="Q37" s="2"/>
      <c r="R37" s="19"/>
      <c r="S37" s="2"/>
      <c r="T37" s="2">
        <f>-509.85</f>
        <v>-509.85</v>
      </c>
      <c r="U37" s="2"/>
      <c r="V37" s="19"/>
      <c r="W37" s="2"/>
      <c r="X37" s="2">
        <f t="shared" si="2"/>
        <v>324.86</v>
      </c>
      <c r="Y37" s="2"/>
      <c r="Z37" s="19">
        <f t="shared" si="3"/>
        <v>-0.63716779444934779</v>
      </c>
    </row>
    <row r="38" spans="1:26" s="24" customFormat="1" hidden="1" outlineLevel="1" x14ac:dyDescent="0.25">
      <c r="A38" s="44"/>
      <c r="B38" s="11" t="str">
        <f>CONCATENATE("          ", "4304", " - ", "SALES RETURN NON TAXABLE-DIGIT")</f>
        <v xml:space="preserve">          4304 - SALES RETURN NON TAXABLE-DIGIT</v>
      </c>
      <c r="C38" s="11"/>
      <c r="D38" s="2">
        <f>-70.58</f>
        <v>-70.58</v>
      </c>
      <c r="E38" s="2"/>
      <c r="F38" s="19"/>
      <c r="G38" s="2"/>
      <c r="H38" s="2">
        <f t="shared" si="5"/>
        <v>0</v>
      </c>
      <c r="I38" s="2"/>
      <c r="J38" s="19"/>
      <c r="K38" s="2"/>
      <c r="L38" s="2">
        <f t="shared" si="0"/>
        <v>-70.58</v>
      </c>
      <c r="M38" s="2"/>
      <c r="N38" s="19">
        <f t="shared" si="1"/>
        <v>0</v>
      </c>
      <c r="O38" s="11"/>
      <c r="P38" s="2">
        <f>-13203.87</f>
        <v>-13203.87</v>
      </c>
      <c r="Q38" s="2"/>
      <c r="R38" s="19"/>
      <c r="S38" s="2"/>
      <c r="T38" s="2">
        <f>-3743.75</f>
        <v>-3743.75</v>
      </c>
      <c r="U38" s="2"/>
      <c r="V38" s="19"/>
      <c r="W38" s="2"/>
      <c r="X38" s="2">
        <f t="shared" si="2"/>
        <v>-9460.1200000000008</v>
      </c>
      <c r="Y38" s="2"/>
      <c r="Z38" s="19">
        <f t="shared" si="3"/>
        <v>2.5269101836393992</v>
      </c>
    </row>
    <row r="39" spans="1:26" s="24" customFormat="1" hidden="1" outlineLevel="1" x14ac:dyDescent="0.25">
      <c r="A39" s="44"/>
      <c r="B39" s="11" t="str">
        <f>CONCATENATE("          ", "4311", " - ", "SALES RETURN NON TAXABLE-NO VA")</f>
        <v xml:space="preserve">          4311 - SALES RETURN NON TAXABLE-NO VA</v>
      </c>
      <c r="C39" s="11"/>
      <c r="D39" s="2">
        <f>0</f>
        <v>0</v>
      </c>
      <c r="E39" s="2"/>
      <c r="F39" s="19"/>
      <c r="G39" s="2"/>
      <c r="H39" s="2">
        <f t="shared" si="5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-387.96</f>
        <v>-387.96</v>
      </c>
      <c r="Q39" s="2"/>
      <c r="R39" s="19"/>
      <c r="S39" s="2"/>
      <c r="T39" s="2">
        <f>-586.28</f>
        <v>-586.28</v>
      </c>
      <c r="U39" s="2"/>
      <c r="V39" s="19"/>
      <c r="W39" s="2"/>
      <c r="X39" s="2">
        <f t="shared" si="2"/>
        <v>198.32</v>
      </c>
      <c r="Y39" s="2"/>
      <c r="Z39" s="19">
        <f t="shared" si="3"/>
        <v>-0.33826840417547932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collapsed="1" x14ac:dyDescent="0.25">
      <c r="A41" s="10"/>
      <c r="B41" s="28" t="s">
        <v>8</v>
      </c>
      <c r="C41" s="10"/>
      <c r="D41" s="4">
        <f>SUM(OSRRefD16x_0)</f>
        <v>20378.790000000041</v>
      </c>
      <c r="E41" s="4"/>
      <c r="F41" s="12">
        <f t="shared" ref="F41:F57" si="6">IF(D$12=0,0,D41/D$12)</f>
        <v>1.5524851903316668</v>
      </c>
      <c r="G41" s="4"/>
      <c r="H41" s="4">
        <f>SUM(OSRRefH16x_0)</f>
        <v>20400.02</v>
      </c>
      <c r="I41" s="4"/>
      <c r="J41" s="12">
        <f t="shared" ref="J41:J57" si="7">IF(H$12=0,0,H41/H$12)</f>
        <v>1.663847643904329</v>
      </c>
      <c r="K41" s="4"/>
      <c r="L41" s="4">
        <f t="shared" ref="L41:L57" si="8">+D41-H41</f>
        <v>-21.229999999959546</v>
      </c>
      <c r="M41" s="4"/>
      <c r="N41" s="12">
        <f t="shared" ref="N41:N57" si="9">IF(H41=0,0,L41/H41)</f>
        <v>-1.0406852542281598E-3</v>
      </c>
      <c r="O41" s="10"/>
      <c r="P41" s="4">
        <f>SUM(OSRRefP16x_0)</f>
        <v>1438761.61</v>
      </c>
      <c r="Q41" s="4"/>
      <c r="R41" s="12">
        <f t="shared" ref="R41:R57" si="10">IF(P$12=0,0,P41/P$12)</f>
        <v>0.72876869030941904</v>
      </c>
      <c r="S41" s="4"/>
      <c r="T41" s="4">
        <f>SUM(OSRRefT16x_0)</f>
        <v>1710743.3</v>
      </c>
      <c r="U41" s="4"/>
      <c r="V41" s="12">
        <f t="shared" ref="V41:V57" si="11">IF(T$12=0,0,T41/T$12)</f>
        <v>0.73739407658447309</v>
      </c>
      <c r="W41" s="4"/>
      <c r="X41" s="4">
        <f t="shared" ref="X41:X57" si="12">+P41-T41</f>
        <v>-271981.68999999994</v>
      </c>
      <c r="Y41" s="4"/>
      <c r="Z41" s="12">
        <f t="shared" ref="Z41:Z57" si="13">IF(T41=0,0,X41/T41)</f>
        <v>-0.15898451275536191</v>
      </c>
    </row>
    <row r="42" spans="1:26" s="24" customFormat="1" hidden="1" outlineLevel="1" x14ac:dyDescent="0.25">
      <c r="A42" s="44"/>
      <c r="B42" s="11" t="str">
        <f>CONCATENATE("          ", "5001", " - ", "PURCHASES @ COST-NEW TEXT")</f>
        <v xml:space="preserve">          5001 - PURCHASES @ COST-NEW TEXT</v>
      </c>
      <c r="C42" s="11"/>
      <c r="D42" s="2">
        <v>-176066.31999999998</v>
      </c>
      <c r="E42" s="2"/>
      <c r="F42" s="19">
        <f t="shared" si="6"/>
        <v>-13.412982533123683</v>
      </c>
      <c r="G42" s="2"/>
      <c r="H42" s="2">
        <v>-3719.45</v>
      </c>
      <c r="I42" s="2"/>
      <c r="J42" s="19">
        <f t="shared" si="7"/>
        <v>-0.30336235548396306</v>
      </c>
      <c r="K42" s="2"/>
      <c r="L42" s="2">
        <f t="shared" si="8"/>
        <v>-172346.86999999997</v>
      </c>
      <c r="M42" s="2"/>
      <c r="N42" s="19">
        <f t="shared" si="9"/>
        <v>46.336654612913193</v>
      </c>
      <c r="O42" s="11"/>
      <c r="P42" s="2">
        <v>1272781.8299999998</v>
      </c>
      <c r="Q42" s="2"/>
      <c r="R42" s="19">
        <f t="shared" si="10"/>
        <v>0.64469578618985079</v>
      </c>
      <c r="S42" s="2"/>
      <c r="T42" s="2">
        <v>1361065.48</v>
      </c>
      <c r="U42" s="2"/>
      <c r="V42" s="19">
        <f t="shared" si="11"/>
        <v>0.58666991289435566</v>
      </c>
      <c r="W42" s="2"/>
      <c r="X42" s="2">
        <f t="shared" si="12"/>
        <v>-88283.65000000014</v>
      </c>
      <c r="Y42" s="2"/>
      <c r="Z42" s="19">
        <f t="shared" si="13"/>
        <v>-6.48636316894909E-2</v>
      </c>
    </row>
    <row r="43" spans="1:26" s="24" customFormat="1" hidden="1" outlineLevel="1" x14ac:dyDescent="0.25">
      <c r="A43" s="44"/>
      <c r="B43" s="11" t="str">
        <f>CONCATENATE("          ", "5002", " - ", "PURCHASES @ COST-USED TEXT")</f>
        <v xml:space="preserve">          5002 - PURCHASES @ COST-USED TEXT</v>
      </c>
      <c r="C43" s="11"/>
      <c r="D43" s="2">
        <v>-155583.76999999999</v>
      </c>
      <c r="E43" s="2"/>
      <c r="F43" s="19">
        <f t="shared" si="6"/>
        <v>-11.852592758498801</v>
      </c>
      <c r="G43" s="2"/>
      <c r="H43" s="2">
        <v>-7050.71</v>
      </c>
      <c r="I43" s="2"/>
      <c r="J43" s="19">
        <f t="shared" si="7"/>
        <v>-0.57506351569031267</v>
      </c>
      <c r="K43" s="2"/>
      <c r="L43" s="2">
        <f t="shared" si="8"/>
        <v>-148533.06</v>
      </c>
      <c r="M43" s="2"/>
      <c r="N43" s="19">
        <f t="shared" si="9"/>
        <v>21.066397568471828</v>
      </c>
      <c r="O43" s="11"/>
      <c r="P43" s="2">
        <v>-162023.6</v>
      </c>
      <c r="Q43" s="2"/>
      <c r="R43" s="19">
        <f t="shared" si="10"/>
        <v>-8.2069000139096834E-2</v>
      </c>
      <c r="S43" s="2"/>
      <c r="T43" s="2">
        <v>-128002.98999999999</v>
      </c>
      <c r="U43" s="2"/>
      <c r="V43" s="19">
        <f t="shared" si="11"/>
        <v>-5.5174055985548233E-2</v>
      </c>
      <c r="W43" s="2"/>
      <c r="X43" s="2">
        <f t="shared" si="12"/>
        <v>-34020.610000000015</v>
      </c>
      <c r="Y43" s="2"/>
      <c r="Z43" s="19">
        <f t="shared" si="13"/>
        <v>0.26577980717481692</v>
      </c>
    </row>
    <row r="44" spans="1:26" s="24" customFormat="1" hidden="1" outlineLevel="1" x14ac:dyDescent="0.25">
      <c r="A44" s="44"/>
      <c r="B44" s="11" t="str">
        <f>CONCATENATE("          ", "5003", " - ", "PURCHASES @ COST-RENTAL TEXT")</f>
        <v xml:space="preserve">          5003 - PURCHASES @ COST-RENTAL TEXT</v>
      </c>
      <c r="C44" s="11"/>
      <c r="D44" s="2"/>
      <c r="E44" s="2"/>
      <c r="F44" s="19">
        <f t="shared" si="6"/>
        <v>0</v>
      </c>
      <c r="G44" s="2"/>
      <c r="H44" s="2">
        <v>-1948.8</v>
      </c>
      <c r="I44" s="2"/>
      <c r="J44" s="19">
        <f t="shared" si="7"/>
        <v>-0.15894623085863427</v>
      </c>
      <c r="K44" s="2"/>
      <c r="L44" s="2">
        <f t="shared" si="8"/>
        <v>1948.8</v>
      </c>
      <c r="M44" s="2"/>
      <c r="N44" s="19">
        <f t="shared" si="9"/>
        <v>-1</v>
      </c>
      <c r="O44" s="11"/>
      <c r="P44" s="2">
        <v>-78.400000000000006</v>
      </c>
      <c r="Q44" s="2"/>
      <c r="R44" s="19">
        <f t="shared" si="10"/>
        <v>-3.9711558136624489E-5</v>
      </c>
      <c r="S44" s="2"/>
      <c r="T44" s="2">
        <v>-1763.7</v>
      </c>
      <c r="U44" s="2"/>
      <c r="V44" s="19">
        <f t="shared" si="11"/>
        <v>-7.6022038658402774E-4</v>
      </c>
      <c r="W44" s="2"/>
      <c r="X44" s="2">
        <f t="shared" si="12"/>
        <v>1685.3</v>
      </c>
      <c r="Y44" s="2"/>
      <c r="Z44" s="19">
        <f t="shared" si="13"/>
        <v>-0.95554799569087712</v>
      </c>
    </row>
    <row r="45" spans="1:26" s="24" customFormat="1" hidden="1" outlineLevel="1" x14ac:dyDescent="0.25">
      <c r="A45" s="44"/>
      <c r="B45" s="11" t="str">
        <f>CONCATENATE("          ", "5004", " - ", "PURCHASES @ COST-DIGITAL TEXT")</f>
        <v xml:space="preserve">          5004 - PURCHASES @ COST-DIGITAL TEXT</v>
      </c>
      <c r="C45" s="11"/>
      <c r="D45" s="2">
        <v>0.94</v>
      </c>
      <c r="E45" s="2"/>
      <c r="F45" s="19">
        <f t="shared" si="6"/>
        <v>7.1610536195316989E-5</v>
      </c>
      <c r="G45" s="2"/>
      <c r="H45" s="2">
        <v>15359.04</v>
      </c>
      <c r="I45" s="2"/>
      <c r="J45" s="19">
        <f t="shared" si="7"/>
        <v>1.2526998756193548</v>
      </c>
      <c r="K45" s="2"/>
      <c r="L45" s="2">
        <f t="shared" si="8"/>
        <v>-15358.1</v>
      </c>
      <c r="M45" s="2"/>
      <c r="N45" s="19">
        <f t="shared" si="9"/>
        <v>-0.9999387982582244</v>
      </c>
      <c r="O45" s="11"/>
      <c r="P45" s="2">
        <v>322779.97000000003</v>
      </c>
      <c r="Q45" s="2"/>
      <c r="R45" s="19">
        <f t="shared" si="10"/>
        <v>0.16349611663256261</v>
      </c>
      <c r="S45" s="2"/>
      <c r="T45" s="2">
        <v>306955.37</v>
      </c>
      <c r="U45" s="2"/>
      <c r="V45" s="19">
        <f t="shared" si="11"/>
        <v>0.13230919660114715</v>
      </c>
      <c r="W45" s="2"/>
      <c r="X45" s="2">
        <f t="shared" si="12"/>
        <v>15824.600000000035</v>
      </c>
      <c r="Y45" s="2"/>
      <c r="Z45" s="19">
        <f t="shared" si="13"/>
        <v>5.1553422896625116E-2</v>
      </c>
    </row>
    <row r="46" spans="1:26" s="24" customFormat="1" hidden="1" outlineLevel="1" x14ac:dyDescent="0.25">
      <c r="A46" s="44"/>
      <c r="B46" s="11" t="str">
        <f>CONCATENATE("          ", "5011", " - ", "PURCHASES @ COST-NO VALUE TEXT")</f>
        <v xml:space="preserve">          5011 - PURCHASES @ COST-NO VALUE TEXT</v>
      </c>
      <c r="C46" s="11"/>
      <c r="D46" s="2">
        <v>66</v>
      </c>
      <c r="E46" s="2"/>
      <c r="F46" s="19">
        <f t="shared" si="6"/>
        <v>5.0279738179690656E-3</v>
      </c>
      <c r="G46" s="2"/>
      <c r="H46" s="2">
        <v>63</v>
      </c>
      <c r="I46" s="2"/>
      <c r="J46" s="19">
        <f t="shared" si="7"/>
        <v>5.1383479803437807E-3</v>
      </c>
      <c r="K46" s="2"/>
      <c r="L46" s="2">
        <f t="shared" si="8"/>
        <v>3</v>
      </c>
      <c r="M46" s="2"/>
      <c r="N46" s="19">
        <f t="shared" si="9"/>
        <v>4.7619047619047616E-2</v>
      </c>
      <c r="O46" s="11"/>
      <c r="P46" s="2">
        <v>3741</v>
      </c>
      <c r="Q46" s="2"/>
      <c r="R46" s="19">
        <f t="shared" si="10"/>
        <v>1.894909936085615E-3</v>
      </c>
      <c r="S46" s="2"/>
      <c r="T46" s="2">
        <v>2838</v>
      </c>
      <c r="U46" s="2"/>
      <c r="V46" s="19">
        <f t="shared" si="11"/>
        <v>1.2232836974119582E-3</v>
      </c>
      <c r="W46" s="2"/>
      <c r="X46" s="2">
        <f t="shared" si="12"/>
        <v>903</v>
      </c>
      <c r="Y46" s="2"/>
      <c r="Z46" s="19">
        <f t="shared" si="13"/>
        <v>0.31818181818181818</v>
      </c>
    </row>
    <row r="47" spans="1:26" s="24" customFormat="1" hidden="1" outlineLevel="1" x14ac:dyDescent="0.25">
      <c r="A47" s="44"/>
      <c r="B47" s="11" t="str">
        <f>CONCATENATE("          ", "5013", " - ", "PURCHASES @ COST-TRADE BOOKS")</f>
        <v xml:space="preserve">          5013 - PURCHASES @ COST-TRADE BOOKS</v>
      </c>
      <c r="C47" s="11"/>
      <c r="D47" s="2">
        <v>10.79</v>
      </c>
      <c r="E47" s="2"/>
      <c r="F47" s="19">
        <f t="shared" si="6"/>
        <v>8.2199753781645769E-4</v>
      </c>
      <c r="G47" s="2"/>
      <c r="H47" s="2">
        <v>270</v>
      </c>
      <c r="I47" s="2"/>
      <c r="J47" s="19">
        <f t="shared" si="7"/>
        <v>2.2021491344330488E-2</v>
      </c>
      <c r="K47" s="2"/>
      <c r="L47" s="2">
        <f t="shared" si="8"/>
        <v>-259.20999999999998</v>
      </c>
      <c r="M47" s="2"/>
      <c r="N47" s="19">
        <f t="shared" si="9"/>
        <v>-0.96003703703703691</v>
      </c>
      <c r="O47" s="11"/>
      <c r="P47" s="2">
        <v>698.14</v>
      </c>
      <c r="Q47" s="2"/>
      <c r="R47" s="19">
        <f t="shared" si="10"/>
        <v>3.536253469069263E-4</v>
      </c>
      <c r="S47" s="2"/>
      <c r="T47" s="2">
        <v>1406.94</v>
      </c>
      <c r="U47" s="2"/>
      <c r="V47" s="19">
        <f t="shared" si="11"/>
        <v>6.0644353954784371E-4</v>
      </c>
      <c r="W47" s="2"/>
      <c r="X47" s="2">
        <f t="shared" si="12"/>
        <v>-708.80000000000007</v>
      </c>
      <c r="Y47" s="2"/>
      <c r="Z47" s="19">
        <f t="shared" si="13"/>
        <v>-0.50378836339858135</v>
      </c>
    </row>
    <row r="48" spans="1:26" s="24" customFormat="1" hidden="1" outlineLevel="1" x14ac:dyDescent="0.25">
      <c r="A48" s="44"/>
      <c r="B48" s="11" t="str">
        <f>CONCATENATE("          ", "5014", " - ", "PURCHASES @ COST-REMAINDERS")</f>
        <v xml:space="preserve">          5014 - PURCHASES @ COST-REMAINDERS</v>
      </c>
      <c r="C48" s="11"/>
      <c r="D48" s="2">
        <v>114.84</v>
      </c>
      <c r="E48" s="2"/>
      <c r="F48" s="19">
        <f t="shared" si="6"/>
        <v>8.7486744432661735E-3</v>
      </c>
      <c r="G48" s="2"/>
      <c r="H48" s="2">
        <v>246.34</v>
      </c>
      <c r="I48" s="2"/>
      <c r="J48" s="19">
        <f t="shared" si="7"/>
        <v>2.0091756213934713E-2</v>
      </c>
      <c r="K48" s="2"/>
      <c r="L48" s="2">
        <f t="shared" si="8"/>
        <v>-131.5</v>
      </c>
      <c r="M48" s="2"/>
      <c r="N48" s="19">
        <f t="shared" si="9"/>
        <v>-0.53381505236664772</v>
      </c>
      <c r="O48" s="11"/>
      <c r="P48" s="2">
        <v>442.35</v>
      </c>
      <c r="Q48" s="2"/>
      <c r="R48" s="19">
        <f t="shared" si="10"/>
        <v>2.2406132323642657E-4</v>
      </c>
      <c r="S48" s="2"/>
      <c r="T48" s="2">
        <v>735.2</v>
      </c>
      <c r="U48" s="2"/>
      <c r="V48" s="19">
        <f t="shared" si="11"/>
        <v>3.1689858151419013E-4</v>
      </c>
      <c r="W48" s="2"/>
      <c r="X48" s="2">
        <f t="shared" si="12"/>
        <v>-292.85000000000002</v>
      </c>
      <c r="Y48" s="2"/>
      <c r="Z48" s="19">
        <f t="shared" si="13"/>
        <v>-0.39832698585418935</v>
      </c>
    </row>
    <row r="49" spans="1:26" s="24" customFormat="1" hidden="1" outlineLevel="1" x14ac:dyDescent="0.25">
      <c r="A49" s="44"/>
      <c r="B49" s="11" t="str">
        <f>CONCATENATE("          ", "5018", " - ", "PURCHASES @ COST-STUDY GUIDES")</f>
        <v xml:space="preserve">          5018 - PURCHASES @ COST-STUDY GUIDES</v>
      </c>
      <c r="C49" s="11"/>
      <c r="D49" s="2"/>
      <c r="E49" s="2"/>
      <c r="F49" s="19">
        <f t="shared" si="6"/>
        <v>0</v>
      </c>
      <c r="G49" s="2"/>
      <c r="H49" s="2"/>
      <c r="I49" s="2"/>
      <c r="J49" s="19">
        <f t="shared" si="7"/>
        <v>0</v>
      </c>
      <c r="K49" s="2"/>
      <c r="L49" s="2">
        <f t="shared" si="8"/>
        <v>0</v>
      </c>
      <c r="M49" s="2"/>
      <c r="N49" s="19">
        <f t="shared" si="9"/>
        <v>0</v>
      </c>
      <c r="O49" s="11"/>
      <c r="P49" s="2">
        <v>802.09</v>
      </c>
      <c r="Q49" s="2"/>
      <c r="R49" s="19">
        <f t="shared" si="10"/>
        <v>4.0627861818629002E-4</v>
      </c>
      <c r="S49" s="2"/>
      <c r="T49" s="2">
        <v>1034.55</v>
      </c>
      <c r="U49" s="2"/>
      <c r="V49" s="19">
        <f t="shared" si="11"/>
        <v>4.4592958039377771E-4</v>
      </c>
      <c r="W49" s="2"/>
      <c r="X49" s="2">
        <f t="shared" si="12"/>
        <v>-232.45999999999992</v>
      </c>
      <c r="Y49" s="2"/>
      <c r="Z49" s="19">
        <f t="shared" si="13"/>
        <v>-0.22469672804601029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>
        <v>330700</v>
      </c>
      <c r="E50" s="2"/>
      <c r="F50" s="19">
        <f t="shared" si="6"/>
        <v>25.193196084884391</v>
      </c>
      <c r="G50" s="2"/>
      <c r="H50" s="2">
        <v>-3826</v>
      </c>
      <c r="I50" s="2"/>
      <c r="J50" s="19">
        <f t="shared" si="7"/>
        <v>-0.31205268845706835</v>
      </c>
      <c r="K50" s="2"/>
      <c r="L50" s="2">
        <f t="shared" si="8"/>
        <v>334526</v>
      </c>
      <c r="M50" s="2"/>
      <c r="N50" s="19">
        <f t="shared" si="9"/>
        <v>-87.434918975431259</v>
      </c>
      <c r="O50" s="11"/>
      <c r="P50" s="2">
        <v>-1480875</v>
      </c>
      <c r="Q50" s="2"/>
      <c r="R50" s="19">
        <f t="shared" si="10"/>
        <v>-0.75010017417823716</v>
      </c>
      <c r="S50" s="2"/>
      <c r="T50" s="2">
        <v>-1588998</v>
      </c>
      <c r="U50" s="2"/>
      <c r="V50" s="19">
        <f t="shared" si="11"/>
        <v>-0.68491731804799383</v>
      </c>
      <c r="W50" s="2"/>
      <c r="X50" s="2">
        <f t="shared" si="12"/>
        <v>108123</v>
      </c>
      <c r="Y50" s="2"/>
      <c r="Z50" s="19">
        <f t="shared" si="13"/>
        <v>-6.8044767834824216E-2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20379</v>
      </c>
      <c r="E51" s="2"/>
      <c r="F51" s="19">
        <f t="shared" si="6"/>
        <v>1.5525011884301754</v>
      </c>
      <c r="G51" s="2"/>
      <c r="H51" s="2">
        <v>20400</v>
      </c>
      <c r="I51" s="2"/>
      <c r="J51" s="19">
        <f t="shared" si="7"/>
        <v>1.6638460126827481</v>
      </c>
      <c r="K51" s="2"/>
      <c r="L51" s="2">
        <f t="shared" si="8"/>
        <v>-21</v>
      </c>
      <c r="M51" s="2"/>
      <c r="N51" s="19">
        <f t="shared" si="9"/>
        <v>-1.0294117647058824E-3</v>
      </c>
      <c r="O51" s="11"/>
      <c r="P51" s="2">
        <v>1438765</v>
      </c>
      <c r="Q51" s="2"/>
      <c r="R51" s="19">
        <f t="shared" si="10"/>
        <v>0.72877040742908838</v>
      </c>
      <c r="S51" s="2"/>
      <c r="T51" s="2">
        <v>1710744</v>
      </c>
      <c r="U51" s="2"/>
      <c r="V51" s="19">
        <f t="shared" si="11"/>
        <v>0.73739437831054366</v>
      </c>
      <c r="W51" s="2"/>
      <c r="X51" s="2">
        <f t="shared" si="12"/>
        <v>-271979</v>
      </c>
      <c r="Y51" s="2"/>
      <c r="Z51" s="19">
        <f t="shared" si="13"/>
        <v>-0.15898287528700963</v>
      </c>
    </row>
    <row r="52" spans="1:26" s="24" customFormat="1" hidden="1" outlineLevel="1" x14ac:dyDescent="0.25">
      <c r="A52" s="44"/>
      <c r="B52" s="11" t="str">
        <f>CONCATENATE("          ", "5500", " - ", "FREIGHT-IN")</f>
        <v xml:space="preserve">          5500 - FREIGHT-IN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/>
      <c r="Q52" s="2"/>
      <c r="R52" s="19">
        <f t="shared" si="10"/>
        <v>0</v>
      </c>
      <c r="S52" s="2"/>
      <c r="T52" s="2">
        <v>0</v>
      </c>
      <c r="U52" s="2"/>
      <c r="V52" s="19">
        <f t="shared" si="11"/>
        <v>0</v>
      </c>
      <c r="W52" s="2"/>
      <c r="X52" s="2">
        <f t="shared" si="12"/>
        <v>0</v>
      </c>
      <c r="Y52" s="2"/>
      <c r="Z52" s="19">
        <f t="shared" si="13"/>
        <v>0</v>
      </c>
    </row>
    <row r="53" spans="1:26" s="24" customFormat="1" hidden="1" outlineLevel="1" x14ac:dyDescent="0.25">
      <c r="A53" s="44"/>
      <c r="B53" s="11" t="str">
        <f>CONCATENATE("          ", "5501", " - ", "FREIGHT-IN-NEW TEXT")</f>
        <v xml:space="preserve">          5501 - FREIGHT-IN-NEW TEXT</v>
      </c>
      <c r="C53" s="11"/>
      <c r="D53" s="2">
        <v>490.07</v>
      </c>
      <c r="E53" s="2"/>
      <c r="F53" s="19">
        <f t="shared" si="6"/>
        <v>3.7334229226849994E-2</v>
      </c>
      <c r="G53" s="2"/>
      <c r="H53" s="2">
        <v>588.1</v>
      </c>
      <c r="I53" s="2"/>
      <c r="J53" s="19">
        <f t="shared" si="7"/>
        <v>4.7966070591113928E-2</v>
      </c>
      <c r="K53" s="2"/>
      <c r="L53" s="2">
        <f t="shared" si="8"/>
        <v>-98.03000000000003</v>
      </c>
      <c r="M53" s="2"/>
      <c r="N53" s="19">
        <f t="shared" si="9"/>
        <v>-0.16668933854786605</v>
      </c>
      <c r="O53" s="11"/>
      <c r="P53" s="2">
        <v>34507.550000000003</v>
      </c>
      <c r="Q53" s="2"/>
      <c r="R53" s="19">
        <f t="shared" si="10"/>
        <v>1.7478935943590262E-2</v>
      </c>
      <c r="S53" s="2"/>
      <c r="T53" s="2">
        <v>36798.959999999999</v>
      </c>
      <c r="U53" s="2"/>
      <c r="V53" s="19">
        <f t="shared" si="11"/>
        <v>1.5861722286721194E-2</v>
      </c>
      <c r="W53" s="2"/>
      <c r="X53" s="2">
        <f t="shared" si="12"/>
        <v>-2291.4099999999962</v>
      </c>
      <c r="Y53" s="2"/>
      <c r="Z53" s="19">
        <f t="shared" si="13"/>
        <v>-6.2268335844273756E-2</v>
      </c>
    </row>
    <row r="54" spans="1:26" s="24" customFormat="1" hidden="1" outlineLevel="1" x14ac:dyDescent="0.25">
      <c r="A54" s="44"/>
      <c r="B54" s="11" t="str">
        <f>CONCATENATE("          ", "5502", " - ", "FREIGHT-IN-USED TEXT")</f>
        <v xml:space="preserve">          5502 - FREIGHT-IN-USED TEXT</v>
      </c>
      <c r="C54" s="11"/>
      <c r="D54" s="2">
        <v>237.65</v>
      </c>
      <c r="E54" s="2"/>
      <c r="F54" s="19">
        <f t="shared" si="6"/>
        <v>1.8104514815762855E-2</v>
      </c>
      <c r="G54" s="2"/>
      <c r="H54" s="2">
        <v>18.5</v>
      </c>
      <c r="I54" s="2"/>
      <c r="J54" s="19">
        <f t="shared" si="7"/>
        <v>1.5088799624819039E-3</v>
      </c>
      <c r="K54" s="2"/>
      <c r="L54" s="2">
        <f t="shared" si="8"/>
        <v>219.15</v>
      </c>
      <c r="M54" s="2"/>
      <c r="N54" s="19">
        <f t="shared" si="9"/>
        <v>11.845945945945946</v>
      </c>
      <c r="O54" s="11"/>
      <c r="P54" s="2">
        <v>7090.12</v>
      </c>
      <c r="Q54" s="2"/>
      <c r="R54" s="19">
        <f t="shared" si="10"/>
        <v>3.5913228644852552E-3</v>
      </c>
      <c r="S54" s="2"/>
      <c r="T54" s="2">
        <v>7751.05</v>
      </c>
      <c r="U54" s="2"/>
      <c r="V54" s="19">
        <f t="shared" si="11"/>
        <v>3.3409912272110492E-3</v>
      </c>
      <c r="W54" s="2"/>
      <c r="X54" s="2">
        <f t="shared" si="12"/>
        <v>-660.93000000000029</v>
      </c>
      <c r="Y54" s="2"/>
      <c r="Z54" s="19">
        <f t="shared" si="13"/>
        <v>-8.5269737648447669E-2</v>
      </c>
    </row>
    <row r="55" spans="1:26" s="24" customFormat="1" hidden="1" outlineLevel="1" x14ac:dyDescent="0.25">
      <c r="A55" s="44"/>
      <c r="B55" s="11" t="str">
        <f>CONCATENATE("          ", "5504", " - ", "FREIGHT-IN-DIGITAL TEXT")</f>
        <v xml:space="preserve">          5504 - FREIGHT-IN-DIGITAL TEXT</v>
      </c>
      <c r="C55" s="11"/>
      <c r="D55" s="2">
        <v>5</v>
      </c>
      <c r="E55" s="2"/>
      <c r="F55" s="19">
        <f t="shared" si="6"/>
        <v>3.8090710742189889E-4</v>
      </c>
      <c r="G55" s="2"/>
      <c r="H55" s="2"/>
      <c r="I55" s="2"/>
      <c r="J55" s="19">
        <f t="shared" si="7"/>
        <v>0</v>
      </c>
      <c r="K55" s="2"/>
      <c r="L55" s="2">
        <f t="shared" si="8"/>
        <v>5</v>
      </c>
      <c r="M55" s="2"/>
      <c r="N55" s="19">
        <f t="shared" si="9"/>
        <v>0</v>
      </c>
      <c r="O55" s="11"/>
      <c r="P55" s="2">
        <v>105.97</v>
      </c>
      <c r="Q55" s="2"/>
      <c r="R55" s="19">
        <f t="shared" si="10"/>
        <v>5.3676451731353278E-5</v>
      </c>
      <c r="S55" s="2"/>
      <c r="T55" s="2">
        <v>166.22</v>
      </c>
      <c r="U55" s="2"/>
      <c r="V55" s="19">
        <f t="shared" si="11"/>
        <v>7.1647010635593968E-5</v>
      </c>
      <c r="W55" s="2"/>
      <c r="X55" s="2">
        <f t="shared" si="12"/>
        <v>-60.25</v>
      </c>
      <c r="Y55" s="2"/>
      <c r="Z55" s="19">
        <f t="shared" si="13"/>
        <v>-0.36247142341475153</v>
      </c>
    </row>
    <row r="56" spans="1:26" s="24" customFormat="1" hidden="1" outlineLevel="1" x14ac:dyDescent="0.25">
      <c r="A56" s="44"/>
      <c r="B56" s="11" t="str">
        <f>CONCATENATE("          ", "5513", " - ", "FREIGHT-IN-TRADE BOOKS")</f>
        <v xml:space="preserve">          5513 - FREIGHT-IN-TRADE BOOKS</v>
      </c>
      <c r="C56" s="11"/>
      <c r="D56" s="2">
        <v>12.33</v>
      </c>
      <c r="E56" s="2"/>
      <c r="F56" s="19">
        <f t="shared" si="6"/>
        <v>9.3931692690240264E-4</v>
      </c>
      <c r="G56" s="2"/>
      <c r="H56" s="2"/>
      <c r="I56" s="2"/>
      <c r="J56" s="19">
        <f t="shared" si="7"/>
        <v>0</v>
      </c>
      <c r="K56" s="2"/>
      <c r="L56" s="2">
        <f t="shared" si="8"/>
        <v>12.33</v>
      </c>
      <c r="M56" s="2"/>
      <c r="N56" s="19">
        <f t="shared" si="9"/>
        <v>0</v>
      </c>
      <c r="O56" s="11"/>
      <c r="P56" s="2">
        <v>12.33</v>
      </c>
      <c r="Q56" s="2"/>
      <c r="R56" s="19">
        <f t="shared" si="10"/>
        <v>6.2454529569461728E-6</v>
      </c>
      <c r="S56" s="2"/>
      <c r="T56" s="2">
        <v>12.22</v>
      </c>
      <c r="U56" s="2"/>
      <c r="V56" s="19">
        <f t="shared" si="11"/>
        <v>5.2672751171156198E-6</v>
      </c>
      <c r="W56" s="2"/>
      <c r="X56" s="2">
        <f t="shared" si="12"/>
        <v>0.10999999999999943</v>
      </c>
      <c r="Y56" s="2"/>
      <c r="Z56" s="19">
        <f t="shared" si="13"/>
        <v>9.0016366612110828E-3</v>
      </c>
    </row>
    <row r="57" spans="1:26" s="24" customFormat="1" hidden="1" outlineLevel="1" x14ac:dyDescent="0.25">
      <c r="A57" s="44"/>
      <c r="B57" s="11" t="str">
        <f>CONCATENATE("          ", "5518", " - ", "FREIGHT-IN-STUDY GUIDES")</f>
        <v xml:space="preserve">          5518 - FREIGHT-IN-STUDY GUIDES</v>
      </c>
      <c r="C57" s="11"/>
      <c r="D57" s="2">
        <v>12.26</v>
      </c>
      <c r="E57" s="2"/>
      <c r="F57" s="19">
        <f t="shared" si="6"/>
        <v>9.3398422739849598E-4</v>
      </c>
      <c r="G57" s="2"/>
      <c r="H57" s="2"/>
      <c r="I57" s="2"/>
      <c r="J57" s="19">
        <f t="shared" si="7"/>
        <v>0</v>
      </c>
      <c r="K57" s="2"/>
      <c r="L57" s="2">
        <f t="shared" si="8"/>
        <v>12.26</v>
      </c>
      <c r="M57" s="2"/>
      <c r="N57" s="19">
        <f t="shared" si="9"/>
        <v>0</v>
      </c>
      <c r="O57" s="11"/>
      <c r="P57" s="2">
        <v>12.26</v>
      </c>
      <c r="Q57" s="2"/>
      <c r="R57" s="19">
        <f t="shared" si="10"/>
        <v>6.2099962086099006E-6</v>
      </c>
      <c r="S57" s="2"/>
      <c r="T57" s="2"/>
      <c r="U57" s="2"/>
      <c r="V57" s="19">
        <f t="shared" si="11"/>
        <v>0</v>
      </c>
      <c r="W57" s="2"/>
      <c r="X57" s="2">
        <f t="shared" si="12"/>
        <v>12.26</v>
      </c>
      <c r="Y57" s="2"/>
      <c r="Z57" s="19">
        <f t="shared" si="13"/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9" t="s">
        <v>6</v>
      </c>
      <c r="C59" s="29"/>
      <c r="D59" s="21">
        <f>D12-D41</f>
        <v>-7252.2300000000432</v>
      </c>
      <c r="E59" s="14"/>
      <c r="F59" s="20">
        <f>IF(D$12=0,0,D59/D$12)</f>
        <v>-0.55248519033166688</v>
      </c>
      <c r="G59" s="14"/>
      <c r="H59" s="21">
        <f>H12-H41</f>
        <v>-8139.2700000000023</v>
      </c>
      <c r="I59" s="14"/>
      <c r="J59" s="20">
        <f>IF(H$12=0,0,H59/H$12)</f>
        <v>-0.66384764390432915</v>
      </c>
      <c r="K59" s="15"/>
      <c r="L59" s="21">
        <f>+D59-H59</f>
        <v>887.03999999995904</v>
      </c>
      <c r="M59" s="15"/>
      <c r="N59" s="20">
        <f>IF(H59=0,0,L59/H59)</f>
        <v>-0.1089827466099489</v>
      </c>
      <c r="O59" s="28"/>
      <c r="P59" s="21">
        <f>P12-P41</f>
        <v>535474.69999999972</v>
      </c>
      <c r="Q59" s="14"/>
      <c r="R59" s="20">
        <f>IF(P$12=0,0,P59/P$12)</f>
        <v>0.27123130969058096</v>
      </c>
      <c r="S59" s="14"/>
      <c r="T59" s="21">
        <f>T12-T41</f>
        <v>609241.84000000055</v>
      </c>
      <c r="U59" s="14"/>
      <c r="V59" s="20">
        <f>IF(T$12=0,0,T59/T$12)</f>
        <v>0.26260592341552685</v>
      </c>
      <c r="W59" s="15"/>
      <c r="X59" s="21">
        <f>+P59-T59</f>
        <v>-73767.140000000829</v>
      </c>
      <c r="Y59" s="15"/>
      <c r="Z59" s="20">
        <f>IF(T59=0,0,X59/T59)</f>
        <v>-0.12108022653204639</v>
      </c>
    </row>
    <row r="60" spans="1:26" x14ac:dyDescent="0.25">
      <c r="A60" s="9"/>
      <c r="B60" s="10"/>
      <c r="C60" s="9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8" t="s">
        <v>9</v>
      </c>
      <c r="C61" s="10"/>
      <c r="D61" s="22">
        <f>SUM(OSRRefD22x_0)</f>
        <v>48723.32</v>
      </c>
      <c r="E61" s="22"/>
      <c r="F61" s="33">
        <f t="shared" ref="F61:F71" si="14">IF(D$12=0,0,D61/D$12)</f>
        <v>3.7118117770383106</v>
      </c>
      <c r="G61" s="22"/>
      <c r="H61" s="22">
        <f>SUM(OSRRefH22x_0)</f>
        <v>63870.970000000008</v>
      </c>
      <c r="I61" s="22"/>
      <c r="J61" s="33">
        <f t="shared" ref="J61:J71" si="15">IF(H$12=0,0,H61/H$12)</f>
        <v>5.2093852333666391</v>
      </c>
      <c r="K61" s="4"/>
      <c r="L61" s="22">
        <f t="shared" ref="L61:L71" si="16">+D61-H61</f>
        <v>-15147.650000000009</v>
      </c>
      <c r="M61" s="4"/>
      <c r="N61" s="33">
        <f t="shared" ref="N61:N71" si="17">IF(H61=0,0,L61/H61)</f>
        <v>-0.23716016838322648</v>
      </c>
      <c r="O61" s="10"/>
      <c r="P61" s="22">
        <f>SUM(OSRRefP22x_0)</f>
        <v>209249.05</v>
      </c>
      <c r="Q61" s="22"/>
      <c r="R61" s="33">
        <f t="shared" ref="R61:R71" si="18">IF(P$12=0,0,P61/P$12)</f>
        <v>0.10598987007791383</v>
      </c>
      <c r="S61" s="22"/>
      <c r="T61" s="22">
        <f>SUM(OSRRefT22x_0)</f>
        <v>299132.19000000006</v>
      </c>
      <c r="U61" s="22"/>
      <c r="V61" s="33">
        <f t="shared" ref="V61:V71" si="19">IF(T$12=0,0,T61/T$12)</f>
        <v>0.12893711465755336</v>
      </c>
      <c r="W61" s="4"/>
      <c r="X61" s="22">
        <f t="shared" ref="X61:X71" si="20">+P61-T61</f>
        <v>-89883.140000000072</v>
      </c>
      <c r="Y61" s="4"/>
      <c r="Z61" s="33">
        <f t="shared" ref="Z61:Z71" si="21">IF(T61=0,0,X61/T61)</f>
        <v>-0.30047966419127292</v>
      </c>
    </row>
    <row r="62" spans="1:26" s="25" customFormat="1" outlineLevel="1" collapsed="1" x14ac:dyDescent="0.25">
      <c r="A62" s="27"/>
      <c r="B62" s="13" t="str">
        <f>CONCATENATE("     ","*Benefits                                         ")</f>
        <v xml:space="preserve">     *Benefits                                         </v>
      </c>
      <c r="C62" s="13"/>
      <c r="D62" s="1">
        <f>SUM(OSRRefD22_0x_0)</f>
        <v>8764.2699999999986</v>
      </c>
      <c r="E62" s="1"/>
      <c r="F62" s="5">
        <f t="shared" si="14"/>
        <v>0.66767454687290506</v>
      </c>
      <c r="G62" s="1"/>
      <c r="H62" s="1">
        <f>SUM(OSRRefH22_0x_0)</f>
        <v>11906.029999999999</v>
      </c>
      <c r="I62" s="1"/>
      <c r="J62" s="5">
        <f t="shared" si="15"/>
        <v>0.97106865403829301</v>
      </c>
      <c r="K62" s="1"/>
      <c r="L62" s="1">
        <f t="shared" si="16"/>
        <v>-3141.76</v>
      </c>
      <c r="M62" s="1"/>
      <c r="N62" s="5">
        <f t="shared" si="17"/>
        <v>-0.26387973153099736</v>
      </c>
      <c r="O62" s="13"/>
      <c r="P62" s="1">
        <f>SUM(OSRRefP22_0x_0)</f>
        <v>51347.56</v>
      </c>
      <c r="Q62" s="1"/>
      <c r="R62" s="5">
        <f t="shared" si="18"/>
        <v>2.6008821608594569E-2</v>
      </c>
      <c r="S62" s="1"/>
      <c r="T62" s="1">
        <f>SUM(OSRRefT22_0x_0)</f>
        <v>64549.109999999993</v>
      </c>
      <c r="U62" s="1"/>
      <c r="V62" s="5">
        <f t="shared" si="19"/>
        <v>2.7823070452942633E-2</v>
      </c>
      <c r="W62" s="1"/>
      <c r="X62" s="1">
        <f t="shared" si="20"/>
        <v>-13201.549999999996</v>
      </c>
      <c r="Y62" s="1"/>
      <c r="Z62" s="5">
        <f t="shared" si="21"/>
        <v>-0.20451947362248676</v>
      </c>
    </row>
    <row r="63" spans="1:26" s="24" customFormat="1" hidden="1" outlineLevel="2" x14ac:dyDescent="0.25">
      <c r="A63" s="26"/>
      <c r="B63" s="11" t="str">
        <f>CONCATENATE("          ", "6111", " - ", "F.I.C.A.")</f>
        <v xml:space="preserve">          6111 - F.I.C.A.</v>
      </c>
      <c r="C63" s="11"/>
      <c r="D63" s="6">
        <v>1472.33</v>
      </c>
      <c r="E63" s="2"/>
      <c r="F63" s="7">
        <f t="shared" si="14"/>
        <v>0.11216419229409687</v>
      </c>
      <c r="G63" s="2"/>
      <c r="H63" s="6">
        <v>1719.78</v>
      </c>
      <c r="I63" s="2"/>
      <c r="J63" s="7">
        <f t="shared" si="15"/>
        <v>0.14026711253389884</v>
      </c>
      <c r="K63" s="2"/>
      <c r="L63" s="6">
        <f t="shared" si="16"/>
        <v>-247.45000000000005</v>
      </c>
      <c r="M63" s="2"/>
      <c r="N63" s="7">
        <f t="shared" si="17"/>
        <v>-0.14388468292456014</v>
      </c>
      <c r="O63" s="11"/>
      <c r="P63" s="6">
        <v>9075.3799999999992</v>
      </c>
      <c r="Q63" s="2"/>
      <c r="R63" s="7">
        <f t="shared" si="18"/>
        <v>4.596906638800499E-3</v>
      </c>
      <c r="S63" s="2"/>
      <c r="T63" s="6">
        <v>10714.15</v>
      </c>
      <c r="U63" s="2"/>
      <c r="V63" s="7">
        <f t="shared" si="19"/>
        <v>4.6181976838006802E-3</v>
      </c>
      <c r="W63" s="2"/>
      <c r="X63" s="6">
        <f t="shared" si="20"/>
        <v>-1638.7700000000004</v>
      </c>
      <c r="Y63" s="2"/>
      <c r="Z63" s="7">
        <f t="shared" si="21"/>
        <v>-0.1529538040815184</v>
      </c>
    </row>
    <row r="64" spans="1:26" s="24" customFormat="1" hidden="1" outlineLevel="2" x14ac:dyDescent="0.25">
      <c r="A64" s="26"/>
      <c r="B64" s="11" t="str">
        <f>CONCATENATE("          ", "6112", " - ", "COMPENSATION INSURANCE")</f>
        <v xml:space="preserve">          6112 - COMPENSATION INSURANCE</v>
      </c>
      <c r="C64" s="11"/>
      <c r="D64" s="6">
        <v>74.48</v>
      </c>
      <c r="E64" s="2"/>
      <c r="F64" s="7">
        <f t="shared" si="14"/>
        <v>5.6739922721566055E-3</v>
      </c>
      <c r="G64" s="2"/>
      <c r="H64" s="6">
        <v>74.97</v>
      </c>
      <c r="I64" s="2"/>
      <c r="J64" s="7">
        <f t="shared" si="15"/>
        <v>6.1146340966090991E-3</v>
      </c>
      <c r="K64" s="2"/>
      <c r="L64" s="6">
        <f t="shared" si="16"/>
        <v>-0.48999999999999488</v>
      </c>
      <c r="M64" s="2"/>
      <c r="N64" s="7">
        <f t="shared" si="17"/>
        <v>-6.5359477124182323E-3</v>
      </c>
      <c r="O64" s="11"/>
      <c r="P64" s="6">
        <v>268.06</v>
      </c>
      <c r="Q64" s="2"/>
      <c r="R64" s="7">
        <f t="shared" si="18"/>
        <v>1.3577908512887196E-4</v>
      </c>
      <c r="S64" s="2"/>
      <c r="T64" s="6">
        <v>534.15</v>
      </c>
      <c r="U64" s="2"/>
      <c r="V64" s="7">
        <f t="shared" si="19"/>
        <v>2.3023854368308576E-4</v>
      </c>
      <c r="W64" s="2"/>
      <c r="X64" s="6">
        <f t="shared" si="20"/>
        <v>-266.08999999999997</v>
      </c>
      <c r="Y64" s="2"/>
      <c r="Z64" s="7">
        <f t="shared" si="21"/>
        <v>-0.49815594870354768</v>
      </c>
    </row>
    <row r="65" spans="1:26" s="24" customFormat="1" hidden="1" outlineLevel="2" x14ac:dyDescent="0.25">
      <c r="A65" s="26"/>
      <c r="B65" s="11" t="str">
        <f>CONCATENATE("          ", "6113", " - ", "GROUP INSURANCE")</f>
        <v xml:space="preserve">          6113 - GROUP INSURANCE</v>
      </c>
      <c r="C65" s="11"/>
      <c r="D65" s="6">
        <v>4168.57</v>
      </c>
      <c r="E65" s="2"/>
      <c r="F65" s="7">
        <f t="shared" si="14"/>
        <v>0.31756758815714098</v>
      </c>
      <c r="G65" s="2"/>
      <c r="H65" s="6">
        <v>5625.32</v>
      </c>
      <c r="I65" s="2"/>
      <c r="J65" s="7">
        <f t="shared" si="15"/>
        <v>0.45880716921884879</v>
      </c>
      <c r="K65" s="2"/>
      <c r="L65" s="6">
        <f t="shared" si="16"/>
        <v>-1456.75</v>
      </c>
      <c r="M65" s="2"/>
      <c r="N65" s="7">
        <f t="shared" si="17"/>
        <v>-0.25896304565784706</v>
      </c>
      <c r="O65" s="11"/>
      <c r="P65" s="6">
        <v>20842.849999999999</v>
      </c>
      <c r="Q65" s="2"/>
      <c r="R65" s="7">
        <f t="shared" si="18"/>
        <v>1.0557424100866629E-2</v>
      </c>
      <c r="S65" s="2"/>
      <c r="T65" s="6">
        <v>24610.289999999997</v>
      </c>
      <c r="U65" s="2"/>
      <c r="V65" s="7">
        <f t="shared" si="19"/>
        <v>1.0607951566448391E-2</v>
      </c>
      <c r="W65" s="2"/>
      <c r="X65" s="6">
        <f t="shared" si="20"/>
        <v>-3767.4399999999987</v>
      </c>
      <c r="Y65" s="2"/>
      <c r="Z65" s="7">
        <f t="shared" si="21"/>
        <v>-0.15308393359038025</v>
      </c>
    </row>
    <row r="66" spans="1:26" s="24" customFormat="1" hidden="1" outlineLevel="2" x14ac:dyDescent="0.25">
      <c r="A66" s="26"/>
      <c r="B66" s="11" t="str">
        <f>CONCATENATE("          ", "6114", " - ", "STATE UNEMPLOYMENT INSURANCE")</f>
        <v xml:space="preserve">          6114 - STATE UNEMPLOYMENT INSURANCE</v>
      </c>
      <c r="C66" s="11"/>
      <c r="D66" s="6">
        <v>56.95</v>
      </c>
      <c r="E66" s="2"/>
      <c r="F66" s="7">
        <f t="shared" si="14"/>
        <v>4.3385319535354282E-3</v>
      </c>
      <c r="G66" s="2"/>
      <c r="H66" s="6">
        <v>62.88</v>
      </c>
      <c r="I66" s="2"/>
      <c r="J66" s="7">
        <f t="shared" si="15"/>
        <v>5.1285606508574121E-3</v>
      </c>
      <c r="K66" s="2"/>
      <c r="L66" s="6">
        <f t="shared" si="16"/>
        <v>-5.93</v>
      </c>
      <c r="M66" s="2"/>
      <c r="N66" s="7">
        <f t="shared" si="17"/>
        <v>-9.4306615776081418E-2</v>
      </c>
      <c r="O66" s="11"/>
      <c r="P66" s="6">
        <v>303.44</v>
      </c>
      <c r="Q66" s="2"/>
      <c r="R66" s="7">
        <f t="shared" si="18"/>
        <v>1.5369993878797621E-4</v>
      </c>
      <c r="S66" s="2"/>
      <c r="T66" s="6">
        <v>442.42</v>
      </c>
      <c r="U66" s="2"/>
      <c r="V66" s="7">
        <f t="shared" si="19"/>
        <v>1.9069949732522851E-4</v>
      </c>
      <c r="W66" s="2"/>
      <c r="X66" s="6">
        <f t="shared" si="20"/>
        <v>-138.98000000000002</v>
      </c>
      <c r="Y66" s="2"/>
      <c r="Z66" s="7">
        <f t="shared" si="21"/>
        <v>-0.31413588897427785</v>
      </c>
    </row>
    <row r="67" spans="1:26" s="24" customFormat="1" hidden="1" outlineLevel="2" x14ac:dyDescent="0.25">
      <c r="A67" s="26"/>
      <c r="B67" s="11" t="str">
        <f>CONCATENATE("          ", "6115", " - ", "P.E.R.S.")</f>
        <v xml:space="preserve">          6115 - P.E.R.S.</v>
      </c>
      <c r="C67" s="11"/>
      <c r="D67" s="6">
        <v>1325.86</v>
      </c>
      <c r="E67" s="2"/>
      <c r="F67" s="7">
        <f t="shared" si="14"/>
        <v>0.10100589948927977</v>
      </c>
      <c r="G67" s="2"/>
      <c r="H67" s="6">
        <v>1199.44</v>
      </c>
      <c r="I67" s="2"/>
      <c r="J67" s="7">
        <f t="shared" si="15"/>
        <v>9.7827620659421341E-2</v>
      </c>
      <c r="K67" s="2"/>
      <c r="L67" s="6">
        <f t="shared" si="16"/>
        <v>126.41999999999985</v>
      </c>
      <c r="M67" s="2"/>
      <c r="N67" s="7">
        <f t="shared" si="17"/>
        <v>0.10539918628693377</v>
      </c>
      <c r="O67" s="11"/>
      <c r="P67" s="6">
        <v>7106.54</v>
      </c>
      <c r="Q67" s="2"/>
      <c r="R67" s="7">
        <f t="shared" si="18"/>
        <v>3.5996400045949922E-3</v>
      </c>
      <c r="S67" s="2"/>
      <c r="T67" s="6">
        <v>7174.92</v>
      </c>
      <c r="U67" s="2"/>
      <c r="V67" s="7">
        <f t="shared" si="19"/>
        <v>3.0926577400405236E-3</v>
      </c>
      <c r="W67" s="2"/>
      <c r="X67" s="6">
        <f t="shared" si="20"/>
        <v>-68.380000000000109</v>
      </c>
      <c r="Y67" s="2"/>
      <c r="Z67" s="7">
        <f t="shared" si="21"/>
        <v>-9.5304198513711802E-3</v>
      </c>
    </row>
    <row r="68" spans="1:26" s="24" customFormat="1" hidden="1" outlineLevel="2" x14ac:dyDescent="0.25">
      <c r="A68" s="26"/>
      <c r="B68" s="11" t="str">
        <f>CONCATENATE("          ", "6117", " - ", "RETIREMENT STAFF HOURLY")</f>
        <v xml:space="preserve">          6117 - RETIREMENT STAFF HOURLY</v>
      </c>
      <c r="C68" s="11"/>
      <c r="D68" s="6">
        <v>93.57</v>
      </c>
      <c r="E68" s="2"/>
      <c r="F68" s="7">
        <f t="shared" si="14"/>
        <v>7.1282956082934154E-3</v>
      </c>
      <c r="G68" s="2"/>
      <c r="H68" s="6">
        <v>255.23</v>
      </c>
      <c r="I68" s="2"/>
      <c r="J68" s="7">
        <f t="shared" si="15"/>
        <v>2.0816834206716556E-2</v>
      </c>
      <c r="K68" s="2"/>
      <c r="L68" s="6">
        <f t="shared" si="16"/>
        <v>-161.66</v>
      </c>
      <c r="M68" s="2"/>
      <c r="N68" s="7">
        <f t="shared" si="17"/>
        <v>-0.63338949183089766</v>
      </c>
      <c r="O68" s="11"/>
      <c r="P68" s="6">
        <v>646.20000000000005</v>
      </c>
      <c r="Q68" s="2"/>
      <c r="R68" s="7">
        <f t="shared" si="18"/>
        <v>3.273164396414126E-4</v>
      </c>
      <c r="S68" s="2"/>
      <c r="T68" s="6">
        <v>1353.94</v>
      </c>
      <c r="U68" s="2"/>
      <c r="V68" s="7">
        <f t="shared" si="19"/>
        <v>5.8359856563564006E-4</v>
      </c>
      <c r="W68" s="2"/>
      <c r="X68" s="6">
        <f t="shared" si="20"/>
        <v>-707.74</v>
      </c>
      <c r="Y68" s="2"/>
      <c r="Z68" s="7">
        <f t="shared" si="21"/>
        <v>-0.52272626556568236</v>
      </c>
    </row>
    <row r="69" spans="1:26" s="24" customFormat="1" hidden="1" outlineLevel="2" x14ac:dyDescent="0.25">
      <c r="A69" s="26"/>
      <c r="B69" s="11" t="str">
        <f>CONCATENATE("          ", "6118", " - ", "VACATION")</f>
        <v xml:space="preserve">          6118 - VACATION</v>
      </c>
      <c r="C69" s="11"/>
      <c r="D69" s="6">
        <v>204.7</v>
      </c>
      <c r="E69" s="2"/>
      <c r="F69" s="7">
        <f t="shared" si="14"/>
        <v>1.5594336977852539E-2</v>
      </c>
      <c r="G69" s="2"/>
      <c r="H69" s="6">
        <v>1323.9</v>
      </c>
      <c r="I69" s="2"/>
      <c r="J69" s="7">
        <f t="shared" si="15"/>
        <v>0.10797871255836718</v>
      </c>
      <c r="K69" s="2"/>
      <c r="L69" s="6">
        <f t="shared" si="16"/>
        <v>-1119.2</v>
      </c>
      <c r="M69" s="2"/>
      <c r="N69" s="7">
        <f t="shared" si="17"/>
        <v>-0.84538107107787597</v>
      </c>
      <c r="O69" s="11"/>
      <c r="P69" s="6">
        <v>4841.92</v>
      </c>
      <c r="Q69" s="2"/>
      <c r="R69" s="7">
        <f t="shared" si="18"/>
        <v>2.4525534129194496E-3</v>
      </c>
      <c r="S69" s="2"/>
      <c r="T69" s="6">
        <v>8655.41</v>
      </c>
      <c r="U69" s="2"/>
      <c r="V69" s="7">
        <f t="shared" si="19"/>
        <v>3.7308040688570953E-3</v>
      </c>
      <c r="W69" s="2"/>
      <c r="X69" s="6">
        <f t="shared" si="20"/>
        <v>-3813.49</v>
      </c>
      <c r="Y69" s="2"/>
      <c r="Z69" s="7">
        <f t="shared" si="21"/>
        <v>-0.44059033598639463</v>
      </c>
    </row>
    <row r="70" spans="1:26" s="24" customFormat="1" hidden="1" outlineLevel="2" x14ac:dyDescent="0.25">
      <c r="A70" s="26"/>
      <c r="B70" s="11" t="str">
        <f>CONCATENATE("          ", "6119", " - ", "SICK LEAVE")</f>
        <v xml:space="preserve">          6119 - SICK LEAVE</v>
      </c>
      <c r="C70" s="11"/>
      <c r="D70" s="6">
        <v>801.74</v>
      </c>
      <c r="E70" s="2"/>
      <c r="F70" s="7">
        <f t="shared" si="14"/>
        <v>6.1077692860886643E-2</v>
      </c>
      <c r="G70" s="2"/>
      <c r="H70" s="6">
        <v>926.46</v>
      </c>
      <c r="I70" s="2"/>
      <c r="J70" s="7">
        <f t="shared" si="15"/>
        <v>7.5563077299512685E-2</v>
      </c>
      <c r="K70" s="2"/>
      <c r="L70" s="6">
        <f t="shared" si="16"/>
        <v>-124.72000000000003</v>
      </c>
      <c r="M70" s="2"/>
      <c r="N70" s="7">
        <f t="shared" si="17"/>
        <v>-0.13461995121214085</v>
      </c>
      <c r="O70" s="11"/>
      <c r="P70" s="6">
        <v>5318.37</v>
      </c>
      <c r="Q70" s="2"/>
      <c r="R70" s="7">
        <f t="shared" si="18"/>
        <v>2.6938872378454029E-3</v>
      </c>
      <c r="S70" s="2"/>
      <c r="T70" s="6">
        <v>7524.48</v>
      </c>
      <c r="U70" s="2"/>
      <c r="V70" s="7">
        <f t="shared" si="19"/>
        <v>3.2433311189225969E-3</v>
      </c>
      <c r="W70" s="2"/>
      <c r="X70" s="6">
        <f t="shared" si="20"/>
        <v>-2206.1099999999997</v>
      </c>
      <c r="Y70" s="2"/>
      <c r="Z70" s="7">
        <f t="shared" si="21"/>
        <v>-0.29319102449604489</v>
      </c>
    </row>
    <row r="71" spans="1:26" s="24" customFormat="1" hidden="1" outlineLevel="2" x14ac:dyDescent="0.25">
      <c r="A71" s="26"/>
      <c r="B71" s="11" t="str">
        <f>CONCATENATE("          ", "6156", " - ", "EMPLOYEE MEALS")</f>
        <v xml:space="preserve">          6156 - EMPLOYEE MEALS</v>
      </c>
      <c r="C71" s="11"/>
      <c r="D71" s="6">
        <v>566.07000000000005</v>
      </c>
      <c r="E71" s="2"/>
      <c r="F71" s="7">
        <f t="shared" si="14"/>
        <v>4.3124017259662861E-2</v>
      </c>
      <c r="G71" s="2"/>
      <c r="H71" s="6">
        <v>718.05</v>
      </c>
      <c r="I71" s="2"/>
      <c r="J71" s="7">
        <f t="shared" si="15"/>
        <v>5.8564932814061138E-2</v>
      </c>
      <c r="K71" s="2"/>
      <c r="L71" s="6">
        <f t="shared" si="16"/>
        <v>-151.9799999999999</v>
      </c>
      <c r="M71" s="2"/>
      <c r="N71" s="7">
        <f t="shared" si="17"/>
        <v>-0.21165656987674941</v>
      </c>
      <c r="O71" s="11"/>
      <c r="P71" s="6">
        <v>2944.8</v>
      </c>
      <c r="Q71" s="2"/>
      <c r="R71" s="7">
        <f t="shared" si="18"/>
        <v>1.4916147500093342E-3</v>
      </c>
      <c r="S71" s="2"/>
      <c r="T71" s="6">
        <v>3539.35</v>
      </c>
      <c r="U71" s="2"/>
      <c r="V71" s="7">
        <f t="shared" si="19"/>
        <v>1.5255916682293917E-3</v>
      </c>
      <c r="W71" s="2"/>
      <c r="X71" s="6">
        <f t="shared" si="20"/>
        <v>-594.54999999999973</v>
      </c>
      <c r="Y71" s="2"/>
      <c r="Z71" s="7">
        <f t="shared" si="21"/>
        <v>-0.1679828217045502</v>
      </c>
    </row>
    <row r="72" spans="1:26" s="25" customFormat="1" outlineLevel="1" collapsed="1" x14ac:dyDescent="0.25">
      <c r="A72" s="27"/>
      <c r="B72" s="13" t="str">
        <f>CONCATENATE("     ","*Payroll                                          ")</f>
        <v xml:space="preserve">     *Payroll                                          </v>
      </c>
      <c r="C72" s="13"/>
      <c r="D72" s="1">
        <f>SUM(OSRRefD22_1x_0)</f>
        <v>22494.690000000002</v>
      </c>
      <c r="E72" s="1"/>
      <c r="F72" s="5">
        <f t="shared" ref="F72:F77" si="22">IF(D$12=0,0,D72/D$12)</f>
        <v>1.713677460050463</v>
      </c>
      <c r="G72" s="1"/>
      <c r="H72" s="1">
        <f>SUM(OSRRefH22_1x_0)</f>
        <v>26101.690000000002</v>
      </c>
      <c r="I72" s="1"/>
      <c r="J72" s="5">
        <f t="shared" ref="J72:J77" si="23">IF(H$12=0,0,H72/H$12)</f>
        <v>2.1288820015088805</v>
      </c>
      <c r="K72" s="1"/>
      <c r="L72" s="1">
        <f t="shared" ref="L72:L77" si="24">+D72-H72</f>
        <v>-3607</v>
      </c>
      <c r="M72" s="1"/>
      <c r="N72" s="5">
        <f t="shared" ref="N72:N77" si="25">IF(H72=0,0,L72/H72)</f>
        <v>-0.13819028576310574</v>
      </c>
      <c r="O72" s="13"/>
      <c r="P72" s="1">
        <f>SUM(OSRRefP22_1x_0)</f>
        <v>118955.95999999999</v>
      </c>
      <c r="Q72" s="1"/>
      <c r="R72" s="5">
        <f t="shared" ref="R72:R77" si="26">IF(P$12=0,0,P72/P$12)</f>
        <v>6.0254164811708887E-2</v>
      </c>
      <c r="S72" s="1"/>
      <c r="T72" s="1">
        <f>SUM(OSRRefT22_1x_0)</f>
        <v>142394.81</v>
      </c>
      <c r="U72" s="1"/>
      <c r="V72" s="5">
        <f t="shared" ref="V72:V77" si="27">IF(T$12=0,0,T72/T$12)</f>
        <v>6.1377466409116725E-2</v>
      </c>
      <c r="W72" s="1"/>
      <c r="X72" s="1">
        <f t="shared" ref="X72:X77" si="28">+P72-T72</f>
        <v>-23438.850000000006</v>
      </c>
      <c r="Y72" s="1"/>
      <c r="Z72" s="5">
        <f t="shared" ref="Z72:Z77" si="29">IF(T72=0,0,X72/T72)</f>
        <v>-0.16460466501552976</v>
      </c>
    </row>
    <row r="73" spans="1:26" s="24" customFormat="1" hidden="1" outlineLevel="2" x14ac:dyDescent="0.25">
      <c r="A73" s="26"/>
      <c r="B73" s="11" t="str">
        <f>CONCATENATE("          ", "6002", " - ", "STAFF SALARIES")</f>
        <v xml:space="preserve">          6002 - STAFF SALARIES</v>
      </c>
      <c r="C73" s="11"/>
      <c r="D73" s="6">
        <v>13756.3</v>
      </c>
      <c r="E73" s="2"/>
      <c r="F73" s="7">
        <f t="shared" si="22"/>
        <v>1.0479744883655735</v>
      </c>
      <c r="G73" s="2"/>
      <c r="H73" s="6">
        <v>13053.83</v>
      </c>
      <c r="I73" s="2"/>
      <c r="J73" s="7">
        <f t="shared" si="23"/>
        <v>1.0646844605754135</v>
      </c>
      <c r="K73" s="2"/>
      <c r="L73" s="6">
        <f t="shared" si="24"/>
        <v>702.46999999999935</v>
      </c>
      <c r="M73" s="2"/>
      <c r="N73" s="7">
        <f t="shared" si="25"/>
        <v>5.3813325284609907E-2</v>
      </c>
      <c r="O73" s="11"/>
      <c r="P73" s="6">
        <v>74645.83</v>
      </c>
      <c r="Q73" s="2"/>
      <c r="R73" s="7">
        <f t="shared" si="26"/>
        <v>3.7809977266601895E-2</v>
      </c>
      <c r="S73" s="2"/>
      <c r="T73" s="6">
        <v>67603.360000000001</v>
      </c>
      <c r="U73" s="2"/>
      <c r="V73" s="7">
        <f t="shared" si="27"/>
        <v>2.9139565954288821E-2</v>
      </c>
      <c r="W73" s="2"/>
      <c r="X73" s="6">
        <f t="shared" si="28"/>
        <v>7042.4700000000012</v>
      </c>
      <c r="Y73" s="2"/>
      <c r="Z73" s="7">
        <f t="shared" si="29"/>
        <v>0.10417337244776001</v>
      </c>
    </row>
    <row r="74" spans="1:26" s="24" customFormat="1" hidden="1" outlineLevel="2" x14ac:dyDescent="0.25">
      <c r="A74" s="26"/>
      <c r="B74" s="11" t="str">
        <f>CONCATENATE("          ", "6004", " - ", "STAFF HOURLY")</f>
        <v xml:space="preserve">          6004 - STAFF HOURLY</v>
      </c>
      <c r="C74" s="11"/>
      <c r="D74" s="6">
        <v>3123.86</v>
      </c>
      <c r="E74" s="2"/>
      <c r="F74" s="7">
        <f t="shared" si="22"/>
        <v>0.23798009531819461</v>
      </c>
      <c r="G74" s="2"/>
      <c r="H74" s="6">
        <v>6226.82</v>
      </c>
      <c r="I74" s="2"/>
      <c r="J74" s="7">
        <f t="shared" si="23"/>
        <v>0.50786615826927395</v>
      </c>
      <c r="K74" s="2"/>
      <c r="L74" s="6">
        <f t="shared" si="24"/>
        <v>-3102.9599999999996</v>
      </c>
      <c r="M74" s="2"/>
      <c r="N74" s="7">
        <f t="shared" si="25"/>
        <v>-0.49832177580209475</v>
      </c>
      <c r="O74" s="11"/>
      <c r="P74" s="6">
        <v>15313.030000000002</v>
      </c>
      <c r="Q74" s="2"/>
      <c r="R74" s="7">
        <f t="shared" si="26"/>
        <v>7.7564321567968747E-3</v>
      </c>
      <c r="S74" s="2"/>
      <c r="T74" s="6">
        <v>31097.32</v>
      </c>
      <c r="U74" s="2"/>
      <c r="V74" s="7">
        <f t="shared" si="27"/>
        <v>1.3404103096970696E-2</v>
      </c>
      <c r="W74" s="2"/>
      <c r="X74" s="6">
        <f t="shared" si="28"/>
        <v>-15784.289999999997</v>
      </c>
      <c r="Y74" s="2"/>
      <c r="Z74" s="7">
        <f t="shared" si="29"/>
        <v>-0.50757718028434595</v>
      </c>
    </row>
    <row r="75" spans="1:26" s="24" customFormat="1" hidden="1" outlineLevel="2" x14ac:dyDescent="0.25">
      <c r="A75" s="26"/>
      <c r="B75" s="11" t="str">
        <f>CONCATENATE("          ", "6005", " - ", "TEMPORARY WAGES-HOURLY")</f>
        <v xml:space="preserve">          6005 - TEMPORARY WAGES-HOURLY</v>
      </c>
      <c r="C75" s="11"/>
      <c r="D75" s="6">
        <v>2577.02</v>
      </c>
      <c r="E75" s="2"/>
      <c r="F75" s="7">
        <f t="shared" si="22"/>
        <v>0.19632104679367637</v>
      </c>
      <c r="G75" s="2"/>
      <c r="H75" s="6">
        <v>3128.22</v>
      </c>
      <c r="I75" s="2"/>
      <c r="J75" s="7">
        <f t="shared" si="23"/>
        <v>0.25514099871541301</v>
      </c>
      <c r="K75" s="2"/>
      <c r="L75" s="6">
        <f t="shared" si="24"/>
        <v>-551.19999999999982</v>
      </c>
      <c r="M75" s="2"/>
      <c r="N75" s="7">
        <f t="shared" si="25"/>
        <v>-0.17620244100478863</v>
      </c>
      <c r="O75" s="11"/>
      <c r="P75" s="6">
        <v>10271.120000000001</v>
      </c>
      <c r="Q75" s="2"/>
      <c r="R75" s="7">
        <f t="shared" si="26"/>
        <v>5.2025788138806957E-3</v>
      </c>
      <c r="S75" s="2"/>
      <c r="T75" s="6">
        <v>16855.53</v>
      </c>
      <c r="U75" s="2"/>
      <c r="V75" s="7">
        <f t="shared" si="27"/>
        <v>7.2653611910634885E-3</v>
      </c>
      <c r="W75" s="2"/>
      <c r="X75" s="6">
        <f t="shared" si="28"/>
        <v>-6584.409999999998</v>
      </c>
      <c r="Y75" s="2"/>
      <c r="Z75" s="7">
        <f t="shared" si="29"/>
        <v>-0.390637968666663</v>
      </c>
    </row>
    <row r="76" spans="1:26" s="24" customFormat="1" hidden="1" outlineLevel="2" x14ac:dyDescent="0.25">
      <c r="A76" s="26"/>
      <c r="B76" s="11" t="str">
        <f>CONCATENATE("          ", "6006", " - ", "TEMPORARY PART TIME")</f>
        <v xml:space="preserve">          6006 - TEMPORARY PART TIME</v>
      </c>
      <c r="C76" s="11"/>
      <c r="D76" s="6"/>
      <c r="E76" s="2"/>
      <c r="F76" s="7">
        <f t="shared" si="22"/>
        <v>0</v>
      </c>
      <c r="G76" s="2"/>
      <c r="H76" s="6">
        <v>470.25</v>
      </c>
      <c r="I76" s="2"/>
      <c r="J76" s="7">
        <f t="shared" si="23"/>
        <v>3.8354097424708931E-2</v>
      </c>
      <c r="K76" s="2"/>
      <c r="L76" s="6">
        <f t="shared" si="24"/>
        <v>-470.25</v>
      </c>
      <c r="M76" s="2"/>
      <c r="N76" s="7">
        <f t="shared" si="25"/>
        <v>-1</v>
      </c>
      <c r="O76" s="11"/>
      <c r="P76" s="6"/>
      <c r="Q76" s="2"/>
      <c r="R76" s="7">
        <f t="shared" si="26"/>
        <v>0</v>
      </c>
      <c r="S76" s="2"/>
      <c r="T76" s="6">
        <v>3834.31</v>
      </c>
      <c r="U76" s="2"/>
      <c r="V76" s="7">
        <f t="shared" si="27"/>
        <v>1.6527304136094592E-3</v>
      </c>
      <c r="W76" s="2"/>
      <c r="X76" s="6">
        <f t="shared" si="28"/>
        <v>-3834.31</v>
      </c>
      <c r="Y76" s="2"/>
      <c r="Z76" s="7">
        <f t="shared" si="29"/>
        <v>-1</v>
      </c>
    </row>
    <row r="77" spans="1:26" s="24" customFormat="1" hidden="1" outlineLevel="2" x14ac:dyDescent="0.25">
      <c r="A77" s="26"/>
      <c r="B77" s="11" t="str">
        <f>CONCATENATE("          ", "6007", " - ", "STUDENT HOURLY")</f>
        <v xml:space="preserve">          6007 - STUDENT HOURLY</v>
      </c>
      <c r="C77" s="11"/>
      <c r="D77" s="6">
        <v>3037.51</v>
      </c>
      <c r="E77" s="2"/>
      <c r="F77" s="7">
        <f t="shared" si="22"/>
        <v>0.23140182957301841</v>
      </c>
      <c r="G77" s="2"/>
      <c r="H77" s="6">
        <v>3222.57</v>
      </c>
      <c r="I77" s="2"/>
      <c r="J77" s="7">
        <f t="shared" si="23"/>
        <v>0.26283628652407076</v>
      </c>
      <c r="K77" s="2"/>
      <c r="L77" s="6">
        <f t="shared" si="24"/>
        <v>-185.05999999999995</v>
      </c>
      <c r="M77" s="2"/>
      <c r="N77" s="7">
        <f t="shared" si="25"/>
        <v>-5.7426215722234095E-2</v>
      </c>
      <c r="O77" s="11"/>
      <c r="P77" s="6">
        <v>18725.98</v>
      </c>
      <c r="Q77" s="2"/>
      <c r="R77" s="7">
        <f t="shared" si="26"/>
        <v>9.4851765744294308E-3</v>
      </c>
      <c r="S77" s="2"/>
      <c r="T77" s="6">
        <v>23004.289999999997</v>
      </c>
      <c r="U77" s="2"/>
      <c r="V77" s="7">
        <f t="shared" si="27"/>
        <v>9.9157057531842601E-3</v>
      </c>
      <c r="W77" s="2"/>
      <c r="X77" s="6">
        <f t="shared" si="28"/>
        <v>-4278.3099999999977</v>
      </c>
      <c r="Y77" s="2"/>
      <c r="Z77" s="7">
        <f t="shared" si="29"/>
        <v>-0.18597878917367144</v>
      </c>
    </row>
    <row r="78" spans="1:26" s="25" customFormat="1" outlineLevel="1" collapsed="1" x14ac:dyDescent="0.25">
      <c r="A78" s="27"/>
      <c r="B78" s="13" t="str">
        <f>CONCATENATE("     ","Advertising/Promo                                 ")</f>
        <v xml:space="preserve">     Advertising/Promo                                 </v>
      </c>
      <c r="C78" s="13"/>
      <c r="D78" s="1">
        <f>SUM(OSRRefD22_2x_0)</f>
        <v>72.069999999999993</v>
      </c>
      <c r="E78" s="1"/>
      <c r="F78" s="5">
        <f t="shared" ref="F78:F82" si="30">IF(D$12=0,0,D78/D$12)</f>
        <v>5.4903950463792497E-3</v>
      </c>
      <c r="G78" s="1"/>
      <c r="H78" s="1">
        <f>SUM(OSRRefH22_2x_0)</f>
        <v>263.55</v>
      </c>
      <c r="I78" s="1"/>
      <c r="J78" s="5">
        <f t="shared" ref="J78:J82" si="31">IF(H$12=0,0,H78/H$12)</f>
        <v>2.1495422384438152E-2</v>
      </c>
      <c r="K78" s="1"/>
      <c r="L78" s="1">
        <f t="shared" ref="L78:L82" si="32">+D78-H78</f>
        <v>-191.48000000000002</v>
      </c>
      <c r="M78" s="1"/>
      <c r="N78" s="5">
        <f t="shared" ref="N78:N82" si="33">IF(H78=0,0,L78/H78)</f>
        <v>-0.72654145323468033</v>
      </c>
      <c r="O78" s="13"/>
      <c r="P78" s="1">
        <f>SUM(OSRRefP22_2x_0)</f>
        <v>3208.09</v>
      </c>
      <c r="Q78" s="1"/>
      <c r="R78" s="5">
        <f t="shared" ref="R78:R82" si="34">IF(P$12=0,0,P78/P$12)</f>
        <v>1.6249777110015774E-3</v>
      </c>
      <c r="S78" s="1"/>
      <c r="T78" s="1">
        <f>SUM(OSRRefT22_2x_0)</f>
        <v>2244.89</v>
      </c>
      <c r="U78" s="1"/>
      <c r="V78" s="5">
        <f t="shared" ref="V78:V82" si="35">IF(T$12=0,0,T78/T$12)</f>
        <v>9.6763119784465488E-4</v>
      </c>
      <c r="W78" s="1"/>
      <c r="X78" s="1">
        <f t="shared" ref="X78:X82" si="36">+P78-T78</f>
        <v>963.20000000000027</v>
      </c>
      <c r="Y78" s="1"/>
      <c r="Z78" s="5">
        <f t="shared" ref="Z78:Z82" si="37">IF(T78=0,0,X78/T78)</f>
        <v>0.4290633394063853</v>
      </c>
    </row>
    <row r="79" spans="1:26" s="24" customFormat="1" hidden="1" outlineLevel="2" x14ac:dyDescent="0.25">
      <c r="A79" s="26"/>
      <c r="B79" s="11" t="str">
        <f>CONCATENATE("          ", "6362", " - ", "ADVERTISING EXPENSE")</f>
        <v xml:space="preserve">          6362 - ADVERTISING EXPENSE</v>
      </c>
      <c r="C79" s="11"/>
      <c r="D79" s="6">
        <v>72.069999999999993</v>
      </c>
      <c r="E79" s="2"/>
      <c r="F79" s="7">
        <f t="shared" si="30"/>
        <v>5.4903950463792497E-3</v>
      </c>
      <c r="G79" s="2"/>
      <c r="H79" s="6">
        <v>263.55</v>
      </c>
      <c r="I79" s="2"/>
      <c r="J79" s="7">
        <f t="shared" si="31"/>
        <v>2.1495422384438152E-2</v>
      </c>
      <c r="K79" s="2"/>
      <c r="L79" s="6">
        <f t="shared" si="32"/>
        <v>-191.48000000000002</v>
      </c>
      <c r="M79" s="2"/>
      <c r="N79" s="7">
        <f t="shared" si="33"/>
        <v>-0.72654145323468033</v>
      </c>
      <c r="O79" s="11"/>
      <c r="P79" s="6">
        <v>3208.09</v>
      </c>
      <c r="Q79" s="2"/>
      <c r="R79" s="7">
        <f t="shared" si="34"/>
        <v>1.6249777110015774E-3</v>
      </c>
      <c r="S79" s="2"/>
      <c r="T79" s="6">
        <v>2244.89</v>
      </c>
      <c r="U79" s="2"/>
      <c r="V79" s="7">
        <f t="shared" si="35"/>
        <v>9.6763119784465488E-4</v>
      </c>
      <c r="W79" s="2"/>
      <c r="X79" s="6">
        <f t="shared" si="36"/>
        <v>963.20000000000027</v>
      </c>
      <c r="Y79" s="2"/>
      <c r="Z79" s="7">
        <f t="shared" si="37"/>
        <v>0.4290633394063853</v>
      </c>
    </row>
    <row r="80" spans="1:26" s="25" customFormat="1" outlineLevel="1" collapsed="1" x14ac:dyDescent="0.25">
      <c r="A80" s="27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SUM(OSRRefD22_3x_0)</f>
        <v>242.82</v>
      </c>
      <c r="E80" s="1"/>
      <c r="F80" s="5">
        <f t="shared" si="30"/>
        <v>1.8498372764837095E-2</v>
      </c>
      <c r="G80" s="1"/>
      <c r="H80" s="1">
        <f>SUM(OSRRefH22_3x_0)</f>
        <v>-2341.2800000000002</v>
      </c>
      <c r="I80" s="1"/>
      <c r="J80" s="5">
        <f t="shared" si="31"/>
        <v>-0.19095732316538552</v>
      </c>
      <c r="K80" s="1"/>
      <c r="L80" s="1">
        <f t="shared" si="32"/>
        <v>2584.1000000000004</v>
      </c>
      <c r="M80" s="1"/>
      <c r="N80" s="5">
        <f t="shared" si="33"/>
        <v>-1.1037124991457665</v>
      </c>
      <c r="O80" s="13"/>
      <c r="P80" s="1">
        <f>SUM(OSRRefP22_3x_0)</f>
        <v>-2513.23</v>
      </c>
      <c r="Q80" s="1"/>
      <c r="R80" s="5">
        <f t="shared" si="34"/>
        <v>-1.2730137660166934E-3</v>
      </c>
      <c r="S80" s="1"/>
      <c r="T80" s="1">
        <f>SUM(OSRRefT22_3x_0)</f>
        <v>14701.780000000002</v>
      </c>
      <c r="U80" s="1"/>
      <c r="V80" s="5">
        <f t="shared" si="35"/>
        <v>6.3370147276029529E-3</v>
      </c>
      <c r="W80" s="1"/>
      <c r="X80" s="1">
        <f t="shared" si="36"/>
        <v>-17215.010000000002</v>
      </c>
      <c r="Y80" s="1"/>
      <c r="Z80" s="5">
        <f t="shared" si="37"/>
        <v>-1.1709473274664699</v>
      </c>
    </row>
    <row r="81" spans="1:26" s="24" customFormat="1" hidden="1" outlineLevel="2" x14ac:dyDescent="0.25">
      <c r="A81" s="26"/>
      <c r="B81" s="11" t="str">
        <f>CONCATENATE("          ", "6382", " - ", "DISCOUNTS/MARK DOWNS")</f>
        <v xml:space="preserve">          6382 - DISCOUNTS/MARK DOWNS</v>
      </c>
      <c r="C81" s="11"/>
      <c r="D81" s="6">
        <v>242.82</v>
      </c>
      <c r="E81" s="2"/>
      <c r="F81" s="7">
        <f t="shared" si="30"/>
        <v>1.8498372764837095E-2</v>
      </c>
      <c r="G81" s="2"/>
      <c r="H81" s="6">
        <v>-2341.2800000000002</v>
      </c>
      <c r="I81" s="2"/>
      <c r="J81" s="7">
        <f t="shared" si="31"/>
        <v>-0.19095732316538552</v>
      </c>
      <c r="K81" s="2"/>
      <c r="L81" s="6">
        <f t="shared" si="32"/>
        <v>2584.1000000000004</v>
      </c>
      <c r="M81" s="2"/>
      <c r="N81" s="7">
        <f t="shared" si="33"/>
        <v>-1.1037124991457665</v>
      </c>
      <c r="O81" s="11"/>
      <c r="P81" s="6">
        <v>-2079.6</v>
      </c>
      <c r="Q81" s="2"/>
      <c r="R81" s="7">
        <f t="shared" si="34"/>
        <v>-1.0533693405730138E-3</v>
      </c>
      <c r="S81" s="2"/>
      <c r="T81" s="6">
        <v>14779.350000000002</v>
      </c>
      <c r="U81" s="2"/>
      <c r="V81" s="7">
        <f t="shared" si="35"/>
        <v>6.3704502865910588E-3</v>
      </c>
      <c r="W81" s="2"/>
      <c r="X81" s="6">
        <f t="shared" si="36"/>
        <v>-16858.95</v>
      </c>
      <c r="Y81" s="2"/>
      <c r="Z81" s="7">
        <f t="shared" si="37"/>
        <v>-1.140709841772473</v>
      </c>
    </row>
    <row r="82" spans="1:26" s="24" customFormat="1" hidden="1" outlineLevel="2" x14ac:dyDescent="0.25">
      <c r="A82" s="26"/>
      <c r="B82" s="11" t="str">
        <f>CONCATENATE("          ", "9175", " - ", "EARNED DISCOUNTS")</f>
        <v xml:space="preserve">          9175 - EARNED DISCOUNTS</v>
      </c>
      <c r="C82" s="11"/>
      <c r="D82" s="6"/>
      <c r="E82" s="2"/>
      <c r="F82" s="7">
        <f t="shared" si="30"/>
        <v>0</v>
      </c>
      <c r="G82" s="2"/>
      <c r="H82" s="6"/>
      <c r="I82" s="2"/>
      <c r="J82" s="7">
        <f t="shared" si="31"/>
        <v>0</v>
      </c>
      <c r="K82" s="2"/>
      <c r="L82" s="6">
        <f t="shared" si="32"/>
        <v>0</v>
      </c>
      <c r="M82" s="2"/>
      <c r="N82" s="7">
        <f t="shared" si="33"/>
        <v>0</v>
      </c>
      <c r="O82" s="11"/>
      <c r="P82" s="6">
        <v>-433.63</v>
      </c>
      <c r="Q82" s="2"/>
      <c r="R82" s="7">
        <f t="shared" si="34"/>
        <v>-2.1964442544367957E-4</v>
      </c>
      <c r="S82" s="2"/>
      <c r="T82" s="6">
        <v>-77.569999999999993</v>
      </c>
      <c r="U82" s="2"/>
      <c r="V82" s="7">
        <f t="shared" si="35"/>
        <v>-3.3435558988106265E-5</v>
      </c>
      <c r="W82" s="2"/>
      <c r="X82" s="6">
        <f t="shared" si="36"/>
        <v>-356.06</v>
      </c>
      <c r="Y82" s="2"/>
      <c r="Z82" s="7">
        <f t="shared" si="37"/>
        <v>4.5901766146706207</v>
      </c>
    </row>
    <row r="83" spans="1:26" s="25" customFormat="1" outlineLevel="1" collapsed="1" x14ac:dyDescent="0.25">
      <c r="A83" s="27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SUM(OSRRefD22_4x_0)</f>
        <v>37.880000000000003</v>
      </c>
      <c r="E83" s="1"/>
      <c r="F83" s="5">
        <f t="shared" ref="F83:F89" si="38">IF(D$12=0,0,D83/D$12)</f>
        <v>2.8857522458283062E-3</v>
      </c>
      <c r="G83" s="1"/>
      <c r="H83" s="1">
        <f>SUM(OSRRefH22_4x_0)</f>
        <v>73.61</v>
      </c>
      <c r="I83" s="1"/>
      <c r="J83" s="5">
        <f t="shared" ref="J83:J89" si="39">IF(H$12=0,0,H83/H$12)</f>
        <v>6.003711029096916E-3</v>
      </c>
      <c r="K83" s="1"/>
      <c r="L83" s="1">
        <f t="shared" ref="L83:L89" si="40">+D83-H83</f>
        <v>-35.729999999999997</v>
      </c>
      <c r="M83" s="1"/>
      <c r="N83" s="5">
        <f t="shared" ref="N83:N89" si="41">IF(H83=0,0,L83/H83)</f>
        <v>-0.4853960059774487</v>
      </c>
      <c r="O83" s="13"/>
      <c r="P83" s="1">
        <f>SUM(OSRRefP22_4x_0)</f>
        <v>37.880000000000003</v>
      </c>
      <c r="Q83" s="1"/>
      <c r="R83" s="5">
        <f t="shared" ref="R83:R89" si="42">IF(P$12=0,0,P83/P$12)</f>
        <v>1.9187166099685405E-5</v>
      </c>
      <c r="S83" s="1"/>
      <c r="T83" s="1">
        <f>SUM(OSRRefT22_4x_0)</f>
        <v>372.67</v>
      </c>
      <c r="U83" s="1"/>
      <c r="V83" s="5">
        <f t="shared" ref="V83:V89" si="43">IF(T$12=0,0,T83/T$12)</f>
        <v>1.6063464958228135E-4</v>
      </c>
      <c r="W83" s="1"/>
      <c r="X83" s="1">
        <f t="shared" ref="X83:X89" si="44">+P83-T83</f>
        <v>-334.79</v>
      </c>
      <c r="Y83" s="1"/>
      <c r="Z83" s="5">
        <f t="shared" ref="Z83:Z89" si="45">IF(T83=0,0,X83/T83)</f>
        <v>-0.89835511310274507</v>
      </c>
    </row>
    <row r="84" spans="1:26" s="24" customFormat="1" hidden="1" outlineLevel="2" x14ac:dyDescent="0.25">
      <c r="A84" s="26"/>
      <c r="B84" s="11" t="str">
        <f>CONCATENATE("          ", "6277", " - ", "EMPLOYEE APPRECIATION")</f>
        <v xml:space="preserve">          6277 - EMPLOYEE APPRECIATION</v>
      </c>
      <c r="C84" s="11"/>
      <c r="D84" s="6">
        <v>37.880000000000003</v>
      </c>
      <c r="E84" s="2"/>
      <c r="F84" s="7">
        <f t="shared" si="38"/>
        <v>2.8857522458283062E-3</v>
      </c>
      <c r="G84" s="2"/>
      <c r="H84" s="6">
        <v>73.61</v>
      </c>
      <c r="I84" s="2"/>
      <c r="J84" s="7">
        <f t="shared" si="39"/>
        <v>6.003711029096916E-3</v>
      </c>
      <c r="K84" s="2"/>
      <c r="L84" s="6">
        <f t="shared" si="40"/>
        <v>-35.729999999999997</v>
      </c>
      <c r="M84" s="2"/>
      <c r="N84" s="7">
        <f t="shared" si="41"/>
        <v>-0.4853960059774487</v>
      </c>
      <c r="O84" s="11"/>
      <c r="P84" s="6">
        <v>37.880000000000003</v>
      </c>
      <c r="Q84" s="2"/>
      <c r="R84" s="7">
        <f t="shared" si="42"/>
        <v>1.9187166099685405E-5</v>
      </c>
      <c r="S84" s="2"/>
      <c r="T84" s="6">
        <v>372.67</v>
      </c>
      <c r="U84" s="2"/>
      <c r="V84" s="7">
        <f t="shared" si="43"/>
        <v>1.6063464958228135E-4</v>
      </c>
      <c r="W84" s="2"/>
      <c r="X84" s="6">
        <f t="shared" si="44"/>
        <v>-334.79</v>
      </c>
      <c r="Y84" s="2"/>
      <c r="Z84" s="7">
        <f t="shared" si="45"/>
        <v>-0.89835511310274507</v>
      </c>
    </row>
    <row r="85" spans="1:26" s="25" customFormat="1" outlineLevel="1" collapsed="1" x14ac:dyDescent="0.25">
      <c r="A85" s="27"/>
      <c r="B85" s="13" t="str">
        <f>CONCATENATE("     ","Equipment Rental                                  ")</f>
        <v xml:space="preserve">     Equipment Rental                                  </v>
      </c>
      <c r="C85" s="13"/>
      <c r="D85" s="1">
        <f>SUM(OSRRefD22_5x_0)</f>
        <v>91.26</v>
      </c>
      <c r="E85" s="1"/>
      <c r="F85" s="5">
        <f t="shared" si="38"/>
        <v>6.9523165246644985E-3</v>
      </c>
      <c r="G85" s="1"/>
      <c r="H85" s="1">
        <f>SUM(OSRRefH22_5x_0)</f>
        <v>91.26</v>
      </c>
      <c r="I85" s="1"/>
      <c r="J85" s="5">
        <f t="shared" si="39"/>
        <v>7.4432640743837056E-3</v>
      </c>
      <c r="K85" s="1"/>
      <c r="L85" s="1">
        <f t="shared" si="40"/>
        <v>0</v>
      </c>
      <c r="M85" s="1"/>
      <c r="N85" s="5">
        <f t="shared" si="41"/>
        <v>0</v>
      </c>
      <c r="O85" s="13"/>
      <c r="P85" s="1">
        <f>SUM(OSRRefP22_5x_0)</f>
        <v>547.55999999999995</v>
      </c>
      <c r="Q85" s="1"/>
      <c r="R85" s="5">
        <f t="shared" si="42"/>
        <v>2.7735281598584315E-4</v>
      </c>
      <c r="S85" s="1"/>
      <c r="T85" s="1">
        <f>SUM(OSRRefT22_5x_0)</f>
        <v>456.3</v>
      </c>
      <c r="U85" s="1"/>
      <c r="V85" s="5">
        <f t="shared" si="43"/>
        <v>1.9668229426676408E-4</v>
      </c>
      <c r="W85" s="1"/>
      <c r="X85" s="1">
        <f t="shared" si="44"/>
        <v>91.259999999999934</v>
      </c>
      <c r="Y85" s="1"/>
      <c r="Z85" s="5">
        <f t="shared" si="45"/>
        <v>0.19999999999999984</v>
      </c>
    </row>
    <row r="86" spans="1:26" s="24" customFormat="1" hidden="1" outlineLevel="2" x14ac:dyDescent="0.25">
      <c r="A86" s="26"/>
      <c r="B86" s="11" t="str">
        <f>CONCATENATE("          ", "6351", " - ", "EQUIPMENT RENTAL")</f>
        <v xml:space="preserve">          6351 - EQUIPMENT RENTAL</v>
      </c>
      <c r="C86" s="11"/>
      <c r="D86" s="6">
        <v>91.26</v>
      </c>
      <c r="E86" s="2"/>
      <c r="F86" s="7">
        <f t="shared" si="38"/>
        <v>6.9523165246644985E-3</v>
      </c>
      <c r="G86" s="2"/>
      <c r="H86" s="6">
        <v>91.26</v>
      </c>
      <c r="I86" s="2"/>
      <c r="J86" s="7">
        <f t="shared" si="39"/>
        <v>7.4432640743837056E-3</v>
      </c>
      <c r="K86" s="2"/>
      <c r="L86" s="6">
        <f t="shared" si="40"/>
        <v>0</v>
      </c>
      <c r="M86" s="2"/>
      <c r="N86" s="7">
        <f t="shared" si="41"/>
        <v>0</v>
      </c>
      <c r="O86" s="11"/>
      <c r="P86" s="6">
        <v>547.55999999999995</v>
      </c>
      <c r="Q86" s="2"/>
      <c r="R86" s="7">
        <f t="shared" si="42"/>
        <v>2.7735281598584315E-4</v>
      </c>
      <c r="S86" s="2"/>
      <c r="T86" s="6">
        <v>456.3</v>
      </c>
      <c r="U86" s="2"/>
      <c r="V86" s="7">
        <f t="shared" si="43"/>
        <v>1.9668229426676408E-4</v>
      </c>
      <c r="W86" s="2"/>
      <c r="X86" s="6">
        <f t="shared" si="44"/>
        <v>91.259999999999934</v>
      </c>
      <c r="Y86" s="2"/>
      <c r="Z86" s="7">
        <f t="shared" si="45"/>
        <v>0.19999999999999984</v>
      </c>
    </row>
    <row r="87" spans="1:26" s="25" customFormat="1" outlineLevel="1" collapsed="1" x14ac:dyDescent="0.25">
      <c r="A87" s="27"/>
      <c r="B87" s="13" t="str">
        <f>CONCATENATE("     ","Freight out/Postage                               ")</f>
        <v xml:space="preserve">     Freight out/Postage                               </v>
      </c>
      <c r="C87" s="13"/>
      <c r="D87" s="1">
        <f>SUM(OSRRefD22_6x_0)</f>
        <v>5255.62</v>
      </c>
      <c r="E87" s="1"/>
      <c r="F87" s="5">
        <f t="shared" si="38"/>
        <v>0.40038060238173601</v>
      </c>
      <c r="G87" s="1"/>
      <c r="H87" s="1">
        <f>SUM(OSRRefH22_6x_0)</f>
        <v>3796.18</v>
      </c>
      <c r="I87" s="1"/>
      <c r="J87" s="5">
        <f t="shared" si="39"/>
        <v>0.3096205370797056</v>
      </c>
      <c r="K87" s="1"/>
      <c r="L87" s="1">
        <f t="shared" si="40"/>
        <v>1459.44</v>
      </c>
      <c r="M87" s="1"/>
      <c r="N87" s="5">
        <f t="shared" si="41"/>
        <v>0.3844496309447919</v>
      </c>
      <c r="O87" s="13"/>
      <c r="P87" s="1">
        <f>SUM(OSRRefP22_6x_0)</f>
        <v>9370.7900000000009</v>
      </c>
      <c r="Q87" s="1"/>
      <c r="R87" s="5">
        <f t="shared" si="42"/>
        <v>4.7465391820293292E-3</v>
      </c>
      <c r="S87" s="1"/>
      <c r="T87" s="1">
        <f>SUM(OSRRefT22_6x_0)</f>
        <v>12527.66</v>
      </c>
      <c r="U87" s="1"/>
      <c r="V87" s="5">
        <f t="shared" si="43"/>
        <v>5.3998880354897433E-3</v>
      </c>
      <c r="W87" s="1"/>
      <c r="X87" s="1">
        <f t="shared" si="44"/>
        <v>-3156.869999999999</v>
      </c>
      <c r="Y87" s="1"/>
      <c r="Z87" s="5">
        <f t="shared" si="45"/>
        <v>-0.25199199211983714</v>
      </c>
    </row>
    <row r="88" spans="1:26" s="24" customFormat="1" hidden="1" outlineLevel="2" x14ac:dyDescent="0.25">
      <c r="A88" s="26"/>
      <c r="B88" s="11" t="str">
        <f>CONCATENATE("          ", "6305", " - ", "FREIGHT OUT")</f>
        <v xml:space="preserve">          6305 - FREIGHT OUT</v>
      </c>
      <c r="C88" s="11"/>
      <c r="D88" s="6">
        <v>5255.62</v>
      </c>
      <c r="E88" s="2"/>
      <c r="F88" s="7">
        <f t="shared" si="38"/>
        <v>0.40038060238173601</v>
      </c>
      <c r="G88" s="2"/>
      <c r="H88" s="6">
        <v>3796.18</v>
      </c>
      <c r="I88" s="2"/>
      <c r="J88" s="7">
        <f t="shared" si="39"/>
        <v>0.3096205370797056</v>
      </c>
      <c r="K88" s="2"/>
      <c r="L88" s="6">
        <f t="shared" si="40"/>
        <v>1459.44</v>
      </c>
      <c r="M88" s="2"/>
      <c r="N88" s="7">
        <f t="shared" si="41"/>
        <v>0.3844496309447919</v>
      </c>
      <c r="O88" s="11"/>
      <c r="P88" s="6">
        <v>9370.2900000000009</v>
      </c>
      <c r="Q88" s="2"/>
      <c r="R88" s="7">
        <f t="shared" si="42"/>
        <v>4.7462859195412134E-3</v>
      </c>
      <c r="S88" s="2"/>
      <c r="T88" s="6">
        <v>12526.72</v>
      </c>
      <c r="U88" s="2"/>
      <c r="V88" s="7">
        <f t="shared" si="43"/>
        <v>5.3994828604807341E-3</v>
      </c>
      <c r="W88" s="2"/>
      <c r="X88" s="6">
        <f t="shared" si="44"/>
        <v>-3156.4299999999985</v>
      </c>
      <c r="Y88" s="2"/>
      <c r="Z88" s="7">
        <f t="shared" si="45"/>
        <v>-0.25197577657998255</v>
      </c>
    </row>
    <row r="89" spans="1:26" s="24" customFormat="1" hidden="1" outlineLevel="2" x14ac:dyDescent="0.25">
      <c r="A89" s="26"/>
      <c r="B89" s="11" t="str">
        <f>CONCATENATE("          ", "6307", " - ", "POSTAGE")</f>
        <v xml:space="preserve">          6307 - POSTAGE</v>
      </c>
      <c r="C89" s="11"/>
      <c r="D89" s="6"/>
      <c r="E89" s="2"/>
      <c r="F89" s="7">
        <f t="shared" si="38"/>
        <v>0</v>
      </c>
      <c r="G89" s="2"/>
      <c r="H89" s="6"/>
      <c r="I89" s="2"/>
      <c r="J89" s="7">
        <f t="shared" si="39"/>
        <v>0</v>
      </c>
      <c r="K89" s="2"/>
      <c r="L89" s="6">
        <f t="shared" si="40"/>
        <v>0</v>
      </c>
      <c r="M89" s="2"/>
      <c r="N89" s="7">
        <f t="shared" si="41"/>
        <v>0</v>
      </c>
      <c r="O89" s="11"/>
      <c r="P89" s="6">
        <v>0.5</v>
      </c>
      <c r="Q89" s="2"/>
      <c r="R89" s="7">
        <f t="shared" si="42"/>
        <v>2.5326248811622759E-7</v>
      </c>
      <c r="S89" s="2"/>
      <c r="T89" s="6">
        <v>0.94</v>
      </c>
      <c r="U89" s="2"/>
      <c r="V89" s="7">
        <f t="shared" si="43"/>
        <v>4.0517500900889377E-7</v>
      </c>
      <c r="W89" s="2"/>
      <c r="X89" s="6">
        <f t="shared" si="44"/>
        <v>-0.43999999999999995</v>
      </c>
      <c r="Y89" s="2"/>
      <c r="Z89" s="7">
        <f t="shared" si="45"/>
        <v>-0.46808510638297868</v>
      </c>
    </row>
    <row r="90" spans="1:26" s="25" customFormat="1" outlineLevel="1" collapsed="1" x14ac:dyDescent="0.25">
      <c r="A90" s="27"/>
      <c r="B90" s="13" t="str">
        <f>CONCATENATE("     ","General                                           ")</f>
        <v xml:space="preserve">     General                                           </v>
      </c>
      <c r="C90" s="13"/>
      <c r="D90" s="1">
        <f>SUM(OSRRefD22_7x_0)</f>
        <v>9645.06</v>
      </c>
      <c r="E90" s="1"/>
      <c r="F90" s="5">
        <f t="shared" ref="F90:F96" si="46">IF(D$12=0,0,D90/D$12)</f>
        <v>0.734774381102132</v>
      </c>
      <c r="G90" s="1"/>
      <c r="H90" s="1">
        <f>SUM(OSRRefH22_7x_0)</f>
        <v>12777.05</v>
      </c>
      <c r="I90" s="1"/>
      <c r="J90" s="5">
        <f t="shared" ref="J90:J96" si="47">IF(H$12=0,0,H90/H$12)</f>
        <v>1.0421099851151032</v>
      </c>
      <c r="K90" s="1"/>
      <c r="L90" s="1">
        <f t="shared" ref="L90:L96" si="48">+D90-H90</f>
        <v>-3131.99</v>
      </c>
      <c r="M90" s="1"/>
      <c r="N90" s="5">
        <f t="shared" ref="N90:N96" si="49">IF(H90=0,0,L90/H90)</f>
        <v>-0.24512622240658055</v>
      </c>
      <c r="O90" s="13"/>
      <c r="P90" s="1">
        <f>SUM(OSRRefP22_7x_0)</f>
        <v>8152.9</v>
      </c>
      <c r="Q90" s="1"/>
      <c r="R90" s="5">
        <f t="shared" ref="R90:R96" si="50">IF(P$12=0,0,P90/P$12)</f>
        <v>4.1296474787255837E-3</v>
      </c>
      <c r="S90" s="1"/>
      <c r="T90" s="1">
        <f>SUM(OSRRefT22_7x_0)</f>
        <v>12128.63</v>
      </c>
      <c r="U90" s="1"/>
      <c r="V90" s="5">
        <f t="shared" ref="V90:V96" si="51">IF(T$12=0,0,T90/T$12)</f>
        <v>5.2278912441654675E-3</v>
      </c>
      <c r="W90" s="1"/>
      <c r="X90" s="1">
        <f t="shared" ref="X90:X96" si="52">+P90-T90</f>
        <v>-3975.7299999999996</v>
      </c>
      <c r="Y90" s="1"/>
      <c r="Z90" s="5">
        <f t="shared" ref="Z90:Z96" si="53">IF(T90=0,0,X90/T90)</f>
        <v>-0.32779712135665773</v>
      </c>
    </row>
    <row r="91" spans="1:26" s="24" customFormat="1" hidden="1" outlineLevel="2" x14ac:dyDescent="0.25">
      <c r="A91" s="26"/>
      <c r="B91" s="11" t="str">
        <f>CONCATENATE("          ", "6279", " - ", "GENERAL EXPENSE")</f>
        <v xml:space="preserve">          6279 - GENERAL EXPENSE</v>
      </c>
      <c r="C91" s="11"/>
      <c r="D91" s="6">
        <v>9645.06</v>
      </c>
      <c r="E91" s="2"/>
      <c r="F91" s="7">
        <f t="shared" si="46"/>
        <v>0.734774381102132</v>
      </c>
      <c r="G91" s="2"/>
      <c r="H91" s="6">
        <v>12777.05</v>
      </c>
      <c r="I91" s="2"/>
      <c r="J91" s="7">
        <f t="shared" si="47"/>
        <v>1.0421099851151032</v>
      </c>
      <c r="K91" s="2"/>
      <c r="L91" s="6">
        <f t="shared" si="48"/>
        <v>-3131.99</v>
      </c>
      <c r="M91" s="2"/>
      <c r="N91" s="7">
        <f t="shared" si="49"/>
        <v>-0.24512622240658055</v>
      </c>
      <c r="O91" s="11"/>
      <c r="P91" s="6">
        <v>8152.9</v>
      </c>
      <c r="Q91" s="2"/>
      <c r="R91" s="7">
        <f t="shared" si="50"/>
        <v>4.1296474787255837E-3</v>
      </c>
      <c r="S91" s="2"/>
      <c r="T91" s="6">
        <v>12128.63</v>
      </c>
      <c r="U91" s="2"/>
      <c r="V91" s="7">
        <f t="shared" si="51"/>
        <v>5.2278912441654675E-3</v>
      </c>
      <c r="W91" s="2"/>
      <c r="X91" s="6">
        <f t="shared" si="52"/>
        <v>-3975.7299999999996</v>
      </c>
      <c r="Y91" s="2"/>
      <c r="Z91" s="7">
        <f t="shared" si="53"/>
        <v>-0.32779712135665773</v>
      </c>
    </row>
    <row r="92" spans="1:26" s="25" customFormat="1" outlineLevel="1" collapsed="1" x14ac:dyDescent="0.25">
      <c r="A92" s="27"/>
      <c r="B92" s="13" t="str">
        <f>CONCATENATE("     ","Inventory Adjustment                              ")</f>
        <v xml:space="preserve">     Inventory Adjustment                              </v>
      </c>
      <c r="C92" s="13"/>
      <c r="D92" s="1">
        <f>SUM(OSRRefD22_8x_0)</f>
        <v>1000</v>
      </c>
      <c r="E92" s="1"/>
      <c r="F92" s="5">
        <f t="shared" si="46"/>
        <v>7.6181421484379772E-2</v>
      </c>
      <c r="G92" s="1"/>
      <c r="H92" s="1">
        <f>SUM(OSRRefH22_8x_0)</f>
        <v>6950</v>
      </c>
      <c r="I92" s="1"/>
      <c r="J92" s="5">
        <f t="shared" si="47"/>
        <v>0.56684949941887741</v>
      </c>
      <c r="K92" s="1"/>
      <c r="L92" s="1">
        <f t="shared" si="48"/>
        <v>-5950</v>
      </c>
      <c r="M92" s="1"/>
      <c r="N92" s="5">
        <f t="shared" si="49"/>
        <v>-0.85611510791366907</v>
      </c>
      <c r="O92" s="13"/>
      <c r="P92" s="1">
        <f>SUM(OSRRefP22_8x_0)</f>
        <v>5000</v>
      </c>
      <c r="Q92" s="1"/>
      <c r="R92" s="5">
        <f t="shared" si="50"/>
        <v>2.5326248811622762E-3</v>
      </c>
      <c r="S92" s="1"/>
      <c r="T92" s="1">
        <f>SUM(OSRRefT22_8x_0)</f>
        <v>34750</v>
      </c>
      <c r="U92" s="1"/>
      <c r="V92" s="5">
        <f t="shared" si="51"/>
        <v>1.4978544216020276E-2</v>
      </c>
      <c r="W92" s="1"/>
      <c r="X92" s="1">
        <f t="shared" si="52"/>
        <v>-29750</v>
      </c>
      <c r="Y92" s="1"/>
      <c r="Z92" s="5">
        <f t="shared" si="53"/>
        <v>-0.85611510791366907</v>
      </c>
    </row>
    <row r="93" spans="1:26" s="24" customFormat="1" hidden="1" outlineLevel="2" x14ac:dyDescent="0.25">
      <c r="A93" s="26"/>
      <c r="B93" s="11" t="str">
        <f>CONCATENATE("          ", "6408", " - ", "INVENTORY ADJUSTMENT")</f>
        <v xml:space="preserve">          6408 - INVENTORY ADJUSTMENT</v>
      </c>
      <c r="C93" s="11"/>
      <c r="D93" s="6">
        <v>1000</v>
      </c>
      <c r="E93" s="2"/>
      <c r="F93" s="7">
        <f t="shared" si="46"/>
        <v>7.6181421484379772E-2</v>
      </c>
      <c r="G93" s="2"/>
      <c r="H93" s="6">
        <v>6950</v>
      </c>
      <c r="I93" s="2"/>
      <c r="J93" s="7">
        <f t="shared" si="47"/>
        <v>0.56684949941887741</v>
      </c>
      <c r="K93" s="2"/>
      <c r="L93" s="6">
        <f t="shared" si="48"/>
        <v>-5950</v>
      </c>
      <c r="M93" s="2"/>
      <c r="N93" s="7">
        <f t="shared" si="49"/>
        <v>-0.85611510791366907</v>
      </c>
      <c r="O93" s="11"/>
      <c r="P93" s="6">
        <v>5000</v>
      </c>
      <c r="Q93" s="2"/>
      <c r="R93" s="7">
        <f t="shared" si="50"/>
        <v>2.5326248811622762E-3</v>
      </c>
      <c r="S93" s="2"/>
      <c r="T93" s="6">
        <v>34750</v>
      </c>
      <c r="U93" s="2"/>
      <c r="V93" s="7">
        <f t="shared" si="51"/>
        <v>1.4978544216020276E-2</v>
      </c>
      <c r="W93" s="2"/>
      <c r="X93" s="6">
        <f t="shared" si="52"/>
        <v>-29750</v>
      </c>
      <c r="Y93" s="2"/>
      <c r="Z93" s="7">
        <f t="shared" si="53"/>
        <v>-0.85611510791366907</v>
      </c>
    </row>
    <row r="94" spans="1:26" s="25" customFormat="1" outlineLevel="1" collapsed="1" x14ac:dyDescent="0.25">
      <c r="A94" s="27"/>
      <c r="B94" s="13" t="str">
        <f>CONCATENATE("     ","Repair and Maintenance                            ")</f>
        <v xml:space="preserve">     Repair and Maintenance                            </v>
      </c>
      <c r="C94" s="13"/>
      <c r="D94" s="1">
        <f>SUM(OSRRefD22_9x_0)</f>
        <v>21.62</v>
      </c>
      <c r="E94" s="1"/>
      <c r="F94" s="5">
        <f t="shared" si="46"/>
        <v>1.6470423324922909E-3</v>
      </c>
      <c r="G94" s="1"/>
      <c r="H94" s="1">
        <f>SUM(OSRRefH22_9x_0)</f>
        <v>105.78999999999999</v>
      </c>
      <c r="I94" s="1"/>
      <c r="J94" s="5">
        <f t="shared" si="47"/>
        <v>8.628346553024897E-3</v>
      </c>
      <c r="K94" s="1"/>
      <c r="L94" s="1">
        <f t="shared" si="48"/>
        <v>-84.169999999999987</v>
      </c>
      <c r="M94" s="1"/>
      <c r="N94" s="5">
        <f t="shared" si="49"/>
        <v>-0.79563285754797231</v>
      </c>
      <c r="O94" s="13"/>
      <c r="P94" s="1">
        <f>SUM(OSRRefP22_9x_0)</f>
        <v>119.56</v>
      </c>
      <c r="Q94" s="1"/>
      <c r="R94" s="5">
        <f t="shared" si="50"/>
        <v>6.056012615835235E-5</v>
      </c>
      <c r="S94" s="1"/>
      <c r="T94" s="1">
        <f>SUM(OSRRefT22_9x_0)</f>
        <v>464.18</v>
      </c>
      <c r="U94" s="1"/>
      <c r="V94" s="5">
        <f t="shared" si="51"/>
        <v>2.0007886774654076E-4</v>
      </c>
      <c r="W94" s="1"/>
      <c r="X94" s="1">
        <f t="shared" si="52"/>
        <v>-344.62</v>
      </c>
      <c r="Y94" s="1"/>
      <c r="Z94" s="5">
        <f t="shared" si="53"/>
        <v>-0.74242750657072687</v>
      </c>
    </row>
    <row r="95" spans="1:26" s="24" customFormat="1" hidden="1" outlineLevel="2" x14ac:dyDescent="0.25">
      <c r="A95" s="26"/>
      <c r="B95" s="11" t="str">
        <f>CONCATENATE("          ", "6373", " - ", "MAINTENANCE CONTRACTS")</f>
        <v xml:space="preserve">          6373 - MAINTENANCE CONTRACTS</v>
      </c>
      <c r="C95" s="11"/>
      <c r="D95" s="6">
        <v>21.62</v>
      </c>
      <c r="E95" s="2"/>
      <c r="F95" s="7">
        <f t="shared" si="46"/>
        <v>1.6470423324922909E-3</v>
      </c>
      <c r="G95" s="2"/>
      <c r="H95" s="6">
        <v>27.79</v>
      </c>
      <c r="I95" s="2"/>
      <c r="J95" s="7">
        <f t="shared" si="47"/>
        <v>2.2665823868849785E-3</v>
      </c>
      <c r="K95" s="2"/>
      <c r="L95" s="6">
        <f t="shared" si="48"/>
        <v>-6.1699999999999982</v>
      </c>
      <c r="M95" s="2"/>
      <c r="N95" s="7">
        <f t="shared" si="49"/>
        <v>-0.2220223101835192</v>
      </c>
      <c r="O95" s="11"/>
      <c r="P95" s="6">
        <v>119.56</v>
      </c>
      <c r="Q95" s="2"/>
      <c r="R95" s="7">
        <f t="shared" si="50"/>
        <v>6.056012615835235E-5</v>
      </c>
      <c r="S95" s="2"/>
      <c r="T95" s="6">
        <v>152.18</v>
      </c>
      <c r="U95" s="2"/>
      <c r="V95" s="7">
        <f t="shared" si="51"/>
        <v>6.559524773507815E-5</v>
      </c>
      <c r="W95" s="2"/>
      <c r="X95" s="6">
        <f t="shared" si="52"/>
        <v>-32.620000000000005</v>
      </c>
      <c r="Y95" s="2"/>
      <c r="Z95" s="7">
        <f t="shared" si="53"/>
        <v>-0.2143514259429623</v>
      </c>
    </row>
    <row r="96" spans="1:26" s="24" customFormat="1" hidden="1" outlineLevel="2" x14ac:dyDescent="0.25">
      <c r="A96" s="26"/>
      <c r="B96" s="11" t="str">
        <f>CONCATENATE("          ", "6375", " - ", "OUTSIDE REPAIRS &amp; MAINTENANCE")</f>
        <v xml:space="preserve">          6375 - OUTSIDE REPAIRS &amp; MAINTENANCE</v>
      </c>
      <c r="C96" s="11"/>
      <c r="D96" s="6"/>
      <c r="E96" s="2"/>
      <c r="F96" s="7">
        <f t="shared" si="46"/>
        <v>0</v>
      </c>
      <c r="G96" s="2"/>
      <c r="H96" s="6">
        <v>78</v>
      </c>
      <c r="I96" s="2"/>
      <c r="J96" s="7">
        <f t="shared" si="47"/>
        <v>6.3617641661399193E-3</v>
      </c>
      <c r="K96" s="2"/>
      <c r="L96" s="6">
        <f t="shared" si="48"/>
        <v>-78</v>
      </c>
      <c r="M96" s="2"/>
      <c r="N96" s="7">
        <f t="shared" si="49"/>
        <v>-1</v>
      </c>
      <c r="O96" s="11"/>
      <c r="P96" s="6"/>
      <c r="Q96" s="2"/>
      <c r="R96" s="7">
        <f t="shared" si="50"/>
        <v>0</v>
      </c>
      <c r="S96" s="2"/>
      <c r="T96" s="6">
        <v>312</v>
      </c>
      <c r="U96" s="2"/>
      <c r="V96" s="7">
        <f t="shared" si="51"/>
        <v>1.3448362001146263E-4</v>
      </c>
      <c r="W96" s="2"/>
      <c r="X96" s="6">
        <f t="shared" si="52"/>
        <v>-312</v>
      </c>
      <c r="Y96" s="2"/>
      <c r="Z96" s="7">
        <f t="shared" si="53"/>
        <v>-1</v>
      </c>
    </row>
    <row r="97" spans="1:26" s="25" customFormat="1" outlineLevel="1" collapsed="1" x14ac:dyDescent="0.25">
      <c r="A97" s="27"/>
      <c r="B97" s="13" t="str">
        <f>CONCATENATE("     ","Subscriptions &amp; Dues                              ")</f>
        <v xml:space="preserve">     Subscriptions &amp; Dues                              </v>
      </c>
      <c r="C97" s="13"/>
      <c r="D97" s="1">
        <f>SUM(OSRRefD22_10x_0)</f>
        <v>250</v>
      </c>
      <c r="E97" s="1"/>
      <c r="F97" s="5">
        <f t="shared" ref="F97:F103" si="54">IF(D$12=0,0,D97/D$12)</f>
        <v>1.9045355371094943E-2</v>
      </c>
      <c r="G97" s="1"/>
      <c r="H97" s="1">
        <f>SUM(OSRRefH22_10x_0)</f>
        <v>3193.53</v>
      </c>
      <c r="I97" s="1"/>
      <c r="J97" s="5">
        <f t="shared" ref="J97:J103" si="55">IF(H$12=0,0,H97/H$12)</f>
        <v>0.26046775278836942</v>
      </c>
      <c r="K97" s="1"/>
      <c r="L97" s="1">
        <f t="shared" ref="L97:L103" si="56">+D97-H97</f>
        <v>-2943.53</v>
      </c>
      <c r="M97" s="1"/>
      <c r="N97" s="5">
        <f t="shared" ref="N97:N103" si="57">IF(H97=0,0,L97/H97)</f>
        <v>-0.92171672099526225</v>
      </c>
      <c r="O97" s="13"/>
      <c r="P97" s="1">
        <f>SUM(OSRRefP22_10x_0)</f>
        <v>1307.4000000000001</v>
      </c>
      <c r="Q97" s="1"/>
      <c r="R97" s="5">
        <f t="shared" ref="R97:R103" si="58">IF(P$12=0,0,P97/P$12)</f>
        <v>6.6223075392631199E-4</v>
      </c>
      <c r="S97" s="1"/>
      <c r="T97" s="1">
        <f>SUM(OSRRefT22_10x_0)</f>
        <v>4757.6499999999996</v>
      </c>
      <c r="U97" s="1"/>
      <c r="V97" s="5">
        <f t="shared" ref="V97:V103" si="59">IF(T$12=0,0,T97/T$12)</f>
        <v>2.0507243421395357E-3</v>
      </c>
      <c r="W97" s="1"/>
      <c r="X97" s="1">
        <f t="shared" ref="X97:X103" si="60">+P97-T97</f>
        <v>-3450.2499999999995</v>
      </c>
      <c r="Y97" s="1"/>
      <c r="Z97" s="5">
        <f t="shared" ref="Z97:Z103" si="61">IF(T97=0,0,X97/T97)</f>
        <v>-0.72520046661692217</v>
      </c>
    </row>
    <row r="98" spans="1:26" s="24" customFormat="1" hidden="1" outlineLevel="2" x14ac:dyDescent="0.25">
      <c r="A98" s="26"/>
      <c r="B98" s="11" t="str">
        <f>CONCATENATE("          ", "6258", " - ", "MEMBERSHIP DUES")</f>
        <v xml:space="preserve">          6258 - MEMBERSHIP DUES</v>
      </c>
      <c r="C98" s="11"/>
      <c r="D98" s="6">
        <v>250</v>
      </c>
      <c r="E98" s="2"/>
      <c r="F98" s="7">
        <f t="shared" si="54"/>
        <v>1.9045355371094943E-2</v>
      </c>
      <c r="G98" s="2"/>
      <c r="H98" s="6">
        <v>3193.53</v>
      </c>
      <c r="I98" s="2"/>
      <c r="J98" s="7">
        <f t="shared" si="55"/>
        <v>0.26046775278836942</v>
      </c>
      <c r="K98" s="2"/>
      <c r="L98" s="6">
        <f t="shared" si="56"/>
        <v>-2943.53</v>
      </c>
      <c r="M98" s="2"/>
      <c r="N98" s="7">
        <f t="shared" si="57"/>
        <v>-0.92171672099526225</v>
      </c>
      <c r="O98" s="11"/>
      <c r="P98" s="6">
        <v>1307.4000000000001</v>
      </c>
      <c r="Q98" s="2"/>
      <c r="R98" s="7">
        <f t="shared" si="58"/>
        <v>6.6223075392631199E-4</v>
      </c>
      <c r="S98" s="2"/>
      <c r="T98" s="6">
        <v>4757.6499999999996</v>
      </c>
      <c r="U98" s="2"/>
      <c r="V98" s="7">
        <f t="shared" si="59"/>
        <v>2.0507243421395357E-3</v>
      </c>
      <c r="W98" s="2"/>
      <c r="X98" s="6">
        <f t="shared" si="60"/>
        <v>-3450.2499999999995</v>
      </c>
      <c r="Y98" s="2"/>
      <c r="Z98" s="7">
        <f t="shared" si="61"/>
        <v>-0.72520046661692217</v>
      </c>
    </row>
    <row r="99" spans="1:26" s="25" customFormat="1" outlineLevel="1" collapsed="1" x14ac:dyDescent="0.25">
      <c r="A99" s="27"/>
      <c r="B99" s="13" t="str">
        <f>CONCATENATE("     ","Supplies                                          ")</f>
        <v xml:space="preserve">     Supplies                                          </v>
      </c>
      <c r="C99" s="13"/>
      <c r="D99" s="1">
        <f>SUM(OSRRefD22_11x_0)</f>
        <v>78.040000000000006</v>
      </c>
      <c r="E99" s="1"/>
      <c r="F99" s="5">
        <f t="shared" si="54"/>
        <v>5.9451981326409985E-3</v>
      </c>
      <c r="G99" s="1"/>
      <c r="H99" s="1">
        <f>SUM(OSRRefH22_11x_0)</f>
        <v>180.71</v>
      </c>
      <c r="I99" s="1"/>
      <c r="J99" s="5">
        <f t="shared" si="55"/>
        <v>1.4738902595681344E-2</v>
      </c>
      <c r="K99" s="1"/>
      <c r="L99" s="1">
        <f t="shared" si="56"/>
        <v>-102.67</v>
      </c>
      <c r="M99" s="1"/>
      <c r="N99" s="5">
        <f t="shared" si="57"/>
        <v>-0.56814786121409988</v>
      </c>
      <c r="O99" s="13"/>
      <c r="P99" s="1">
        <f>SUM(OSRRefP22_11x_0)</f>
        <v>9214.59</v>
      </c>
      <c r="Q99" s="1"/>
      <c r="R99" s="5">
        <f t="shared" si="58"/>
        <v>4.6674199807418193E-3</v>
      </c>
      <c r="S99" s="1"/>
      <c r="T99" s="1">
        <f>SUM(OSRRefT22_11x_0)</f>
        <v>7357.9</v>
      </c>
      <c r="U99" s="1"/>
      <c r="V99" s="5">
        <f t="shared" si="59"/>
        <v>3.1715289348792975E-3</v>
      </c>
      <c r="W99" s="1"/>
      <c r="X99" s="1">
        <f t="shared" si="60"/>
        <v>1856.6900000000005</v>
      </c>
      <c r="Y99" s="1"/>
      <c r="Z99" s="5">
        <f t="shared" si="61"/>
        <v>0.25233966213185838</v>
      </c>
    </row>
    <row r="100" spans="1:26" s="24" customFormat="1" hidden="1" outlineLevel="2" x14ac:dyDescent="0.25">
      <c r="A100" s="26"/>
      <c r="B100" s="11" t="str">
        <f>CONCATENATE("          ", "6234", " - ", "EXPENDABLE SUPPLIES &amp; EQUIPMEN")</f>
        <v xml:space="preserve">          6234 - EXPENDABLE SUPPLIES &amp; EQUIPMEN</v>
      </c>
      <c r="C100" s="11"/>
      <c r="D100" s="6"/>
      <c r="E100" s="2"/>
      <c r="F100" s="7">
        <f t="shared" si="54"/>
        <v>0</v>
      </c>
      <c r="G100" s="2"/>
      <c r="H100" s="6"/>
      <c r="I100" s="2"/>
      <c r="J100" s="7">
        <f t="shared" si="55"/>
        <v>0</v>
      </c>
      <c r="K100" s="2"/>
      <c r="L100" s="6">
        <f t="shared" si="56"/>
        <v>0</v>
      </c>
      <c r="M100" s="2"/>
      <c r="N100" s="7">
        <f t="shared" si="57"/>
        <v>0</v>
      </c>
      <c r="O100" s="11"/>
      <c r="P100" s="6"/>
      <c r="Q100" s="2"/>
      <c r="R100" s="7">
        <f t="shared" si="58"/>
        <v>0</v>
      </c>
      <c r="S100" s="2"/>
      <c r="T100" s="6">
        <v>272.45999999999998</v>
      </c>
      <c r="U100" s="2"/>
      <c r="V100" s="7">
        <f t="shared" si="59"/>
        <v>1.1744040739847149E-4</v>
      </c>
      <c r="W100" s="2"/>
      <c r="X100" s="6">
        <f t="shared" si="60"/>
        <v>-272.45999999999998</v>
      </c>
      <c r="Y100" s="2"/>
      <c r="Z100" s="7">
        <f t="shared" si="61"/>
        <v>-1</v>
      </c>
    </row>
    <row r="101" spans="1:26" s="24" customFormat="1" hidden="1" outlineLevel="2" x14ac:dyDescent="0.25">
      <c r="A101" s="26"/>
      <c r="B101" s="11" t="str">
        <f>CONCATENATE("          ", "6241", " - ", "OFFICE EXPENSE")</f>
        <v xml:space="preserve">          6241 - OFFICE EXPENSE</v>
      </c>
      <c r="C101" s="11"/>
      <c r="D101" s="6">
        <v>78.040000000000006</v>
      </c>
      <c r="E101" s="2"/>
      <c r="F101" s="7">
        <f t="shared" si="54"/>
        <v>5.9451981326409985E-3</v>
      </c>
      <c r="G101" s="2"/>
      <c r="H101" s="6">
        <v>180.71</v>
      </c>
      <c r="I101" s="2"/>
      <c r="J101" s="7">
        <f t="shared" si="55"/>
        <v>1.4738902595681344E-2</v>
      </c>
      <c r="K101" s="2"/>
      <c r="L101" s="6">
        <f t="shared" si="56"/>
        <v>-102.67</v>
      </c>
      <c r="M101" s="2"/>
      <c r="N101" s="7">
        <f t="shared" si="57"/>
        <v>-0.56814786121409988</v>
      </c>
      <c r="O101" s="11"/>
      <c r="P101" s="6">
        <v>3375.47</v>
      </c>
      <c r="Q101" s="2"/>
      <c r="R101" s="7">
        <f t="shared" si="58"/>
        <v>1.7097598615233656E-3</v>
      </c>
      <c r="S101" s="2"/>
      <c r="T101" s="6">
        <v>1150.28</v>
      </c>
      <c r="U101" s="2"/>
      <c r="V101" s="7">
        <f t="shared" si="59"/>
        <v>4.9581352059867062E-4</v>
      </c>
      <c r="W101" s="2"/>
      <c r="X101" s="6">
        <f t="shared" si="60"/>
        <v>2225.1899999999996</v>
      </c>
      <c r="Y101" s="2"/>
      <c r="Z101" s="7">
        <f t="shared" si="61"/>
        <v>1.9344768230343914</v>
      </c>
    </row>
    <row r="102" spans="1:26" s="24" customFormat="1" hidden="1" outlineLevel="2" x14ac:dyDescent="0.25">
      <c r="A102" s="26"/>
      <c r="B102" s="11" t="str">
        <f>CONCATENATE("          ", "6245", " - ", "PRINTING")</f>
        <v xml:space="preserve">          6245 - PRINTING</v>
      </c>
      <c r="C102" s="11"/>
      <c r="D102" s="6"/>
      <c r="E102" s="2"/>
      <c r="F102" s="7">
        <f t="shared" si="54"/>
        <v>0</v>
      </c>
      <c r="G102" s="2"/>
      <c r="H102" s="6"/>
      <c r="I102" s="2"/>
      <c r="J102" s="7">
        <f t="shared" si="55"/>
        <v>0</v>
      </c>
      <c r="K102" s="2"/>
      <c r="L102" s="6">
        <f t="shared" si="56"/>
        <v>0</v>
      </c>
      <c r="M102" s="2"/>
      <c r="N102" s="7">
        <f t="shared" si="57"/>
        <v>0</v>
      </c>
      <c r="O102" s="11"/>
      <c r="P102" s="6">
        <v>4978.08</v>
      </c>
      <c r="Q102" s="2"/>
      <c r="R102" s="7">
        <f t="shared" si="58"/>
        <v>2.5215218536832605E-3</v>
      </c>
      <c r="S102" s="2"/>
      <c r="T102" s="6">
        <v>509.8</v>
      </c>
      <c r="U102" s="2"/>
      <c r="V102" s="7">
        <f t="shared" si="59"/>
        <v>2.1974278680078092E-4</v>
      </c>
      <c r="W102" s="2"/>
      <c r="X102" s="6">
        <f t="shared" si="60"/>
        <v>4468.28</v>
      </c>
      <c r="Y102" s="2"/>
      <c r="Z102" s="7">
        <f t="shared" si="61"/>
        <v>8.7647704982346006</v>
      </c>
    </row>
    <row r="103" spans="1:26" s="24" customFormat="1" hidden="1" outlineLevel="2" x14ac:dyDescent="0.25">
      <c r="A103" s="26"/>
      <c r="B103" s="11" t="str">
        <f>CONCATENATE("          ", "6247", " - ", "STORE SUPPLIES")</f>
        <v xml:space="preserve">          6247 - STORE SUPPLIES</v>
      </c>
      <c r="C103" s="11"/>
      <c r="D103" s="6"/>
      <c r="E103" s="2"/>
      <c r="F103" s="7">
        <f t="shared" si="54"/>
        <v>0</v>
      </c>
      <c r="G103" s="2"/>
      <c r="H103" s="6"/>
      <c r="I103" s="2"/>
      <c r="J103" s="7">
        <f t="shared" si="55"/>
        <v>0</v>
      </c>
      <c r="K103" s="2"/>
      <c r="L103" s="6">
        <f t="shared" si="56"/>
        <v>0</v>
      </c>
      <c r="M103" s="2"/>
      <c r="N103" s="7">
        <f t="shared" si="57"/>
        <v>0</v>
      </c>
      <c r="O103" s="11"/>
      <c r="P103" s="6">
        <v>861.04</v>
      </c>
      <c r="Q103" s="2"/>
      <c r="R103" s="7">
        <f t="shared" si="58"/>
        <v>4.361382655351932E-4</v>
      </c>
      <c r="S103" s="2"/>
      <c r="T103" s="6">
        <v>5425.36</v>
      </c>
      <c r="U103" s="2"/>
      <c r="V103" s="7">
        <f t="shared" si="59"/>
        <v>2.3385322200813745E-3</v>
      </c>
      <c r="W103" s="2"/>
      <c r="X103" s="6">
        <f t="shared" si="60"/>
        <v>-4564.32</v>
      </c>
      <c r="Y103" s="2"/>
      <c r="Z103" s="7">
        <f t="shared" si="61"/>
        <v>-0.84129348098559353</v>
      </c>
    </row>
    <row r="104" spans="1:26" s="25" customFormat="1" outlineLevel="1" collapsed="1" x14ac:dyDescent="0.25">
      <c r="A104" s="27"/>
      <c r="B104" s="13" t="str">
        <f>CONCATENATE("     ","Telephone/Data Lines                              ")</f>
        <v xml:space="preserve">     Telephone/Data Lines                              </v>
      </c>
      <c r="C104" s="13"/>
      <c r="D104" s="1">
        <f>SUM(OSRRefD22_12x_0)</f>
        <v>769.99</v>
      </c>
      <c r="E104" s="1"/>
      <c r="F104" s="5">
        <f t="shared" ref="F104:F106" si="62">IF(D$12=0,0,D104/D$12)</f>
        <v>5.8658932728757586E-2</v>
      </c>
      <c r="G104" s="1"/>
      <c r="H104" s="1">
        <f>SUM(OSRRefH22_12x_0)</f>
        <v>772.85</v>
      </c>
      <c r="I104" s="1"/>
      <c r="J104" s="5">
        <f t="shared" ref="J104:J106" si="63">IF(H$12=0,0,H104/H$12)</f>
        <v>6.3034479946169703E-2</v>
      </c>
      <c r="K104" s="1"/>
      <c r="L104" s="1">
        <f t="shared" ref="L104:L106" si="64">+D104-H104</f>
        <v>-2.8600000000000136</v>
      </c>
      <c r="M104" s="1"/>
      <c r="N104" s="5">
        <f t="shared" ref="N104:N106" si="65">IF(H104=0,0,L104/H104)</f>
        <v>-3.7005887300252489E-3</v>
      </c>
      <c r="O104" s="13"/>
      <c r="P104" s="1">
        <f>SUM(OSRRefP22_12x_0)</f>
        <v>3868.59</v>
      </c>
      <c r="Q104" s="1"/>
      <c r="R104" s="5">
        <f t="shared" ref="R104:R106" si="66">IF(P$12=0,0,P104/P$12)</f>
        <v>1.9595374578031139E-3</v>
      </c>
      <c r="S104" s="1"/>
      <c r="T104" s="1">
        <f>SUM(OSRRefT22_12x_0)</f>
        <v>3382.6</v>
      </c>
      <c r="U104" s="1"/>
      <c r="V104" s="5">
        <f t="shared" ref="V104:V106" si="67">IF(T$12=0,0,T104/T$12)</f>
        <v>1.4580265802909406E-3</v>
      </c>
      <c r="W104" s="1"/>
      <c r="X104" s="1">
        <f t="shared" ref="X104:X106" si="68">+P104-T104</f>
        <v>485.99000000000024</v>
      </c>
      <c r="Y104" s="1"/>
      <c r="Z104" s="5">
        <f t="shared" ref="Z104:Z106" si="69">IF(T104=0,0,X104/T104)</f>
        <v>0.14367350558741804</v>
      </c>
    </row>
    <row r="105" spans="1:26" s="24" customFormat="1" hidden="1" outlineLevel="2" x14ac:dyDescent="0.25">
      <c r="A105" s="26"/>
      <c r="B105" s="11" t="str">
        <f>CONCATENATE("          ", "6303", " - ", "DATA PHONE LINES")</f>
        <v xml:space="preserve">          6303 - DATA PHONE LINES</v>
      </c>
      <c r="C105" s="11"/>
      <c r="D105" s="6">
        <v>295</v>
      </c>
      <c r="E105" s="2"/>
      <c r="F105" s="7">
        <f t="shared" si="62"/>
        <v>2.2473519337892035E-2</v>
      </c>
      <c r="G105" s="2"/>
      <c r="H105" s="6">
        <v>295</v>
      </c>
      <c r="I105" s="2"/>
      <c r="J105" s="7">
        <f t="shared" si="63"/>
        <v>2.4060518320657386E-2</v>
      </c>
      <c r="K105" s="2"/>
      <c r="L105" s="6">
        <f t="shared" si="64"/>
        <v>0</v>
      </c>
      <c r="M105" s="2"/>
      <c r="N105" s="7">
        <f t="shared" si="65"/>
        <v>0</v>
      </c>
      <c r="O105" s="11"/>
      <c r="P105" s="6">
        <v>1475</v>
      </c>
      <c r="Q105" s="2"/>
      <c r="R105" s="7">
        <f t="shared" si="66"/>
        <v>7.4712433994287143E-4</v>
      </c>
      <c r="S105" s="2"/>
      <c r="T105" s="6">
        <v>885</v>
      </c>
      <c r="U105" s="2"/>
      <c r="V105" s="7">
        <f t="shared" si="67"/>
        <v>3.8146796060943724E-4</v>
      </c>
      <c r="W105" s="2"/>
      <c r="X105" s="6">
        <f t="shared" si="68"/>
        <v>590</v>
      </c>
      <c r="Y105" s="2"/>
      <c r="Z105" s="7">
        <f t="shared" si="69"/>
        <v>0.66666666666666663</v>
      </c>
    </row>
    <row r="106" spans="1:26" s="24" customFormat="1" hidden="1" outlineLevel="2" x14ac:dyDescent="0.25">
      <c r="A106" s="26"/>
      <c r="B106" s="11" t="str">
        <f>CONCATENATE("          ", "6309", " - ", "TELEPHONE")</f>
        <v xml:space="preserve">          6309 - TELEPHONE</v>
      </c>
      <c r="C106" s="11"/>
      <c r="D106" s="6">
        <v>474.99</v>
      </c>
      <c r="E106" s="2"/>
      <c r="F106" s="7">
        <f t="shared" si="62"/>
        <v>3.6185413390865548E-2</v>
      </c>
      <c r="G106" s="2"/>
      <c r="H106" s="6">
        <v>477.85</v>
      </c>
      <c r="I106" s="2"/>
      <c r="J106" s="7">
        <f t="shared" si="63"/>
        <v>3.897396162551231E-2</v>
      </c>
      <c r="K106" s="2"/>
      <c r="L106" s="6">
        <f t="shared" si="64"/>
        <v>-2.8600000000000136</v>
      </c>
      <c r="M106" s="2"/>
      <c r="N106" s="7">
        <f t="shared" si="65"/>
        <v>-5.9851417808936139E-3</v>
      </c>
      <c r="O106" s="11"/>
      <c r="P106" s="6">
        <v>2393.59</v>
      </c>
      <c r="Q106" s="2"/>
      <c r="R106" s="7">
        <f t="shared" si="66"/>
        <v>1.2124131178602425E-3</v>
      </c>
      <c r="S106" s="2"/>
      <c r="T106" s="6">
        <v>2497.6</v>
      </c>
      <c r="U106" s="2"/>
      <c r="V106" s="7">
        <f t="shared" si="67"/>
        <v>1.0765586196815034E-3</v>
      </c>
      <c r="W106" s="2"/>
      <c r="X106" s="6">
        <f t="shared" si="68"/>
        <v>-104.00999999999976</v>
      </c>
      <c r="Y106" s="2"/>
      <c r="Z106" s="7">
        <f t="shared" si="69"/>
        <v>-4.164397821909023E-2</v>
      </c>
    </row>
    <row r="107" spans="1:26" s="25" customFormat="1" outlineLevel="1" collapsed="1" x14ac:dyDescent="0.25">
      <c r="A107" s="27"/>
      <c r="B107" s="13" t="str">
        <f>CONCATENATE("     ","Training                                          ")</f>
        <v xml:space="preserve">     Training                                          </v>
      </c>
      <c r="C107" s="13"/>
      <c r="D107" s="1">
        <f>SUM(OSRRefD22_13x_0)</f>
        <v>0</v>
      </c>
      <c r="E107" s="1"/>
      <c r="F107" s="5">
        <f t="shared" ref="F107:F110" si="70">IF(D$12=0,0,D107/D$12)</f>
        <v>0</v>
      </c>
      <c r="G107" s="1"/>
      <c r="H107" s="1">
        <f>SUM(OSRRefH22_13x_0)</f>
        <v>0</v>
      </c>
      <c r="I107" s="1"/>
      <c r="J107" s="5">
        <f t="shared" ref="J107:J110" si="71">IF(H$12=0,0,H107/H$12)</f>
        <v>0</v>
      </c>
      <c r="K107" s="1"/>
      <c r="L107" s="1">
        <f t="shared" ref="L107:L110" si="72">+D107-H107</f>
        <v>0</v>
      </c>
      <c r="M107" s="1"/>
      <c r="N107" s="5">
        <f t="shared" ref="N107:N110" si="73">IF(H107=0,0,L107/H107)</f>
        <v>0</v>
      </c>
      <c r="O107" s="13"/>
      <c r="P107" s="1">
        <f>SUM(OSRRefP22_13x_0)</f>
        <v>547.47</v>
      </c>
      <c r="Q107" s="1"/>
      <c r="R107" s="5">
        <f t="shared" ref="R107:R110" si="74">IF(P$12=0,0,P107/P$12)</f>
        <v>2.773072287379823E-4</v>
      </c>
      <c r="S107" s="1"/>
      <c r="T107" s="1">
        <f>SUM(OSRRefT22_13x_0)</f>
        <v>-1024.26</v>
      </c>
      <c r="U107" s="1"/>
      <c r="V107" s="5">
        <f t="shared" ref="V107:V110" si="75">IF(T$12=0,0,T107/T$12)</f>
        <v>-4.4149420715686123E-4</v>
      </c>
      <c r="W107" s="1"/>
      <c r="X107" s="1">
        <f t="shared" ref="X107:X110" si="76">+P107-T107</f>
        <v>1571.73</v>
      </c>
      <c r="Y107" s="1"/>
      <c r="Z107" s="5">
        <f t="shared" ref="Z107:Z110" si="77">IF(T107=0,0,X107/T107)</f>
        <v>-1.5345029582332612</v>
      </c>
    </row>
    <row r="108" spans="1:26" s="24" customFormat="1" hidden="1" outlineLevel="2" x14ac:dyDescent="0.25">
      <c r="A108" s="26"/>
      <c r="B108" s="11" t="str">
        <f>CONCATENATE("          ", "6376", " - ", "TRAINING")</f>
        <v xml:space="preserve">          6376 - TRAINING</v>
      </c>
      <c r="C108" s="11"/>
      <c r="D108" s="6"/>
      <c r="E108" s="2"/>
      <c r="F108" s="7">
        <f t="shared" si="70"/>
        <v>0</v>
      </c>
      <c r="G108" s="2"/>
      <c r="H108" s="6"/>
      <c r="I108" s="2"/>
      <c r="J108" s="7">
        <f t="shared" si="71"/>
        <v>0</v>
      </c>
      <c r="K108" s="2"/>
      <c r="L108" s="6">
        <f t="shared" si="72"/>
        <v>0</v>
      </c>
      <c r="M108" s="2"/>
      <c r="N108" s="7">
        <f t="shared" si="73"/>
        <v>0</v>
      </c>
      <c r="O108" s="11"/>
      <c r="P108" s="6">
        <v>547.47</v>
      </c>
      <c r="Q108" s="2"/>
      <c r="R108" s="7">
        <f t="shared" si="74"/>
        <v>2.773072287379823E-4</v>
      </c>
      <c r="S108" s="2"/>
      <c r="T108" s="6">
        <v>-1024.26</v>
      </c>
      <c r="U108" s="2"/>
      <c r="V108" s="7">
        <f t="shared" si="75"/>
        <v>-4.4149420715686123E-4</v>
      </c>
      <c r="W108" s="2"/>
      <c r="X108" s="6">
        <f t="shared" si="76"/>
        <v>1571.73</v>
      </c>
      <c r="Y108" s="2"/>
      <c r="Z108" s="7">
        <f t="shared" si="77"/>
        <v>-1.5345029582332612</v>
      </c>
    </row>
    <row r="109" spans="1:26" s="25" customFormat="1" outlineLevel="1" collapsed="1" x14ac:dyDescent="0.25">
      <c r="A109" s="27"/>
      <c r="B109" s="13" t="str">
        <f>CONCATENATE("     ","Travel                                            ")</f>
        <v xml:space="preserve">     Travel                                            </v>
      </c>
      <c r="C109" s="13"/>
      <c r="D109" s="1">
        <f>SUM(OSRRefD22_14x_0)</f>
        <v>0</v>
      </c>
      <c r="E109" s="1"/>
      <c r="F109" s="5">
        <f t="shared" si="70"/>
        <v>0</v>
      </c>
      <c r="G109" s="1"/>
      <c r="H109" s="1">
        <f>SUM(OSRRefH22_14x_0)</f>
        <v>0</v>
      </c>
      <c r="I109" s="1"/>
      <c r="J109" s="5">
        <f t="shared" si="71"/>
        <v>0</v>
      </c>
      <c r="K109" s="1"/>
      <c r="L109" s="1">
        <f t="shared" si="72"/>
        <v>0</v>
      </c>
      <c r="M109" s="1"/>
      <c r="N109" s="5">
        <f t="shared" si="73"/>
        <v>0</v>
      </c>
      <c r="O109" s="13"/>
      <c r="P109" s="1">
        <f>SUM(OSRRefP22_14x_0)</f>
        <v>83.93</v>
      </c>
      <c r="Q109" s="1"/>
      <c r="R109" s="5">
        <f t="shared" si="74"/>
        <v>4.2512641255189969E-5</v>
      </c>
      <c r="S109" s="1"/>
      <c r="T109" s="1">
        <f>SUM(OSRRefT22_14x_0)</f>
        <v>68.27</v>
      </c>
      <c r="U109" s="1"/>
      <c r="V109" s="5">
        <f t="shared" si="75"/>
        <v>2.9426912622379976E-5</v>
      </c>
      <c r="W109" s="1"/>
      <c r="X109" s="1">
        <f t="shared" si="76"/>
        <v>15.660000000000011</v>
      </c>
      <c r="Y109" s="1"/>
      <c r="Z109" s="5">
        <f t="shared" si="77"/>
        <v>0.22938333089204646</v>
      </c>
    </row>
    <row r="110" spans="1:26" s="24" customFormat="1" hidden="1" outlineLevel="2" x14ac:dyDescent="0.25">
      <c r="A110" s="26"/>
      <c r="B110" s="11" t="str">
        <f>CONCATENATE("          ", "6292", " - ", "TRAVEL/CONFERENCE")</f>
        <v xml:space="preserve">          6292 - TRAVEL/CONFERENCE</v>
      </c>
      <c r="C110" s="11"/>
      <c r="D110" s="6"/>
      <c r="E110" s="2"/>
      <c r="F110" s="7">
        <f t="shared" si="70"/>
        <v>0</v>
      </c>
      <c r="G110" s="2"/>
      <c r="H110" s="6"/>
      <c r="I110" s="2"/>
      <c r="J110" s="7">
        <f t="shared" si="71"/>
        <v>0</v>
      </c>
      <c r="K110" s="2"/>
      <c r="L110" s="6">
        <f t="shared" si="72"/>
        <v>0</v>
      </c>
      <c r="M110" s="2"/>
      <c r="N110" s="7">
        <f t="shared" si="73"/>
        <v>0</v>
      </c>
      <c r="O110" s="11"/>
      <c r="P110" s="6">
        <v>83.93</v>
      </c>
      <c r="Q110" s="2"/>
      <c r="R110" s="7">
        <f t="shared" si="74"/>
        <v>4.2512641255189969E-5</v>
      </c>
      <c r="S110" s="2"/>
      <c r="T110" s="6">
        <v>68.27</v>
      </c>
      <c r="U110" s="2"/>
      <c r="V110" s="7">
        <f t="shared" si="75"/>
        <v>2.9426912622379976E-5</v>
      </c>
      <c r="W110" s="2"/>
      <c r="X110" s="6">
        <f t="shared" si="76"/>
        <v>15.660000000000011</v>
      </c>
      <c r="Y110" s="2"/>
      <c r="Z110" s="7">
        <f t="shared" si="77"/>
        <v>0.22938333089204646</v>
      </c>
    </row>
    <row r="111" spans="1:26" s="53" customFormat="1" x14ac:dyDescent="0.25">
      <c r="A111" s="37"/>
      <c r="B111" s="37"/>
      <c r="C111" s="37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7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3" customFormat="1" collapsed="1" x14ac:dyDescent="0.25">
      <c r="A112" s="10"/>
      <c r="B112" s="28" t="s">
        <v>0</v>
      </c>
      <c r="C112" s="10"/>
      <c r="D112" s="4">
        <f>SUM(OSRRefD25x_0)</f>
        <v>197.54</v>
      </c>
      <c r="E112" s="4"/>
      <c r="F112" s="12">
        <f t="shared" ref="F112:F115" si="78">IF(D$12=0,0,D112/D$12)</f>
        <v>1.504887800002438E-2</v>
      </c>
      <c r="G112" s="4"/>
      <c r="H112" s="4">
        <f>SUM(OSRRefH25x_0)</f>
        <v>2270.54</v>
      </c>
      <c r="I112" s="4"/>
      <c r="J112" s="12">
        <f t="shared" ref="J112:J115" si="79">IF(H$12=0,0,H112/H$12)</f>
        <v>0.1851876924331709</v>
      </c>
      <c r="K112" s="4"/>
      <c r="L112" s="4">
        <f t="shared" ref="L112:L115" si="80">+D112-H112</f>
        <v>-2073</v>
      </c>
      <c r="M112" s="4"/>
      <c r="N112" s="12">
        <f t="shared" ref="N112:N115" si="81">IF(H112=0,0,L112/H112)</f>
        <v>-0.91299866991993095</v>
      </c>
      <c r="O112" s="10"/>
      <c r="P112" s="4">
        <f>SUM(OSRRefP25x_0)</f>
        <v>142441.94</v>
      </c>
      <c r="Q112" s="4"/>
      <c r="R112" s="12">
        <f t="shared" ref="R112:R115" si="82">IF(P$12=0,0,P112/P$12)</f>
        <v>7.2150400273004817E-2</v>
      </c>
      <c r="S112" s="4"/>
      <c r="T112" s="4">
        <f>SUM(OSRRefT25x_0)</f>
        <v>46195.33</v>
      </c>
      <c r="U112" s="4"/>
      <c r="V112" s="12">
        <f t="shared" ref="V112:V115" si="83">IF(T$12=0,0,T112/T$12)</f>
        <v>1.9911907711615769E-2</v>
      </c>
      <c r="W112" s="4"/>
      <c r="X112" s="4">
        <f t="shared" ref="X112:X115" si="84">+P112-T112</f>
        <v>96246.61</v>
      </c>
      <c r="Y112" s="4"/>
      <c r="Z112" s="12">
        <f t="shared" ref="Z112:Z115" si="85">IF(T112=0,0,X112/T112)</f>
        <v>2.083470558604084</v>
      </c>
    </row>
    <row r="113" spans="1:26" s="24" customFormat="1" hidden="1" outlineLevel="1" x14ac:dyDescent="0.25">
      <c r="A113" s="44"/>
      <c r="B113" s="11" t="str">
        <f>CONCATENATE("          ", "9150", " - ", "MISC. INCOME")</f>
        <v xml:space="preserve">          9150 - MISC. INCOME</v>
      </c>
      <c r="C113" s="11"/>
      <c r="D113" s="2">
        <f>--43.32</f>
        <v>43.32</v>
      </c>
      <c r="E113" s="2"/>
      <c r="F113" s="19">
        <f t="shared" si="78"/>
        <v>3.300179178703332E-3</v>
      </c>
      <c r="G113" s="2"/>
      <c r="H113" s="2">
        <f>--2232.75</f>
        <v>2232.75</v>
      </c>
      <c r="I113" s="2"/>
      <c r="J113" s="19">
        <f t="shared" si="79"/>
        <v>0.18210549925575517</v>
      </c>
      <c r="K113" s="2"/>
      <c r="L113" s="2">
        <f t="shared" si="80"/>
        <v>-2189.4299999999998</v>
      </c>
      <c r="M113" s="2"/>
      <c r="N113" s="19">
        <f t="shared" si="81"/>
        <v>-0.98059791736647628</v>
      </c>
      <c r="O113" s="11"/>
      <c r="P113" s="2">
        <f>--53917.42</f>
        <v>53917.42</v>
      </c>
      <c r="Q113" s="2"/>
      <c r="R113" s="19">
        <f t="shared" si="82"/>
        <v>2.7310519884015304E-2</v>
      </c>
      <c r="S113" s="2"/>
      <c r="T113" s="2">
        <f>--42940.42</f>
        <v>42940.42</v>
      </c>
      <c r="U113" s="2"/>
      <c r="V113" s="19">
        <f t="shared" si="83"/>
        <v>1.8508920276963492E-2</v>
      </c>
      <c r="W113" s="2"/>
      <c r="X113" s="2">
        <f t="shared" si="84"/>
        <v>10977</v>
      </c>
      <c r="Y113" s="2"/>
      <c r="Z113" s="19">
        <f t="shared" si="85"/>
        <v>0.25563327047103873</v>
      </c>
    </row>
    <row r="114" spans="1:26" s="24" customFormat="1" hidden="1" outlineLevel="1" x14ac:dyDescent="0.25">
      <c r="A114" s="44"/>
      <c r="B114" s="11" t="str">
        <f>CONCATENATE("          ", "9151", " - ", "MISC. INCOME")</f>
        <v xml:space="preserve">          9151 - MISC. INCOME</v>
      </c>
      <c r="C114" s="11"/>
      <c r="D114" s="2">
        <f>0</f>
        <v>0</v>
      </c>
      <c r="E114" s="2"/>
      <c r="F114" s="19">
        <f t="shared" si="78"/>
        <v>0</v>
      </c>
      <c r="G114" s="2"/>
      <c r="H114" s="2">
        <f>0</f>
        <v>0</v>
      </c>
      <c r="I114" s="2"/>
      <c r="J114" s="19">
        <f t="shared" si="79"/>
        <v>0</v>
      </c>
      <c r="K114" s="2"/>
      <c r="L114" s="2">
        <f t="shared" si="80"/>
        <v>0</v>
      </c>
      <c r="M114" s="2"/>
      <c r="N114" s="19">
        <f t="shared" si="81"/>
        <v>0</v>
      </c>
      <c r="O114" s="11"/>
      <c r="P114" s="2">
        <f>--87676.2</f>
        <v>87676.2</v>
      </c>
      <c r="Q114" s="2"/>
      <c r="R114" s="19">
        <f t="shared" si="82"/>
        <v>4.4410185121151989E-2</v>
      </c>
      <c r="S114" s="2"/>
      <c r="T114" s="2">
        <f>0</f>
        <v>0</v>
      </c>
      <c r="U114" s="2"/>
      <c r="V114" s="19">
        <f t="shared" si="83"/>
        <v>0</v>
      </c>
      <c r="W114" s="2"/>
      <c r="X114" s="2">
        <f t="shared" si="84"/>
        <v>87676.2</v>
      </c>
      <c r="Y114" s="2"/>
      <c r="Z114" s="19">
        <f t="shared" si="85"/>
        <v>0</v>
      </c>
    </row>
    <row r="115" spans="1:26" s="24" customFormat="1" hidden="1" outlineLevel="1" x14ac:dyDescent="0.25">
      <c r="A115" s="44"/>
      <c r="B115" s="11" t="str">
        <f>CONCATENATE("          ", "9152", " - ", "MISC. INCOME")</f>
        <v xml:space="preserve">          9152 - MISC. INCOME</v>
      </c>
      <c r="C115" s="11"/>
      <c r="D115" s="2">
        <f>--154.22</f>
        <v>154.22</v>
      </c>
      <c r="E115" s="2"/>
      <c r="F115" s="19">
        <f t="shared" si="78"/>
        <v>1.1748698821321049E-2</v>
      </c>
      <c r="G115" s="2"/>
      <c r="H115" s="2">
        <f>--37.79</f>
        <v>37.79</v>
      </c>
      <c r="I115" s="2"/>
      <c r="J115" s="19">
        <f t="shared" si="79"/>
        <v>3.0821931774157375E-3</v>
      </c>
      <c r="K115" s="2"/>
      <c r="L115" s="2">
        <f t="shared" si="80"/>
        <v>116.43</v>
      </c>
      <c r="M115" s="2"/>
      <c r="N115" s="19">
        <f t="shared" si="81"/>
        <v>3.0809738025932787</v>
      </c>
      <c r="O115" s="11"/>
      <c r="P115" s="2">
        <f>--848.32</f>
        <v>848.32</v>
      </c>
      <c r="Q115" s="2"/>
      <c r="R115" s="19">
        <f t="shared" si="82"/>
        <v>4.2969526783751645E-4</v>
      </c>
      <c r="S115" s="2"/>
      <c r="T115" s="2">
        <f>--3254.91</f>
        <v>3254.91</v>
      </c>
      <c r="U115" s="2"/>
      <c r="V115" s="19">
        <f t="shared" si="83"/>
        <v>1.402987434652275E-3</v>
      </c>
      <c r="W115" s="2"/>
      <c r="X115" s="2">
        <f t="shared" si="84"/>
        <v>-2406.5899999999997</v>
      </c>
      <c r="Y115" s="2"/>
      <c r="Z115" s="19">
        <f t="shared" si="85"/>
        <v>-0.73937220998430053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10"/>
      <c r="B117" s="29" t="s">
        <v>3</v>
      </c>
      <c r="C117" s="29"/>
      <c r="D117" s="21">
        <f>+D59-D61+D112</f>
        <v>-55778.010000000046</v>
      </c>
      <c r="E117" s="14"/>
      <c r="F117" s="20">
        <f>IF(D$12=0,0,D117/D$12)</f>
        <v>-4.2492480893699538</v>
      </c>
      <c r="G117" s="14"/>
      <c r="H117" s="21">
        <f>+H59-H61+H112</f>
        <v>-69739.700000000012</v>
      </c>
      <c r="I117" s="14"/>
      <c r="J117" s="20">
        <f>IF(H$12=0,0,H117/H$12)</f>
        <v>-5.6880451848377973</v>
      </c>
      <c r="K117" s="15"/>
      <c r="L117" s="21">
        <f>+D117-H117</f>
        <v>13961.689999999966</v>
      </c>
      <c r="M117" s="15"/>
      <c r="N117" s="20">
        <f>IF(H117=0,0,L117/H117)</f>
        <v>-0.20019716173140928</v>
      </c>
      <c r="O117" s="28"/>
      <c r="P117" s="21">
        <f>+P59-P61+P112</f>
        <v>468667.58999999973</v>
      </c>
      <c r="Q117" s="14"/>
      <c r="R117" s="20">
        <f>IF(P$12=0,0,P117/P$12)</f>
        <v>0.23739183988567192</v>
      </c>
      <c r="S117" s="14"/>
      <c r="T117" s="21">
        <f>+T59-T61+T112</f>
        <v>356304.98000000051</v>
      </c>
      <c r="U117" s="14"/>
      <c r="V117" s="20">
        <f>IF(T$12=0,0,T117/T$12)</f>
        <v>0.15358071646958929</v>
      </c>
      <c r="W117" s="15"/>
      <c r="X117" s="21">
        <f>+P117-T117</f>
        <v>112362.60999999923</v>
      </c>
      <c r="Y117" s="15"/>
      <c r="Z117" s="20">
        <f>IF(T117=0,0,X117/T117)</f>
        <v>0.31535514883906218</v>
      </c>
    </row>
    <row r="118" spans="1:26" x14ac:dyDescent="0.25">
      <c r="A118" s="9"/>
      <c r="B118" s="10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51"/>
      <c r="B119" s="10" t="s">
        <v>13</v>
      </c>
      <c r="C119" s="10"/>
      <c r="D119" s="4">
        <v>11647.96</v>
      </c>
      <c r="E119" s="4"/>
      <c r="F119" s="12">
        <f>IF(D$12=0,0,D119/D$12)</f>
        <v>0.88735815019319619</v>
      </c>
      <c r="G119" s="4"/>
      <c r="H119" s="4">
        <v>32173.47</v>
      </c>
      <c r="I119" s="4"/>
      <c r="J119" s="12">
        <f>IF(H$12=0,0,H119/H$12)</f>
        <v>2.6241029300817655</v>
      </c>
      <c r="K119" s="4"/>
      <c r="L119" s="4">
        <f>+D119-H119</f>
        <v>-20525.510000000002</v>
      </c>
      <c r="M119" s="4"/>
      <c r="N119" s="12">
        <f>IF(H119=0,0,L119/H119)</f>
        <v>-0.63796382547483999</v>
      </c>
      <c r="O119" s="10"/>
      <c r="P119" s="4">
        <v>209058.27000000002</v>
      </c>
      <c r="Q119" s="4"/>
      <c r="R119" s="12">
        <f>IF(P$12=0,0,P119/P$12)</f>
        <v>0.10589323524294822</v>
      </c>
      <c r="S119" s="4"/>
      <c r="T119" s="4">
        <v>244114.38</v>
      </c>
      <c r="U119" s="4"/>
      <c r="V119" s="12">
        <f>IF(T$12=0,0,T119/T$12)</f>
        <v>0.10522238948478779</v>
      </c>
      <c r="W119" s="4"/>
      <c r="X119" s="4">
        <f>+P119-T119</f>
        <v>-35056.109999999986</v>
      </c>
      <c r="Y119" s="4"/>
      <c r="Z119" s="12">
        <f>IF(T119=0,0,X119/T119)</f>
        <v>-0.14360526405695553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9" t="s">
        <v>4</v>
      </c>
      <c r="C121" s="29"/>
      <c r="D121" s="31">
        <f>+D117-D119</f>
        <v>-67425.970000000045</v>
      </c>
      <c r="E121" s="14"/>
      <c r="F121" s="32">
        <f>IF(D$12=0,0,D121/D$12)</f>
        <v>-5.1366062395631493</v>
      </c>
      <c r="G121" s="14"/>
      <c r="H121" s="31">
        <f>+H117-H119</f>
        <v>-101913.17000000001</v>
      </c>
      <c r="I121" s="14"/>
      <c r="J121" s="32">
        <f>IF(H$12=0,0,H121/H$12)</f>
        <v>-8.3121481149195624</v>
      </c>
      <c r="K121" s="15"/>
      <c r="L121" s="31">
        <f>D121-H121</f>
        <v>34487.199999999968</v>
      </c>
      <c r="M121" s="15"/>
      <c r="N121" s="32">
        <f>IF(H121=0,0,L121/H121)</f>
        <v>-0.33839787340537014</v>
      </c>
      <c r="O121" s="28"/>
      <c r="P121" s="31">
        <f>+P117-P119</f>
        <v>259609.31999999972</v>
      </c>
      <c r="Q121" s="14"/>
      <c r="R121" s="32">
        <f>IF(P$12=0,0,P121/P$12)</f>
        <v>0.13149860464272373</v>
      </c>
      <c r="S121" s="14"/>
      <c r="T121" s="31">
        <f>+T117-T119</f>
        <v>112190.6000000005</v>
      </c>
      <c r="U121" s="14"/>
      <c r="V121" s="32">
        <f>IF(T$12=0,0,T121/T$12)</f>
        <v>4.8358326984801497E-2</v>
      </c>
      <c r="W121" s="15"/>
      <c r="X121" s="31">
        <f>P121-T121</f>
        <v>147418.71999999922</v>
      </c>
      <c r="Y121" s="15"/>
      <c r="Z121" s="32">
        <f>IF(T121=0,0,X121/T121)</f>
        <v>1.3140024208801679</v>
      </c>
    </row>
    <row r="122" spans="1:26" ht="15.75" thickTop="1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9" t="s">
        <v>5</v>
      </c>
      <c r="C124" s="29"/>
      <c r="D124" s="34">
        <f>SUM(D121:D123)</f>
        <v>-67425.970000000045</v>
      </c>
      <c r="E124" s="14"/>
      <c r="F124" s="30">
        <f>IF(D$12=0,0,D124/D$12)</f>
        <v>-5.1366062395631493</v>
      </c>
      <c r="G124" s="14"/>
      <c r="H124" s="34">
        <f>SUM(H121:H123)</f>
        <v>-101913.17000000001</v>
      </c>
      <c r="I124" s="14"/>
      <c r="J124" s="30">
        <f>IF(H$12=0,0,H124/H$12)</f>
        <v>-8.3121481149195624</v>
      </c>
      <c r="K124" s="15"/>
      <c r="L124" s="34">
        <f>+D124-H124</f>
        <v>34487.199999999968</v>
      </c>
      <c r="M124" s="15"/>
      <c r="N124" s="30">
        <f>IF(H124=0,0,L124/H124)</f>
        <v>-0.33839787340537014</v>
      </c>
      <c r="O124" s="28"/>
      <c r="P124" s="34">
        <f>SUM(P121:P123)</f>
        <v>259609.31999999972</v>
      </c>
      <c r="Q124" s="14"/>
      <c r="R124" s="30">
        <f>IF(P$12=0,0,P124/P$12)</f>
        <v>0.13149860464272373</v>
      </c>
      <c r="S124" s="14"/>
      <c r="T124" s="34">
        <f>SUM(T121:T123)</f>
        <v>112190.6000000005</v>
      </c>
      <c r="U124" s="14"/>
      <c r="V124" s="30">
        <f>IF(T$12=0,0,T124/T$12)</f>
        <v>4.8358326984801497E-2</v>
      </c>
      <c r="W124" s="15"/>
      <c r="X124" s="34">
        <f>+P124-T124</f>
        <v>147418.71999999922</v>
      </c>
      <c r="Y124" s="15"/>
      <c r="Z124" s="30">
        <f>IF(T124=0,0,X124/T124)</f>
        <v>1.3140024208801679</v>
      </c>
    </row>
    <row r="125" spans="1:26" ht="15.75" thickTop="1" x14ac:dyDescent="0.25">
      <c r="A125" s="9"/>
      <c r="C125" s="9"/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  <row r="126" spans="1:26" x14ac:dyDescent="0.25">
      <c r="A126" s="9"/>
      <c r="B126" s="59">
        <v>43815.49174409722</v>
      </c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  <row r="127" spans="1:26" x14ac:dyDescent="0.25">
      <c r="A127" s="9"/>
      <c r="B127" s="62" t="s">
        <v>313</v>
      </c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61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4:24" x14ac:dyDescent="0.25"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","324", " - ", "Textbook Rental")</f>
        <v>Department 324 - Textbook Rental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1533.3899999999999</v>
      </c>
      <c r="E12" s="4"/>
      <c r="F12" s="12"/>
      <c r="G12" s="4"/>
      <c r="H12" s="4">
        <f>SUM(OSRRefH13x_0)</f>
        <v>1447.85</v>
      </c>
      <c r="I12" s="4"/>
      <c r="J12" s="12"/>
      <c r="K12" s="4"/>
      <c r="L12" s="4">
        <f t="shared" ref="L12:L15" si="0">+D12-H12</f>
        <v>85.539999999999964</v>
      </c>
      <c r="M12" s="4"/>
      <c r="N12" s="12">
        <f t="shared" ref="N12:N15" si="1">IF(H12=0,0,L12/H12)</f>
        <v>5.9080705874227278E-2</v>
      </c>
      <c r="O12" s="10"/>
      <c r="P12" s="4">
        <f>SUM(OSRRefP13x_0)</f>
        <v>902819.08000000007</v>
      </c>
      <c r="Q12" s="4"/>
      <c r="R12" s="12"/>
      <c r="S12" s="4"/>
      <c r="T12" s="4">
        <f>SUM(OSRRefT13x_0)</f>
        <v>1078336.76</v>
      </c>
      <c r="U12" s="4"/>
      <c r="V12" s="12"/>
      <c r="W12" s="4"/>
      <c r="X12" s="4">
        <f t="shared" ref="X12:X15" si="2">+P12-T12</f>
        <v>-175517.67999999993</v>
      </c>
      <c r="Y12" s="4"/>
      <c r="Z12" s="12">
        <f t="shared" ref="Z12:Z15" si="3">IF(T12=0,0,X12/T12)</f>
        <v>-0.16276703763673969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--648.4</f>
        <v>648.4</v>
      </c>
      <c r="E13" s="2"/>
      <c r="F13" s="19"/>
      <c r="G13" s="2"/>
      <c r="H13" s="2">
        <f>--471.57</f>
        <v>471.57</v>
      </c>
      <c r="I13" s="2"/>
      <c r="J13" s="19"/>
      <c r="K13" s="2"/>
      <c r="L13" s="2">
        <f t="shared" si="0"/>
        <v>176.82999999999998</v>
      </c>
      <c r="M13" s="2"/>
      <c r="N13" s="19">
        <f t="shared" si="1"/>
        <v>0.37498144496045122</v>
      </c>
      <c r="O13" s="11"/>
      <c r="P13" s="2">
        <f>--257018.71</f>
        <v>257018.71</v>
      </c>
      <c r="Q13" s="2"/>
      <c r="R13" s="19"/>
      <c r="S13" s="2"/>
      <c r="T13" s="2">
        <f>--307873.4</f>
        <v>307873.40000000002</v>
      </c>
      <c r="U13" s="2"/>
      <c r="V13" s="19"/>
      <c r="W13" s="2"/>
      <c r="X13" s="2">
        <f t="shared" si="2"/>
        <v>-50854.690000000031</v>
      </c>
      <c r="Y13" s="2"/>
      <c r="Z13" s="19">
        <f t="shared" si="3"/>
        <v>-0.16518052550171605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--426.1</f>
        <v>426.1</v>
      </c>
      <c r="E14" s="2"/>
      <c r="F14" s="19"/>
      <c r="G14" s="2"/>
      <c r="H14" s="2">
        <f>--546.3</f>
        <v>546.29999999999995</v>
      </c>
      <c r="I14" s="2"/>
      <c r="J14" s="19"/>
      <c r="K14" s="2"/>
      <c r="L14" s="2">
        <f t="shared" si="0"/>
        <v>-120.19999999999993</v>
      </c>
      <c r="M14" s="2"/>
      <c r="N14" s="19">
        <f t="shared" si="1"/>
        <v>-0.22002562694490196</v>
      </c>
      <c r="O14" s="11"/>
      <c r="P14" s="2">
        <f>--309959.81</f>
        <v>309959.81</v>
      </c>
      <c r="Q14" s="2"/>
      <c r="R14" s="19"/>
      <c r="S14" s="2"/>
      <c r="T14" s="2">
        <f>--379723.09</f>
        <v>379723.09</v>
      </c>
      <c r="U14" s="2"/>
      <c r="V14" s="19"/>
      <c r="W14" s="2"/>
      <c r="X14" s="2">
        <f t="shared" si="2"/>
        <v>-69763.280000000028</v>
      </c>
      <c r="Y14" s="2"/>
      <c r="Z14" s="19">
        <f t="shared" si="3"/>
        <v>-0.18372145870823928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--458.89</f>
        <v>458.89</v>
      </c>
      <c r="E15" s="2"/>
      <c r="F15" s="19"/>
      <c r="G15" s="2"/>
      <c r="H15" s="2">
        <f>--429.98</f>
        <v>429.98</v>
      </c>
      <c r="I15" s="2"/>
      <c r="J15" s="19"/>
      <c r="K15" s="2"/>
      <c r="L15" s="2">
        <f t="shared" si="0"/>
        <v>28.909999999999968</v>
      </c>
      <c r="M15" s="2"/>
      <c r="N15" s="19">
        <f t="shared" si="1"/>
        <v>6.723568538071531E-2</v>
      </c>
      <c r="O15" s="11"/>
      <c r="P15" s="2">
        <f>--335840.56</f>
        <v>335840.56</v>
      </c>
      <c r="Q15" s="2"/>
      <c r="R15" s="19"/>
      <c r="S15" s="2"/>
      <c r="T15" s="2">
        <f>--390740.27</f>
        <v>390740.27</v>
      </c>
      <c r="U15" s="2"/>
      <c r="V15" s="19"/>
      <c r="W15" s="2"/>
      <c r="X15" s="2">
        <f t="shared" si="2"/>
        <v>-54899.710000000021</v>
      </c>
      <c r="Y15" s="2"/>
      <c r="Z15" s="19">
        <f t="shared" si="3"/>
        <v>-0.14050179675619309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567.09</v>
      </c>
      <c r="E17" s="4"/>
      <c r="F17" s="12">
        <f t="shared" ref="F17:F19" si="4">IF(D$12=0,0,D17/D$12)</f>
        <v>0.36982763680472686</v>
      </c>
      <c r="G17" s="4"/>
      <c r="H17" s="4">
        <f>SUM(OSRRefH16x_0)</f>
        <v>-1771.71</v>
      </c>
      <c r="I17" s="4"/>
      <c r="J17" s="12">
        <f t="shared" ref="J17:J19" si="5">IF(H$12=0,0,H17/H$12)</f>
        <v>-1.2236833926166386</v>
      </c>
      <c r="K17" s="4"/>
      <c r="L17" s="4">
        <f t="shared" ref="L17:L19" si="6">+D17-H17</f>
        <v>2338.8000000000002</v>
      </c>
      <c r="M17" s="4"/>
      <c r="N17" s="12">
        <f t="shared" ref="N17:N19" si="7">IF(H17=0,0,L17/H17)</f>
        <v>-1.3200806000982104</v>
      </c>
      <c r="O17" s="10"/>
      <c r="P17" s="4">
        <f>SUM(OSRRefP16x_0)</f>
        <v>683340.3600000001</v>
      </c>
      <c r="Q17" s="4"/>
      <c r="R17" s="12">
        <f t="shared" ref="R17:R19" si="8">IF(P$12=0,0,P17/P$12)</f>
        <v>0.75689623218862412</v>
      </c>
      <c r="S17" s="4"/>
      <c r="T17" s="4">
        <f>SUM(OSRRefT16x_0)</f>
        <v>795913.08</v>
      </c>
      <c r="U17" s="4"/>
      <c r="V17" s="12">
        <f t="shared" ref="V17:V19" si="9">IF(T$12=0,0,T17/T$12)</f>
        <v>0.73809324649193997</v>
      </c>
      <c r="W17" s="4"/>
      <c r="X17" s="4">
        <f t="shared" ref="X17:X19" si="10">+P17-T17</f>
        <v>-112572.71999999986</v>
      </c>
      <c r="Y17" s="4"/>
      <c r="Z17" s="12">
        <f t="shared" ref="Z17:Z19" si="11">IF(T17=0,0,X17/T17)</f>
        <v>-0.14143845958656673</v>
      </c>
    </row>
    <row r="18" spans="1:26" s="24" customFormat="1" hidden="1" outlineLevel="1" x14ac:dyDescent="0.25">
      <c r="A18" s="44"/>
      <c r="B18" s="11" t="str">
        <f>CONCATENATE("          ", "5001", " - ", "PURCHASES @ COST-NEW TEXT")</f>
        <v xml:space="preserve">          5001 - PURCHASES @ COST-NEW TEXT</v>
      </c>
      <c r="C18" s="11"/>
      <c r="D18" s="2">
        <v>768.59</v>
      </c>
      <c r="E18" s="2"/>
      <c r="F18" s="19">
        <f t="shared" si="4"/>
        <v>0.50123582389346488</v>
      </c>
      <c r="G18" s="2"/>
      <c r="H18" s="2">
        <v>-173.01</v>
      </c>
      <c r="I18" s="2"/>
      <c r="J18" s="19">
        <f t="shared" si="5"/>
        <v>-0.11949442276478917</v>
      </c>
      <c r="K18" s="2"/>
      <c r="L18" s="2">
        <f t="shared" si="6"/>
        <v>941.6</v>
      </c>
      <c r="M18" s="2"/>
      <c r="N18" s="19">
        <f t="shared" si="7"/>
        <v>-5.4424599734119417</v>
      </c>
      <c r="O18" s="11"/>
      <c r="P18" s="2">
        <v>309068.86000000004</v>
      </c>
      <c r="Q18" s="2"/>
      <c r="R18" s="19">
        <f t="shared" si="8"/>
        <v>0.34233753677425605</v>
      </c>
      <c r="S18" s="2"/>
      <c r="T18" s="2">
        <v>359592.07999999996</v>
      </c>
      <c r="U18" s="2"/>
      <c r="V18" s="19">
        <f t="shared" si="9"/>
        <v>0.33346918452450786</v>
      </c>
      <c r="W18" s="2"/>
      <c r="X18" s="2">
        <f t="shared" si="10"/>
        <v>-50523.219999999914</v>
      </c>
      <c r="Y18" s="2"/>
      <c r="Z18" s="19">
        <f t="shared" si="11"/>
        <v>-0.14050148156766945</v>
      </c>
    </row>
    <row r="19" spans="1:26" s="24" customFormat="1" hidden="1" outlineLevel="1" x14ac:dyDescent="0.25">
      <c r="A19" s="44"/>
      <c r="B19" s="11" t="str">
        <f>CONCATENATE("          ", "5002", " - ", "PURCHASES @ COST-USED TEXT")</f>
        <v xml:space="preserve">          5002 - PURCHASES @ COST-USED TEXT</v>
      </c>
      <c r="C19" s="11"/>
      <c r="D19" s="2">
        <v>-201.5</v>
      </c>
      <c r="E19" s="2"/>
      <c r="F19" s="19">
        <f t="shared" si="4"/>
        <v>-0.13140818708873803</v>
      </c>
      <c r="G19" s="2"/>
      <c r="H19" s="2">
        <v>-1598.7</v>
      </c>
      <c r="I19" s="2"/>
      <c r="J19" s="19">
        <f t="shared" si="5"/>
        <v>-1.1041889698518494</v>
      </c>
      <c r="K19" s="2"/>
      <c r="L19" s="2">
        <f t="shared" si="6"/>
        <v>1397.2</v>
      </c>
      <c r="M19" s="2"/>
      <c r="N19" s="19">
        <f t="shared" si="7"/>
        <v>-0.87396009257521734</v>
      </c>
      <c r="O19" s="11"/>
      <c r="P19" s="2">
        <v>374271.5</v>
      </c>
      <c r="Q19" s="2"/>
      <c r="R19" s="19">
        <f t="shared" si="8"/>
        <v>0.41455869541436802</v>
      </c>
      <c r="S19" s="2"/>
      <c r="T19" s="2">
        <v>436321</v>
      </c>
      <c r="U19" s="2"/>
      <c r="V19" s="19">
        <f t="shared" si="9"/>
        <v>0.40462406196743211</v>
      </c>
      <c r="W19" s="2"/>
      <c r="X19" s="2">
        <f t="shared" si="10"/>
        <v>-62049.5</v>
      </c>
      <c r="Y19" s="2"/>
      <c r="Z19" s="19">
        <f t="shared" si="11"/>
        <v>-0.14221066600049045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1">
        <f>D12-D17</f>
        <v>966.29999999999984</v>
      </c>
      <c r="E21" s="14"/>
      <c r="F21" s="20">
        <f>IF(D$12=0,0,D21/D$12)</f>
        <v>0.63017236319527314</v>
      </c>
      <c r="G21" s="14"/>
      <c r="H21" s="21">
        <f>H12-H17</f>
        <v>3219.56</v>
      </c>
      <c r="I21" s="14"/>
      <c r="J21" s="20">
        <f>IF(H$12=0,0,H21/H$12)</f>
        <v>2.2236833926166386</v>
      </c>
      <c r="K21" s="15"/>
      <c r="L21" s="21">
        <f>+D21-H21</f>
        <v>-2253.2600000000002</v>
      </c>
      <c r="M21" s="15"/>
      <c r="N21" s="20">
        <f>IF(H21=0,0,L21/H21)</f>
        <v>-0.69986582017418542</v>
      </c>
      <c r="O21" s="28"/>
      <c r="P21" s="21">
        <f>P12-P17</f>
        <v>219478.71999999997</v>
      </c>
      <c r="Q21" s="14"/>
      <c r="R21" s="20">
        <f>IF(P$12=0,0,P21/P$12)</f>
        <v>0.24310376781137585</v>
      </c>
      <c r="S21" s="14"/>
      <c r="T21" s="21">
        <f>T12-T17</f>
        <v>282423.68000000005</v>
      </c>
      <c r="U21" s="14"/>
      <c r="V21" s="20">
        <f>IF(T$12=0,0,T21/T$12)</f>
        <v>0.26190675350805998</v>
      </c>
      <c r="W21" s="15"/>
      <c r="X21" s="21">
        <f>+P21-T21</f>
        <v>-62944.960000000079</v>
      </c>
      <c r="Y21" s="15"/>
      <c r="Z21" s="20">
        <f>IF(T21=0,0,X21/T21)</f>
        <v>-0.22287422924310055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0</v>
      </c>
      <c r="E23" s="22"/>
      <c r="F23" s="33">
        <f t="shared" ref="F23:F25" si="12">IF(D$12=0,0,D23/D$12)</f>
        <v>0</v>
      </c>
      <c r="G23" s="22"/>
      <c r="H23" s="22">
        <f>SUM(OSRRefH22x_0)</f>
        <v>0</v>
      </c>
      <c r="I23" s="22"/>
      <c r="J23" s="33">
        <f t="shared" ref="J23:J25" si="13">IF(H$12=0,0,H23/H$12)</f>
        <v>0</v>
      </c>
      <c r="K23" s="4"/>
      <c r="L23" s="22">
        <f t="shared" ref="L23:L25" si="14">+D23-H23</f>
        <v>0</v>
      </c>
      <c r="M23" s="4"/>
      <c r="N23" s="33">
        <f t="shared" ref="N23:N25" si="15">IF(H23=0,0,L23/H23)</f>
        <v>0</v>
      </c>
      <c r="O23" s="10"/>
      <c r="P23" s="22">
        <f>SUM(OSRRefP22x_0)</f>
        <v>0</v>
      </c>
      <c r="Q23" s="22"/>
      <c r="R23" s="33">
        <f t="shared" ref="R23:R25" si="16">IF(P$12=0,0,P23/P$12)</f>
        <v>0</v>
      </c>
      <c r="S23" s="22"/>
      <c r="T23" s="22">
        <f>SUM(OSRRefT22x_0)</f>
        <v>45</v>
      </c>
      <c r="U23" s="22"/>
      <c r="V23" s="33">
        <f t="shared" ref="V23:V25" si="17">IF(T$12=0,0,T23/T$12)</f>
        <v>4.1730933850386406E-5</v>
      </c>
      <c r="W23" s="4"/>
      <c r="X23" s="22">
        <f t="shared" ref="X23:X25" si="18">+P23-T23</f>
        <v>-45</v>
      </c>
      <c r="Y23" s="4"/>
      <c r="Z23" s="33">
        <f t="shared" ref="Z23:Z25" si="19">IF(T23=0,0,X23/T23)</f>
        <v>-1</v>
      </c>
    </row>
    <row r="24" spans="1:26" s="25" customFormat="1" outlineLevel="1" collapsed="1" x14ac:dyDescent="0.25">
      <c r="A24" s="27"/>
      <c r="B24" s="13" t="str">
        <f>CONCATENATE("     ","Supplies                                          ")</f>
        <v xml:space="preserve">     Supplies                                          </v>
      </c>
      <c r="C24" s="13"/>
      <c r="D24" s="1">
        <f>SUM(OSRRefD22_0x_0)</f>
        <v>0</v>
      </c>
      <c r="E24" s="1"/>
      <c r="F24" s="5">
        <f t="shared" si="12"/>
        <v>0</v>
      </c>
      <c r="G24" s="1"/>
      <c r="H24" s="1">
        <f>SUM(OSRRefH22_0x_0)</f>
        <v>0</v>
      </c>
      <c r="I24" s="1"/>
      <c r="J24" s="5">
        <f t="shared" si="13"/>
        <v>0</v>
      </c>
      <c r="K24" s="1"/>
      <c r="L24" s="1">
        <f t="shared" si="14"/>
        <v>0</v>
      </c>
      <c r="M24" s="1"/>
      <c r="N24" s="5">
        <f t="shared" si="15"/>
        <v>0</v>
      </c>
      <c r="O24" s="13"/>
      <c r="P24" s="1">
        <f>SUM(OSRRefP22_0x_0)</f>
        <v>0</v>
      </c>
      <c r="Q24" s="1"/>
      <c r="R24" s="5">
        <f t="shared" si="16"/>
        <v>0</v>
      </c>
      <c r="S24" s="1"/>
      <c r="T24" s="1">
        <f>SUM(OSRRefT22_0x_0)</f>
        <v>45</v>
      </c>
      <c r="U24" s="1"/>
      <c r="V24" s="5">
        <f t="shared" si="17"/>
        <v>4.1730933850386406E-5</v>
      </c>
      <c r="W24" s="1"/>
      <c r="X24" s="1">
        <f t="shared" si="18"/>
        <v>-45</v>
      </c>
      <c r="Y24" s="1"/>
      <c r="Z24" s="5">
        <f t="shared" si="19"/>
        <v>-1</v>
      </c>
    </row>
    <row r="25" spans="1:26" s="24" customFormat="1" hidden="1" outlineLevel="2" x14ac:dyDescent="0.25">
      <c r="A25" s="26"/>
      <c r="B25" s="11" t="str">
        <f>CONCATENATE("          ", "6241", " - ", "OFFICE EXPENSE")</f>
        <v xml:space="preserve">          6241 - OFFICE EXPENSE</v>
      </c>
      <c r="C25" s="11"/>
      <c r="D25" s="6"/>
      <c r="E25" s="2"/>
      <c r="F25" s="7">
        <f t="shared" si="12"/>
        <v>0</v>
      </c>
      <c r="G25" s="2"/>
      <c r="H25" s="6"/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/>
      <c r="Q25" s="2"/>
      <c r="R25" s="7">
        <f t="shared" si="16"/>
        <v>0</v>
      </c>
      <c r="S25" s="2"/>
      <c r="T25" s="6">
        <v>45</v>
      </c>
      <c r="U25" s="2"/>
      <c r="V25" s="7">
        <f t="shared" si="17"/>
        <v>4.1730933850386406E-5</v>
      </c>
      <c r="W25" s="2"/>
      <c r="X25" s="6">
        <f t="shared" si="18"/>
        <v>-45</v>
      </c>
      <c r="Y25" s="2"/>
      <c r="Z25" s="7">
        <f t="shared" si="19"/>
        <v>-1</v>
      </c>
    </row>
    <row r="26" spans="1:26" s="53" customFormat="1" x14ac:dyDescent="0.25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0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9" t="s">
        <v>3</v>
      </c>
      <c r="C29" s="29"/>
      <c r="D29" s="21">
        <f>+D21-D23+D27</f>
        <v>966.29999999999984</v>
      </c>
      <c r="E29" s="14"/>
      <c r="F29" s="20">
        <f>IF(D$12=0,0,D29/D$12)</f>
        <v>0.63017236319527314</v>
      </c>
      <c r="G29" s="14"/>
      <c r="H29" s="21">
        <f>+H21-H23+H27</f>
        <v>3219.56</v>
      </c>
      <c r="I29" s="14"/>
      <c r="J29" s="20">
        <f>IF(H$12=0,0,H29/H$12)</f>
        <v>2.2236833926166386</v>
      </c>
      <c r="K29" s="15"/>
      <c r="L29" s="21">
        <f>+D29-H29</f>
        <v>-2253.2600000000002</v>
      </c>
      <c r="M29" s="15"/>
      <c r="N29" s="20">
        <f>IF(H29=0,0,L29/H29)</f>
        <v>-0.69986582017418542</v>
      </c>
      <c r="O29" s="28"/>
      <c r="P29" s="21">
        <f>+P21-P23+P27</f>
        <v>219478.71999999997</v>
      </c>
      <c r="Q29" s="14"/>
      <c r="R29" s="20">
        <f>IF(P$12=0,0,P29/P$12)</f>
        <v>0.24310376781137585</v>
      </c>
      <c r="S29" s="14"/>
      <c r="T29" s="21">
        <f>+T21-T23+T27</f>
        <v>282378.68000000005</v>
      </c>
      <c r="U29" s="14"/>
      <c r="V29" s="20">
        <f>IF(T$12=0,0,T29/T$12)</f>
        <v>0.26186502257420963</v>
      </c>
      <c r="W29" s="15"/>
      <c r="X29" s="21">
        <f>+P29-T29</f>
        <v>-62899.960000000079</v>
      </c>
      <c r="Y29" s="15"/>
      <c r="Z29" s="20">
        <f>IF(T29=0,0,X29/T29)</f>
        <v>-0.22275038611271952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51"/>
      <c r="B31" s="10" t="s">
        <v>13</v>
      </c>
      <c r="C31" s="10"/>
      <c r="D31" s="4">
        <v>4876.71</v>
      </c>
      <c r="E31" s="4"/>
      <c r="F31" s="12">
        <f>IF(D$12=0,0,D31/D$12)</f>
        <v>3.180345508970321</v>
      </c>
      <c r="G31" s="4"/>
      <c r="H31" s="4">
        <v>14563.92</v>
      </c>
      <c r="I31" s="4"/>
      <c r="J31" s="12">
        <f>IF(H$12=0,0,H31/H$12)</f>
        <v>10.05899782436026</v>
      </c>
      <c r="K31" s="4"/>
      <c r="L31" s="4">
        <f>+D31-H31</f>
        <v>-9687.2099999999991</v>
      </c>
      <c r="M31" s="4"/>
      <c r="N31" s="12">
        <f>IF(H31=0,0,L31/H31)</f>
        <v>-0.66515127795263906</v>
      </c>
      <c r="O31" s="10"/>
      <c r="P31" s="4">
        <v>95602.43</v>
      </c>
      <c r="Q31" s="4"/>
      <c r="R31" s="12">
        <f>IF(P$12=0,0,P31/P$12)</f>
        <v>0.10589323167605184</v>
      </c>
      <c r="S31" s="4"/>
      <c r="T31" s="4">
        <v>113465.17</v>
      </c>
      <c r="U31" s="4"/>
      <c r="V31" s="12">
        <f>IF(T$12=0,0,T31/T$12)</f>
        <v>0.10522238896872996</v>
      </c>
      <c r="W31" s="4"/>
      <c r="X31" s="4">
        <f>+P31-T31</f>
        <v>-17862.740000000005</v>
      </c>
      <c r="Y31" s="4"/>
      <c r="Z31" s="12">
        <f>IF(T31=0,0,X31/T31)</f>
        <v>-0.15742927983979582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9" t="s">
        <v>4</v>
      </c>
      <c r="C33" s="29"/>
      <c r="D33" s="31">
        <f>+D29-D31</f>
        <v>-3910.4100000000003</v>
      </c>
      <c r="E33" s="14"/>
      <c r="F33" s="32">
        <f>IF(D$12=0,0,D33/D$12)</f>
        <v>-2.5501731457750481</v>
      </c>
      <c r="G33" s="14"/>
      <c r="H33" s="31">
        <f>+H29-H31</f>
        <v>-11344.36</v>
      </c>
      <c r="I33" s="14"/>
      <c r="J33" s="32">
        <f>IF(H$12=0,0,H33/H$12)</f>
        <v>-7.8353144317436207</v>
      </c>
      <c r="K33" s="15"/>
      <c r="L33" s="31">
        <f>D33-H33</f>
        <v>7433.9500000000007</v>
      </c>
      <c r="M33" s="15"/>
      <c r="N33" s="32">
        <f>IF(H33=0,0,L33/H33)</f>
        <v>-0.65529919713408247</v>
      </c>
      <c r="O33" s="28"/>
      <c r="P33" s="31">
        <f>+P29-P31</f>
        <v>123876.28999999998</v>
      </c>
      <c r="Q33" s="14"/>
      <c r="R33" s="32">
        <f>IF(P$12=0,0,P33/P$12)</f>
        <v>0.137210536135324</v>
      </c>
      <c r="S33" s="14"/>
      <c r="T33" s="31">
        <f>+T29-T31</f>
        <v>168913.51000000007</v>
      </c>
      <c r="U33" s="14"/>
      <c r="V33" s="32">
        <f>IF(T$12=0,0,T33/T$12)</f>
        <v>0.15664263360547967</v>
      </c>
      <c r="W33" s="15"/>
      <c r="X33" s="31">
        <f>P33-T33</f>
        <v>-45037.220000000088</v>
      </c>
      <c r="Y33" s="15"/>
      <c r="Z33" s="32">
        <f>IF(T33=0,0,X33/T33)</f>
        <v>-0.26662888007004337</v>
      </c>
    </row>
    <row r="34" spans="1:26" ht="15.75" thickTop="1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>
        <f>SUM(D33:D35)</f>
        <v>-3910.4100000000003</v>
      </c>
      <c r="E36" s="14"/>
      <c r="F36" s="30">
        <f>IF(D$12=0,0,D36/D$12)</f>
        <v>-2.5501731457750481</v>
      </c>
      <c r="G36" s="14"/>
      <c r="H36" s="34">
        <f>SUM(H33:H35)</f>
        <v>-11344.36</v>
      </c>
      <c r="I36" s="14"/>
      <c r="J36" s="30">
        <f>IF(H$12=0,0,H36/H$12)</f>
        <v>-7.8353144317436207</v>
      </c>
      <c r="K36" s="15"/>
      <c r="L36" s="34">
        <f>+D36-H36</f>
        <v>7433.9500000000007</v>
      </c>
      <c r="M36" s="15"/>
      <c r="N36" s="30">
        <f>IF(H36=0,0,L36/H36)</f>
        <v>-0.65529919713408247</v>
      </c>
      <c r="O36" s="28"/>
      <c r="P36" s="34">
        <f>SUM(P33:P35)</f>
        <v>123876.28999999998</v>
      </c>
      <c r="Q36" s="14"/>
      <c r="R36" s="30">
        <f>IF(P$12=0,0,P36/P$12)</f>
        <v>0.137210536135324</v>
      </c>
      <c r="S36" s="14"/>
      <c r="T36" s="34">
        <f>SUM(T33:T35)</f>
        <v>168913.51000000007</v>
      </c>
      <c r="U36" s="14"/>
      <c r="V36" s="30">
        <f>IF(T$12=0,0,T36/T$12)</f>
        <v>0.15664263360547967</v>
      </c>
      <c r="W36" s="15"/>
      <c r="X36" s="34">
        <f>+P36-T36</f>
        <v>-45037.220000000088</v>
      </c>
      <c r="Y36" s="15"/>
      <c r="Z36" s="30">
        <f>IF(T36=0,0,X36/T36)</f>
        <v>-0.26662888007004337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>
        <v>43815.49192832176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s">
        <v>313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329390.36</v>
      </c>
      <c r="E12" s="4"/>
      <c r="F12" s="12"/>
      <c r="G12" s="4"/>
      <c r="H12" s="4">
        <f>SUM(OSRRefH13x_0)</f>
        <v>243816.87</v>
      </c>
      <c r="I12" s="4"/>
      <c r="J12" s="12"/>
      <c r="K12" s="4"/>
      <c r="L12" s="4">
        <f t="shared" ref="L12:L42" si="0">+D12-H12</f>
        <v>85573.489999999991</v>
      </c>
      <c r="M12" s="4"/>
      <c r="N12" s="12">
        <f t="shared" ref="N12:N42" si="1">IF(H12=0,0,L12/H12)</f>
        <v>0.35097444241655629</v>
      </c>
      <c r="O12" s="10"/>
      <c r="P12" s="4">
        <f>SUM(OSRRefP13x_0)</f>
        <v>1451786.3200000003</v>
      </c>
      <c r="Q12" s="4"/>
      <c r="R12" s="12"/>
      <c r="S12" s="4"/>
      <c r="T12" s="4">
        <f>SUM(OSRRefT13x_0)</f>
        <v>1236942.1299999994</v>
      </c>
      <c r="U12" s="4"/>
      <c r="V12" s="12"/>
      <c r="W12" s="4"/>
      <c r="X12" s="4">
        <f t="shared" ref="X12:X42" si="2">+P12-T12</f>
        <v>214844.19000000088</v>
      </c>
      <c r="Y12" s="4"/>
      <c r="Z12" s="12">
        <f t="shared" ref="Z12:Z42" si="3">IF(T12=0,0,X12/T12)</f>
        <v>0.17368976671527953</v>
      </c>
    </row>
    <row r="13" spans="1:26" s="24" customFormat="1" hidden="1" outlineLevel="1" x14ac:dyDescent="0.25">
      <c r="A13" s="44"/>
      <c r="B13" s="11" t="str">
        <f>CONCATENATE("          ", "4025", " - ", "TAXABLE SALES-TEST FORMS")</f>
        <v xml:space="preserve">          4025 - TAXABLE SALES-TEST FORMS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--14.49</f>
        <v>14.49</v>
      </c>
      <c r="U13" s="2"/>
      <c r="V13" s="19"/>
      <c r="W13" s="2"/>
      <c r="X13" s="2">
        <f t="shared" si="2"/>
        <v>-14.49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--22.91</f>
        <v>22.91</v>
      </c>
      <c r="E14" s="2"/>
      <c r="F14" s="19"/>
      <c r="G14" s="2"/>
      <c r="H14" s="2">
        <f>--35.93</f>
        <v>35.93</v>
      </c>
      <c r="I14" s="2"/>
      <c r="J14" s="19"/>
      <c r="K14" s="2"/>
      <c r="L14" s="2">
        <f t="shared" si="0"/>
        <v>-13.02</v>
      </c>
      <c r="M14" s="2"/>
      <c r="N14" s="19">
        <f t="shared" si="1"/>
        <v>-0.36237127748399667</v>
      </c>
      <c r="O14" s="11"/>
      <c r="P14" s="2">
        <f>--123.19</f>
        <v>123.19</v>
      </c>
      <c r="Q14" s="2"/>
      <c r="R14" s="19"/>
      <c r="S14" s="2"/>
      <c r="T14" s="2">
        <f>--204.16</f>
        <v>204.16</v>
      </c>
      <c r="U14" s="2"/>
      <c r="V14" s="19"/>
      <c r="W14" s="2"/>
      <c r="X14" s="2">
        <f t="shared" si="2"/>
        <v>-80.97</v>
      </c>
      <c r="Y14" s="2"/>
      <c r="Z14" s="19">
        <f t="shared" si="3"/>
        <v>-0.39660070532915359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ref="D15:D16" si="4"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--47.91</f>
        <v>47.91</v>
      </c>
      <c r="Q15" s="2"/>
      <c r="R15" s="19"/>
      <c r="S15" s="2"/>
      <c r="T15" s="2">
        <f>--294.47</f>
        <v>294.47000000000003</v>
      </c>
      <c r="U15" s="2"/>
      <c r="V15" s="19"/>
      <c r="W15" s="2"/>
      <c r="X15" s="2">
        <f t="shared" si="2"/>
        <v>-246.56000000000003</v>
      </c>
      <c r="Y15" s="2"/>
      <c r="Z15" s="19">
        <f t="shared" si="3"/>
        <v>-0.8373009135056203</v>
      </c>
    </row>
    <row r="16" spans="1:26" s="24" customFormat="1" hidden="1" outlineLevel="1" x14ac:dyDescent="0.25">
      <c r="A16" s="44"/>
      <c r="B16" s="11" t="str">
        <f>CONCATENATE("          ", "4034", " - ", "TAXABLE SALES-SODA")</f>
        <v xml:space="preserve">          4034 - TAXABLE SALES-SODA</v>
      </c>
      <c r="C16" s="11"/>
      <c r="D16" s="2">
        <f t="shared" si="4"/>
        <v>0</v>
      </c>
      <c r="E16" s="2"/>
      <c r="F16" s="19"/>
      <c r="G16" s="2"/>
      <c r="H16" s="2">
        <f>--3.78</f>
        <v>3.78</v>
      </c>
      <c r="I16" s="2"/>
      <c r="J16" s="19"/>
      <c r="K16" s="2"/>
      <c r="L16" s="2">
        <f t="shared" si="0"/>
        <v>-3.78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--55.37</f>
        <v>55.37</v>
      </c>
      <c r="U16" s="2"/>
      <c r="V16" s="19"/>
      <c r="W16" s="2"/>
      <c r="X16" s="2">
        <f t="shared" si="2"/>
        <v>-55.37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--249896.49</f>
        <v>249896.49</v>
      </c>
      <c r="E17" s="2"/>
      <c r="F17" s="19"/>
      <c r="G17" s="2"/>
      <c r="H17" s="2">
        <f>--194328.13</f>
        <v>194328.13</v>
      </c>
      <c r="I17" s="2"/>
      <c r="J17" s="19"/>
      <c r="K17" s="2"/>
      <c r="L17" s="2">
        <f t="shared" si="0"/>
        <v>55568.359999999986</v>
      </c>
      <c r="M17" s="2"/>
      <c r="N17" s="19">
        <f t="shared" si="1"/>
        <v>0.28595118987662765</v>
      </c>
      <c r="O17" s="11"/>
      <c r="P17" s="2">
        <f>--1098136.94</f>
        <v>1098136.94</v>
      </c>
      <c r="Q17" s="2"/>
      <c r="R17" s="19"/>
      <c r="S17" s="2"/>
      <c r="T17" s="2">
        <f>--912468.46</f>
        <v>912468.46</v>
      </c>
      <c r="U17" s="2"/>
      <c r="V17" s="19"/>
      <c r="W17" s="2"/>
      <c r="X17" s="2">
        <f t="shared" si="2"/>
        <v>185668.47999999998</v>
      </c>
      <c r="Y17" s="2"/>
      <c r="Z17" s="19">
        <f t="shared" si="3"/>
        <v>0.20347933998726925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--29139.65</f>
        <v>29139.65</v>
      </c>
      <c r="E18" s="2"/>
      <c r="F18" s="19"/>
      <c r="G18" s="2"/>
      <c r="H18" s="2">
        <f>--28696.08</f>
        <v>28696.080000000002</v>
      </c>
      <c r="I18" s="2"/>
      <c r="J18" s="19"/>
      <c r="K18" s="2"/>
      <c r="L18" s="2">
        <f t="shared" si="0"/>
        <v>443.56999999999971</v>
      </c>
      <c r="M18" s="2"/>
      <c r="N18" s="19">
        <f t="shared" si="1"/>
        <v>1.5457511966791272E-2</v>
      </c>
      <c r="O18" s="11"/>
      <c r="P18" s="2">
        <f>--161179.3</f>
        <v>161179.29999999999</v>
      </c>
      <c r="Q18" s="2"/>
      <c r="R18" s="19"/>
      <c r="S18" s="2"/>
      <c r="T18" s="2">
        <f>--157758.96</f>
        <v>157758.96</v>
      </c>
      <c r="U18" s="2"/>
      <c r="V18" s="19"/>
      <c r="W18" s="2"/>
      <c r="X18" s="2">
        <f t="shared" si="2"/>
        <v>3420.3399999999965</v>
      </c>
      <c r="Y18" s="2"/>
      <c r="Z18" s="19">
        <f t="shared" si="3"/>
        <v>2.1680797084362095E-2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--22690.4</f>
        <v>22690.400000000001</v>
      </c>
      <c r="E19" s="2"/>
      <c r="F19" s="19"/>
      <c r="G19" s="2"/>
      <c r="H19" s="2">
        <f>--14415.73</f>
        <v>14415.73</v>
      </c>
      <c r="I19" s="2"/>
      <c r="J19" s="19"/>
      <c r="K19" s="2"/>
      <c r="L19" s="2">
        <f t="shared" si="0"/>
        <v>8274.6700000000019</v>
      </c>
      <c r="M19" s="2"/>
      <c r="N19" s="19">
        <f t="shared" si="1"/>
        <v>0.57400284272804791</v>
      </c>
      <c r="O19" s="11"/>
      <c r="P19" s="2">
        <f>--115082.55</f>
        <v>115082.55</v>
      </c>
      <c r="Q19" s="2"/>
      <c r="R19" s="19"/>
      <c r="S19" s="2"/>
      <c r="T19" s="2">
        <f>--86320.39</f>
        <v>86320.39</v>
      </c>
      <c r="U19" s="2"/>
      <c r="V19" s="19"/>
      <c r="W19" s="2"/>
      <c r="X19" s="2">
        <f t="shared" si="2"/>
        <v>28762.160000000003</v>
      </c>
      <c r="Y19" s="2"/>
      <c r="Z19" s="19">
        <f t="shared" si="3"/>
        <v>0.33320238706057748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--4298.47</f>
        <v>4298.47</v>
      </c>
      <c r="E20" s="2"/>
      <c r="F20" s="19"/>
      <c r="G20" s="2"/>
      <c r="H20" s="2">
        <f>--206.28</f>
        <v>206.28</v>
      </c>
      <c r="I20" s="2"/>
      <c r="J20" s="19"/>
      <c r="K20" s="2"/>
      <c r="L20" s="2">
        <f t="shared" si="0"/>
        <v>4092.19</v>
      </c>
      <c r="M20" s="2"/>
      <c r="N20" s="19">
        <f t="shared" si="1"/>
        <v>19.838035679658717</v>
      </c>
      <c r="O20" s="11"/>
      <c r="P20" s="2">
        <f>--4721.04</f>
        <v>4721.04</v>
      </c>
      <c r="Q20" s="2"/>
      <c r="R20" s="19"/>
      <c r="S20" s="2"/>
      <c r="T20" s="2">
        <f>--1212.86</f>
        <v>1212.8599999999999</v>
      </c>
      <c r="U20" s="2"/>
      <c r="V20" s="19"/>
      <c r="W20" s="2"/>
      <c r="X20" s="2">
        <f t="shared" si="2"/>
        <v>3508.1800000000003</v>
      </c>
      <c r="Y20" s="2"/>
      <c r="Z20" s="19">
        <f t="shared" si="3"/>
        <v>2.8924855300694232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--8230.63</f>
        <v>8230.6299999999992</v>
      </c>
      <c r="E21" s="2"/>
      <c r="F21" s="19"/>
      <c r="G21" s="2"/>
      <c r="H21" s="2">
        <f>--4224.97</f>
        <v>4224.97</v>
      </c>
      <c r="I21" s="2"/>
      <c r="J21" s="19"/>
      <c r="K21" s="2"/>
      <c r="L21" s="2">
        <f t="shared" si="0"/>
        <v>4005.6599999999989</v>
      </c>
      <c r="M21" s="2"/>
      <c r="N21" s="19">
        <f t="shared" si="1"/>
        <v>0.94809193911436029</v>
      </c>
      <c r="O21" s="11"/>
      <c r="P21" s="2">
        <f>--41297.78</f>
        <v>41297.78</v>
      </c>
      <c r="Q21" s="2"/>
      <c r="R21" s="19"/>
      <c r="S21" s="2"/>
      <c r="T21" s="2">
        <f>--39724.95</f>
        <v>39724.949999999997</v>
      </c>
      <c r="U21" s="2"/>
      <c r="V21" s="19"/>
      <c r="W21" s="2"/>
      <c r="X21" s="2">
        <f t="shared" si="2"/>
        <v>1572.8300000000017</v>
      </c>
      <c r="Y21" s="2"/>
      <c r="Z21" s="19">
        <f t="shared" si="3"/>
        <v>3.9593001375709772E-2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>--18665.34</f>
        <v>18665.34</v>
      </c>
      <c r="E22" s="2"/>
      <c r="F22" s="19"/>
      <c r="G22" s="2"/>
      <c r="H22" s="2">
        <f>--4968.26</f>
        <v>4968.26</v>
      </c>
      <c r="I22" s="2"/>
      <c r="J22" s="19"/>
      <c r="K22" s="2"/>
      <c r="L22" s="2">
        <f t="shared" si="0"/>
        <v>13697.08</v>
      </c>
      <c r="M22" s="2"/>
      <c r="N22" s="19">
        <f t="shared" si="1"/>
        <v>2.7569169085353824</v>
      </c>
      <c r="O22" s="11"/>
      <c r="P22" s="2">
        <f>--54518.44</f>
        <v>54518.44</v>
      </c>
      <c r="Q22" s="2"/>
      <c r="R22" s="19"/>
      <c r="S22" s="2"/>
      <c r="T22" s="2">
        <f>--63163.72</f>
        <v>63163.72</v>
      </c>
      <c r="U22" s="2"/>
      <c r="V22" s="19"/>
      <c r="W22" s="2"/>
      <c r="X22" s="2">
        <f t="shared" si="2"/>
        <v>-8645.2799999999988</v>
      </c>
      <c r="Y22" s="2"/>
      <c r="Z22" s="19">
        <f t="shared" si="3"/>
        <v>-0.13687097593365302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>0</f>
        <v>0</v>
      </c>
      <c r="E23" s="2"/>
      <c r="F23" s="19"/>
      <c r="G23" s="2"/>
      <c r="H23" s="2">
        <f t="shared" ref="H23:H24" si="5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>--0.99</f>
        <v>0.99</v>
      </c>
      <c r="E24" s="2"/>
      <c r="F24" s="19"/>
      <c r="G24" s="2"/>
      <c r="H24" s="2">
        <f t="shared" si="5"/>
        <v>0</v>
      </c>
      <c r="I24" s="2"/>
      <c r="J24" s="19"/>
      <c r="K24" s="2"/>
      <c r="L24" s="2">
        <f t="shared" si="0"/>
        <v>0.99</v>
      </c>
      <c r="M24" s="2"/>
      <c r="N24" s="19">
        <f t="shared" si="1"/>
        <v>0</v>
      </c>
      <c r="O24" s="11"/>
      <c r="P24" s="2">
        <f>--27.72</f>
        <v>27.72</v>
      </c>
      <c r="Q24" s="2"/>
      <c r="R24" s="19"/>
      <c r="S24" s="2"/>
      <c r="T24" s="2">
        <f>--11.88</f>
        <v>11.88</v>
      </c>
      <c r="U24" s="2"/>
      <c r="V24" s="19"/>
      <c r="W24" s="2"/>
      <c r="X24" s="2">
        <f t="shared" si="2"/>
        <v>15.839999999999998</v>
      </c>
      <c r="Y24" s="2"/>
      <c r="Z24" s="19">
        <f t="shared" si="3"/>
        <v>1.333333333333333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--1.5</f>
        <v>1.5</v>
      </c>
      <c r="E25" s="2"/>
      <c r="F25" s="19"/>
      <c r="G25" s="2"/>
      <c r="H25" s="2">
        <f>--3</f>
        <v>3</v>
      </c>
      <c r="I25" s="2"/>
      <c r="J25" s="19"/>
      <c r="K25" s="2"/>
      <c r="L25" s="2">
        <f t="shared" si="0"/>
        <v>-1.5</v>
      </c>
      <c r="M25" s="2"/>
      <c r="N25" s="19">
        <f t="shared" si="1"/>
        <v>-0.5</v>
      </c>
      <c r="O25" s="11"/>
      <c r="P25" s="2">
        <f>--87</f>
        <v>87</v>
      </c>
      <c r="Q25" s="2"/>
      <c r="R25" s="19"/>
      <c r="S25" s="2"/>
      <c r="T25" s="2">
        <f>--58.5</f>
        <v>58.5</v>
      </c>
      <c r="U25" s="2"/>
      <c r="V25" s="19"/>
      <c r="W25" s="2"/>
      <c r="X25" s="2">
        <f t="shared" si="2"/>
        <v>28.5</v>
      </c>
      <c r="Y25" s="2"/>
      <c r="Z25" s="19">
        <f t="shared" si="3"/>
        <v>0.48717948717948717</v>
      </c>
    </row>
    <row r="26" spans="1:26" s="24" customFormat="1" hidden="1" outlineLevel="1" x14ac:dyDescent="0.25">
      <c r="A26" s="44"/>
      <c r="B26" s="11" t="str">
        <f>CONCATENATE("          ", "4140", " - ", "NON-TAXABLE SALES-LOGO CLOTHIN")</f>
        <v xml:space="preserve">          4140 - NON-TAXABLE SALES-LOGO CLOTHIN</v>
      </c>
      <c r="C26" s="11"/>
      <c r="D26" s="2">
        <f>--7373.27</f>
        <v>7373.27</v>
      </c>
      <c r="E26" s="2"/>
      <c r="F26" s="19"/>
      <c r="G26" s="2"/>
      <c r="H26" s="2">
        <f>--3104.15</f>
        <v>3104.15</v>
      </c>
      <c r="I26" s="2"/>
      <c r="J26" s="19"/>
      <c r="K26" s="2"/>
      <c r="L26" s="2">
        <f t="shared" si="0"/>
        <v>4269.1200000000008</v>
      </c>
      <c r="M26" s="2"/>
      <c r="N26" s="19">
        <f t="shared" si="1"/>
        <v>1.3752943639965853</v>
      </c>
      <c r="O26" s="11"/>
      <c r="P26" s="2">
        <f>--20008.79</f>
        <v>20008.79</v>
      </c>
      <c r="Q26" s="2"/>
      <c r="R26" s="19"/>
      <c r="S26" s="2"/>
      <c r="T26" s="2">
        <f>--14661.16</f>
        <v>14661.16</v>
      </c>
      <c r="U26" s="2"/>
      <c r="V26" s="19"/>
      <c r="W26" s="2"/>
      <c r="X26" s="2">
        <f t="shared" si="2"/>
        <v>5347.630000000001</v>
      </c>
      <c r="Y26" s="2"/>
      <c r="Z26" s="19">
        <f t="shared" si="3"/>
        <v>0.36474808268922793</v>
      </c>
    </row>
    <row r="27" spans="1:26" s="24" customFormat="1" hidden="1" outlineLevel="1" x14ac:dyDescent="0.25">
      <c r="A27" s="44"/>
      <c r="B27" s="11" t="str">
        <f>CONCATENATE("          ", "4141", " - ", "NON-TAXABLE SALES-LOGO GIFTS")</f>
        <v xml:space="preserve">          4141 - NON-TAXABLE SALES-LOGO GIFTS</v>
      </c>
      <c r="C27" s="11"/>
      <c r="D27" s="2">
        <f>--434.35</f>
        <v>434.35</v>
      </c>
      <c r="E27" s="2"/>
      <c r="F27" s="19"/>
      <c r="G27" s="2"/>
      <c r="H27" s="2">
        <f>--203.25</f>
        <v>203.25</v>
      </c>
      <c r="I27" s="2"/>
      <c r="J27" s="19"/>
      <c r="K27" s="2"/>
      <c r="L27" s="2">
        <f t="shared" si="0"/>
        <v>231.10000000000002</v>
      </c>
      <c r="M27" s="2"/>
      <c r="N27" s="19">
        <f t="shared" si="1"/>
        <v>1.1370233702337025</v>
      </c>
      <c r="O27" s="11"/>
      <c r="P27" s="2">
        <f>--1677.53</f>
        <v>1677.53</v>
      </c>
      <c r="Q27" s="2"/>
      <c r="R27" s="19"/>
      <c r="S27" s="2"/>
      <c r="T27" s="2">
        <f>--1485.33</f>
        <v>1485.33</v>
      </c>
      <c r="U27" s="2"/>
      <c r="V27" s="19"/>
      <c r="W27" s="2"/>
      <c r="X27" s="2">
        <f t="shared" si="2"/>
        <v>192.20000000000005</v>
      </c>
      <c r="Y27" s="2"/>
      <c r="Z27" s="19">
        <f t="shared" si="3"/>
        <v>0.12939885412669241</v>
      </c>
    </row>
    <row r="28" spans="1:26" s="24" customFormat="1" hidden="1" outlineLevel="1" x14ac:dyDescent="0.25">
      <c r="A28" s="44"/>
      <c r="B28" s="11" t="str">
        <f>CONCATENATE("          ", "4142", " - ", "NON-TAXABLE SALES-EVERYDAY GIF")</f>
        <v xml:space="preserve">          4142 - NON-TAXABLE SALES-EVERYDAY GIF</v>
      </c>
      <c r="C28" s="11"/>
      <c r="D28" s="2">
        <f>--844.52</f>
        <v>844.52</v>
      </c>
      <c r="E28" s="2"/>
      <c r="F28" s="19"/>
      <c r="G28" s="2"/>
      <c r="H28" s="2">
        <f>--1052.1</f>
        <v>1052.0999999999999</v>
      </c>
      <c r="I28" s="2"/>
      <c r="J28" s="19"/>
      <c r="K28" s="2"/>
      <c r="L28" s="2">
        <f t="shared" si="0"/>
        <v>-207.57999999999993</v>
      </c>
      <c r="M28" s="2"/>
      <c r="N28" s="19">
        <f t="shared" si="1"/>
        <v>-0.19730063682159485</v>
      </c>
      <c r="O28" s="11"/>
      <c r="P28" s="2">
        <f>--2415.83</f>
        <v>2415.83</v>
      </c>
      <c r="Q28" s="2"/>
      <c r="R28" s="19"/>
      <c r="S28" s="2"/>
      <c r="T28" s="2">
        <f>--1619.71</f>
        <v>1619.71</v>
      </c>
      <c r="U28" s="2"/>
      <c r="V28" s="19"/>
      <c r="W28" s="2"/>
      <c r="X28" s="2">
        <f t="shared" si="2"/>
        <v>796.11999999999989</v>
      </c>
      <c r="Y28" s="2"/>
      <c r="Z28" s="19">
        <f t="shared" si="3"/>
        <v>0.49152008692914156</v>
      </c>
    </row>
    <row r="29" spans="1:26" s="24" customFormat="1" hidden="1" outlineLevel="1" x14ac:dyDescent="0.25">
      <c r="A29" s="44"/>
      <c r="B29" s="11" t="str">
        <f>CONCATENATE("          ", "4144", " - ", "NON-TAXABLE SALES-ACCESSORIES")</f>
        <v xml:space="preserve">          4144 - NON-TAXABLE SALES-ACCESSORIES</v>
      </c>
      <c r="C29" s="11"/>
      <c r="D29" s="2">
        <f>--29.95</f>
        <v>29.95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29.95</v>
      </c>
      <c r="M29" s="2"/>
      <c r="N29" s="19">
        <f t="shared" si="1"/>
        <v>0</v>
      </c>
      <c r="O29" s="11"/>
      <c r="P29" s="2">
        <f>--241.56</f>
        <v>241.56</v>
      </c>
      <c r="Q29" s="2"/>
      <c r="R29" s="19"/>
      <c r="S29" s="2"/>
      <c r="T29" s="2">
        <f>--340.6</f>
        <v>340.6</v>
      </c>
      <c r="U29" s="2"/>
      <c r="V29" s="19"/>
      <c r="W29" s="2"/>
      <c r="X29" s="2">
        <f t="shared" si="2"/>
        <v>-99.04000000000002</v>
      </c>
      <c r="Y29" s="2"/>
      <c r="Z29" s="19">
        <f t="shared" si="3"/>
        <v>-0.29078097475044046</v>
      </c>
    </row>
    <row r="30" spans="1:26" s="24" customFormat="1" hidden="1" outlineLevel="1" x14ac:dyDescent="0.25">
      <c r="A30" s="44"/>
      <c r="B30" s="11" t="str">
        <f>CONCATENATE("          ", "4145", " - ", "NON-TAXABLE SALES-SPECIAL ORDE")</f>
        <v xml:space="preserve">          4145 - NON-TAXABLE SALES-SPECIAL ORDE</v>
      </c>
      <c r="C30" s="11"/>
      <c r="D30" s="2">
        <f>--50</f>
        <v>50</v>
      </c>
      <c r="E30" s="2"/>
      <c r="F30" s="19"/>
      <c r="G30" s="2"/>
      <c r="H30" s="2">
        <f>--1396</f>
        <v>1396</v>
      </c>
      <c r="I30" s="2"/>
      <c r="J30" s="19"/>
      <c r="K30" s="2"/>
      <c r="L30" s="2">
        <f t="shared" si="0"/>
        <v>-1346</v>
      </c>
      <c r="M30" s="2"/>
      <c r="N30" s="19">
        <f t="shared" si="1"/>
        <v>-0.96418338108882518</v>
      </c>
      <c r="O30" s="11"/>
      <c r="P30" s="2">
        <f>--140</f>
        <v>140</v>
      </c>
      <c r="Q30" s="2"/>
      <c r="R30" s="19"/>
      <c r="S30" s="2"/>
      <c r="T30" s="2">
        <f>--1657.6</f>
        <v>1657.6</v>
      </c>
      <c r="U30" s="2"/>
      <c r="V30" s="19"/>
      <c r="W30" s="2"/>
      <c r="X30" s="2">
        <f t="shared" si="2"/>
        <v>-1517.6</v>
      </c>
      <c r="Y30" s="2"/>
      <c r="Z30" s="19">
        <f t="shared" si="3"/>
        <v>-0.91554054054054057</v>
      </c>
    </row>
    <row r="31" spans="1:26" s="24" customFormat="1" hidden="1" outlineLevel="1" x14ac:dyDescent="0.25">
      <c r="A31" s="44"/>
      <c r="B31" s="11" t="str">
        <f>CONCATENATE("          ", "4226", " - ", "SALES RETURN TAXABLE-WRITING I")</f>
        <v xml:space="preserve">          4226 - SALES RETURN TAXABLE-WRITING I</v>
      </c>
      <c r="C31" s="11"/>
      <c r="D31" s="2">
        <f t="shared" ref="D31:D32" si="6">0</f>
        <v>0</v>
      </c>
      <c r="E31" s="2"/>
      <c r="F31" s="19"/>
      <c r="G31" s="2"/>
      <c r="H31" s="2">
        <f t="shared" ref="H31:H32" si="7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-134.8</f>
        <v>-134.80000000000001</v>
      </c>
      <c r="Q31" s="2"/>
      <c r="R31" s="19"/>
      <c r="S31" s="2"/>
      <c r="T31" s="2">
        <f>0</f>
        <v>0</v>
      </c>
      <c r="U31" s="2"/>
      <c r="V31" s="19"/>
      <c r="W31" s="2"/>
      <c r="X31" s="2">
        <f t="shared" si="2"/>
        <v>-134.80000000000001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"4227", " - ", "SALES RETURN TAXABLE-SCHOOL SU")</f>
        <v xml:space="preserve">          4227 - SALES RETURN TAXABLE-SCHOOL SU</v>
      </c>
      <c r="C32" s="11"/>
      <c r="D32" s="2">
        <f t="shared" si="6"/>
        <v>0</v>
      </c>
      <c r="E32" s="2"/>
      <c r="F32" s="19"/>
      <c r="G32" s="2"/>
      <c r="H32" s="2">
        <f t="shared" si="7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-4.99</f>
        <v>-4.99</v>
      </c>
      <c r="U32" s="2"/>
      <c r="V32" s="19"/>
      <c r="W32" s="2"/>
      <c r="X32" s="2">
        <f t="shared" si="2"/>
        <v>4.99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"4240", " - ", "SALES RETURN TAXABLE-LOGO CLOT")</f>
        <v xml:space="preserve">          4240 - SALES RETURN TAXABLE-LOGO CLOT</v>
      </c>
      <c r="C33" s="11"/>
      <c r="D33" s="2">
        <f>-10814.23</f>
        <v>-10814.23</v>
      </c>
      <c r="E33" s="2"/>
      <c r="F33" s="19"/>
      <c r="G33" s="2"/>
      <c r="H33" s="2">
        <f>-7975.12</f>
        <v>-7975.12</v>
      </c>
      <c r="I33" s="2"/>
      <c r="J33" s="19"/>
      <c r="K33" s="2"/>
      <c r="L33" s="2">
        <f t="shared" si="0"/>
        <v>-2839.1099999999997</v>
      </c>
      <c r="M33" s="2"/>
      <c r="N33" s="19">
        <f t="shared" si="1"/>
        <v>0.35599589724041764</v>
      </c>
      <c r="O33" s="11"/>
      <c r="P33" s="2">
        <f>-41109.03</f>
        <v>-41109.03</v>
      </c>
      <c r="Q33" s="2"/>
      <c r="R33" s="19"/>
      <c r="S33" s="2"/>
      <c r="T33" s="2">
        <f>-36596.53</f>
        <v>-36596.53</v>
      </c>
      <c r="U33" s="2"/>
      <c r="V33" s="19"/>
      <c r="W33" s="2"/>
      <c r="X33" s="2">
        <f t="shared" si="2"/>
        <v>-4512.5</v>
      </c>
      <c r="Y33" s="2"/>
      <c r="Z33" s="19">
        <f t="shared" si="3"/>
        <v>0.12330404002783871</v>
      </c>
    </row>
    <row r="34" spans="1:26" s="24" customFormat="1" hidden="1" outlineLevel="1" x14ac:dyDescent="0.25">
      <c r="A34" s="44"/>
      <c r="B34" s="11" t="str">
        <f>CONCATENATE("          ", "4241", " - ", "SALES RETURN TAXABLE-LOGO GIFT")</f>
        <v xml:space="preserve">          4241 - SALES RETURN TAXABLE-LOGO GIFT</v>
      </c>
      <c r="C34" s="11"/>
      <c r="D34" s="2">
        <f>-491.64</f>
        <v>-491.64</v>
      </c>
      <c r="E34" s="2"/>
      <c r="F34" s="19"/>
      <c r="G34" s="2"/>
      <c r="H34" s="2">
        <f>-373.89</f>
        <v>-373.89</v>
      </c>
      <c r="I34" s="2"/>
      <c r="J34" s="19"/>
      <c r="K34" s="2"/>
      <c r="L34" s="2">
        <f t="shared" si="0"/>
        <v>-117.75</v>
      </c>
      <c r="M34" s="2"/>
      <c r="N34" s="19">
        <f t="shared" si="1"/>
        <v>0.31493219930995747</v>
      </c>
      <c r="O34" s="11"/>
      <c r="P34" s="2">
        <f>-2574.84</f>
        <v>-2574.84</v>
      </c>
      <c r="Q34" s="2"/>
      <c r="R34" s="19"/>
      <c r="S34" s="2"/>
      <c r="T34" s="2">
        <f>-3016.61</f>
        <v>-3016.61</v>
      </c>
      <c r="U34" s="2"/>
      <c r="V34" s="19"/>
      <c r="W34" s="2"/>
      <c r="X34" s="2">
        <f t="shared" si="2"/>
        <v>441.77</v>
      </c>
      <c r="Y34" s="2"/>
      <c r="Z34" s="19">
        <f t="shared" si="3"/>
        <v>-0.1464458448390743</v>
      </c>
    </row>
    <row r="35" spans="1:26" s="24" customFormat="1" hidden="1" outlineLevel="1" x14ac:dyDescent="0.25">
      <c r="A35" s="44"/>
      <c r="B35" s="11" t="str">
        <f>CONCATENATE("          ", "4242", " - ", "SALES RETURN TAXABLE-EVERYDAY")</f>
        <v xml:space="preserve">          4242 - SALES RETURN TAXABLE-EVERYDAY</v>
      </c>
      <c r="C35" s="11"/>
      <c r="D35" s="2">
        <f>-532.3</f>
        <v>-532.29999999999995</v>
      </c>
      <c r="E35" s="2"/>
      <c r="F35" s="19"/>
      <c r="G35" s="2"/>
      <c r="H35" s="2">
        <f>-243.08</f>
        <v>-243.08</v>
      </c>
      <c r="I35" s="2"/>
      <c r="J35" s="19"/>
      <c r="K35" s="2"/>
      <c r="L35" s="2">
        <f t="shared" si="0"/>
        <v>-289.21999999999991</v>
      </c>
      <c r="M35" s="2"/>
      <c r="N35" s="19">
        <f t="shared" si="1"/>
        <v>1.1898140529866705</v>
      </c>
      <c r="O35" s="11"/>
      <c r="P35" s="2">
        <f>-1675.67</f>
        <v>-1675.67</v>
      </c>
      <c r="Q35" s="2"/>
      <c r="R35" s="19"/>
      <c r="S35" s="2"/>
      <c r="T35" s="2">
        <f>-1309.3</f>
        <v>-1309.3</v>
      </c>
      <c r="U35" s="2"/>
      <c r="V35" s="19"/>
      <c r="W35" s="2"/>
      <c r="X35" s="2">
        <f t="shared" si="2"/>
        <v>-366.37000000000012</v>
      </c>
      <c r="Y35" s="2"/>
      <c r="Z35" s="19">
        <f t="shared" si="3"/>
        <v>0.27982127854578792</v>
      </c>
    </row>
    <row r="36" spans="1:26" s="24" customFormat="1" hidden="1" outlineLevel="1" x14ac:dyDescent="0.25">
      <c r="A36" s="44"/>
      <c r="B36" s="11" t="str">
        <f>CONCATENATE("          ", "4243", " - ", "SALES RETURN TAXABLE-CARDS")</f>
        <v xml:space="preserve">          4243 - SALES RETURN TAXABLE-CARDS</v>
      </c>
      <c r="C36" s="11"/>
      <c r="D36" s="2">
        <f>-316.34</f>
        <v>-316.33999999999997</v>
      </c>
      <c r="E36" s="2"/>
      <c r="F36" s="19"/>
      <c r="G36" s="2"/>
      <c r="H36" s="2">
        <f>-7</f>
        <v>-7</v>
      </c>
      <c r="I36" s="2"/>
      <c r="J36" s="19"/>
      <c r="K36" s="2"/>
      <c r="L36" s="2">
        <f t="shared" si="0"/>
        <v>-309.33999999999997</v>
      </c>
      <c r="M36" s="2"/>
      <c r="N36" s="19">
        <f t="shared" si="1"/>
        <v>44.191428571428567</v>
      </c>
      <c r="O36" s="11"/>
      <c r="P36" s="2">
        <f>-320.84</f>
        <v>-320.83999999999997</v>
      </c>
      <c r="Q36" s="2"/>
      <c r="R36" s="19"/>
      <c r="S36" s="2"/>
      <c r="T36" s="2">
        <f>-19.95</f>
        <v>-19.95</v>
      </c>
      <c r="U36" s="2"/>
      <c r="V36" s="19"/>
      <c r="W36" s="2"/>
      <c r="X36" s="2">
        <f t="shared" si="2"/>
        <v>-300.89</v>
      </c>
      <c r="Y36" s="2"/>
      <c r="Z36" s="19">
        <f t="shared" si="3"/>
        <v>15.08220551378446</v>
      </c>
    </row>
    <row r="37" spans="1:26" s="24" customFormat="1" hidden="1" outlineLevel="1" x14ac:dyDescent="0.25">
      <c r="A37" s="44"/>
      <c r="B37" s="11" t="str">
        <f>CONCATENATE("          ", "4244", " - ", "SALES RETURN TAXABLE-ACCESSORI")</f>
        <v xml:space="preserve">          4244 - SALES RETURN TAXABLE-ACCESSORI</v>
      </c>
      <c r="C37" s="11"/>
      <c r="D37" s="2">
        <f>-96.7</f>
        <v>-96.7</v>
      </c>
      <c r="E37" s="2"/>
      <c r="F37" s="19"/>
      <c r="G37" s="2"/>
      <c r="H37" s="2">
        <f>-141.81</f>
        <v>-141.81</v>
      </c>
      <c r="I37" s="2"/>
      <c r="J37" s="19"/>
      <c r="K37" s="2"/>
      <c r="L37" s="2">
        <f t="shared" si="0"/>
        <v>45.11</v>
      </c>
      <c r="M37" s="2"/>
      <c r="N37" s="19">
        <f t="shared" si="1"/>
        <v>-0.31810168535364219</v>
      </c>
      <c r="O37" s="11"/>
      <c r="P37" s="2">
        <f>-1529.06</f>
        <v>-1529.06</v>
      </c>
      <c r="Q37" s="2"/>
      <c r="R37" s="19"/>
      <c r="S37" s="2"/>
      <c r="T37" s="2">
        <f>-2589.87</f>
        <v>-2589.87</v>
      </c>
      <c r="U37" s="2"/>
      <c r="V37" s="19"/>
      <c r="W37" s="2"/>
      <c r="X37" s="2">
        <f t="shared" si="2"/>
        <v>1060.81</v>
      </c>
      <c r="Y37" s="2"/>
      <c r="Z37" s="19">
        <f t="shared" si="3"/>
        <v>-0.40959970963793552</v>
      </c>
    </row>
    <row r="38" spans="1:26" s="24" customFormat="1" hidden="1" outlineLevel="1" x14ac:dyDescent="0.25">
      <c r="A38" s="44"/>
      <c r="B38" s="11" t="str">
        <f>CONCATENATE("          ", "4245", " - ", "SALES RETURN TAXABLE-SPECIAL O")</f>
        <v xml:space="preserve">          4245 - SALES RETURN TAXABLE-SPECIAL O</v>
      </c>
      <c r="C38" s="11"/>
      <c r="D38" s="2">
        <f t="shared" ref="D38:D39" si="8">0</f>
        <v>0</v>
      </c>
      <c r="E38" s="2"/>
      <c r="F38" s="19"/>
      <c r="G38" s="2"/>
      <c r="H38" s="2">
        <f>-44.94</f>
        <v>-44.94</v>
      </c>
      <c r="I38" s="2"/>
      <c r="J38" s="19"/>
      <c r="K38" s="2"/>
      <c r="L38" s="2">
        <f t="shared" si="0"/>
        <v>44.94</v>
      </c>
      <c r="M38" s="2"/>
      <c r="N38" s="19">
        <f t="shared" si="1"/>
        <v>-1</v>
      </c>
      <c r="O38" s="11"/>
      <c r="P38" s="2">
        <f>-91.96</f>
        <v>-91.96</v>
      </c>
      <c r="Q38" s="2"/>
      <c r="R38" s="19"/>
      <c r="S38" s="2"/>
      <c r="T38" s="2">
        <f>-219.79</f>
        <v>-219.79</v>
      </c>
      <c r="U38" s="2"/>
      <c r="V38" s="19"/>
      <c r="W38" s="2"/>
      <c r="X38" s="2">
        <f t="shared" si="2"/>
        <v>127.83</v>
      </c>
      <c r="Y38" s="2"/>
      <c r="Z38" s="19">
        <f t="shared" si="3"/>
        <v>-0.58160061877246461</v>
      </c>
    </row>
    <row r="39" spans="1:26" s="24" customFormat="1" hidden="1" outlineLevel="1" x14ac:dyDescent="0.25">
      <c r="A39" s="44"/>
      <c r="B39" s="11" t="str">
        <f>CONCATENATE("          ", "4295", " - ", "SALES RETURN TAXABLE-CUSTOMER")</f>
        <v xml:space="preserve">          4295 - SALES RETURN TAXABLE-CUSTOMER</v>
      </c>
      <c r="C39" s="11"/>
      <c r="D39" s="2">
        <f t="shared" si="8"/>
        <v>0</v>
      </c>
      <c r="E39" s="2"/>
      <c r="F39" s="19"/>
      <c r="G39" s="2"/>
      <c r="H39" s="2">
        <f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--0.99</f>
        <v>0.99</v>
      </c>
      <c r="Q39" s="2"/>
      <c r="R39" s="19"/>
      <c r="S39" s="2"/>
      <c r="T39" s="2">
        <f>0</f>
        <v>0</v>
      </c>
      <c r="U39" s="2"/>
      <c r="V39" s="19"/>
      <c r="W39" s="2"/>
      <c r="X39" s="2">
        <f t="shared" si="2"/>
        <v>0.99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"4340", " - ", "SALES RETURN NON TAXABLE-LOGO")</f>
        <v xml:space="preserve">          4340 - SALES RETURN NON TAXABLE-LOGO</v>
      </c>
      <c r="C40" s="11"/>
      <c r="D40" s="2">
        <f>-29.95</f>
        <v>-29.95</v>
      </c>
      <c r="E40" s="2"/>
      <c r="F40" s="19"/>
      <c r="G40" s="2"/>
      <c r="H40" s="2">
        <f>-34.95</f>
        <v>-34.950000000000003</v>
      </c>
      <c r="I40" s="2"/>
      <c r="J40" s="19"/>
      <c r="K40" s="2"/>
      <c r="L40" s="2">
        <f t="shared" si="0"/>
        <v>5.0000000000000036</v>
      </c>
      <c r="M40" s="2"/>
      <c r="N40" s="19">
        <f t="shared" si="1"/>
        <v>-0.14306151645207449</v>
      </c>
      <c r="O40" s="11"/>
      <c r="P40" s="2">
        <f>-323.4</f>
        <v>-323.39999999999998</v>
      </c>
      <c r="Q40" s="2"/>
      <c r="R40" s="19"/>
      <c r="S40" s="2"/>
      <c r="T40" s="2">
        <f>-301.59</f>
        <v>-301.58999999999997</v>
      </c>
      <c r="U40" s="2"/>
      <c r="V40" s="19"/>
      <c r="W40" s="2"/>
      <c r="X40" s="2">
        <f t="shared" si="2"/>
        <v>-21.810000000000002</v>
      </c>
      <c r="Y40" s="2"/>
      <c r="Z40" s="19">
        <f t="shared" si="3"/>
        <v>7.2316721376703488E-2</v>
      </c>
    </row>
    <row r="41" spans="1:26" s="24" customFormat="1" hidden="1" outlineLevel="1" x14ac:dyDescent="0.25">
      <c r="A41" s="44"/>
      <c r="B41" s="11" t="str">
        <f>CONCATENATE("          ", "4341", " - ", "SALES RETURN NON TAXABLE-LOGO")</f>
        <v xml:space="preserve">          4341 - SALES RETURN NON TAXABLE-LOGO</v>
      </c>
      <c r="C41" s="11"/>
      <c r="D41" s="2">
        <f>0</f>
        <v>0</v>
      </c>
      <c r="E41" s="2"/>
      <c r="F41" s="19"/>
      <c r="G41" s="2"/>
      <c r="H41" s="2">
        <f t="shared" ref="H41:H42" si="9"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-10.9</f>
        <v>-10.9</v>
      </c>
      <c r="Q41" s="2"/>
      <c r="R41" s="19"/>
      <c r="S41" s="2"/>
      <c r="T41" s="2">
        <f>-51.85</f>
        <v>-51.85</v>
      </c>
      <c r="U41" s="2"/>
      <c r="V41" s="19"/>
      <c r="W41" s="2"/>
      <c r="X41" s="2">
        <f t="shared" si="2"/>
        <v>40.950000000000003</v>
      </c>
      <c r="Y41" s="2"/>
      <c r="Z41" s="19">
        <f t="shared" si="3"/>
        <v>-0.78977820636451301</v>
      </c>
    </row>
    <row r="42" spans="1:26" s="24" customFormat="1" hidden="1" outlineLevel="1" x14ac:dyDescent="0.25">
      <c r="A42" s="44"/>
      <c r="B42" s="11" t="str">
        <f>CONCATENATE("          ", "4342", " - ", "SALES RETURN NON TAXABLE-EVERY")</f>
        <v xml:space="preserve">          4342 - SALES RETURN NON TAXABLE-EVERY</v>
      </c>
      <c r="C42" s="11"/>
      <c r="D42" s="2">
        <f>-6.95</f>
        <v>-6.95</v>
      </c>
      <c r="E42" s="2"/>
      <c r="F42" s="19"/>
      <c r="G42" s="2"/>
      <c r="H42" s="2">
        <f t="shared" si="9"/>
        <v>0</v>
      </c>
      <c r="I42" s="2"/>
      <c r="J42" s="19"/>
      <c r="K42" s="2"/>
      <c r="L42" s="2">
        <f t="shared" si="0"/>
        <v>-6.95</v>
      </c>
      <c r="M42" s="2"/>
      <c r="N42" s="19">
        <f t="shared" si="1"/>
        <v>0</v>
      </c>
      <c r="O42" s="11"/>
      <c r="P42" s="2">
        <f>-109.8</f>
        <v>-109.8</v>
      </c>
      <c r="Q42" s="2"/>
      <c r="R42" s="19"/>
      <c r="S42" s="2"/>
      <c r="T42" s="2">
        <f>0</f>
        <v>0</v>
      </c>
      <c r="U42" s="2"/>
      <c r="V42" s="19"/>
      <c r="W42" s="2"/>
      <c r="X42" s="2">
        <f t="shared" si="2"/>
        <v>-109.8</v>
      </c>
      <c r="Y42" s="2"/>
      <c r="Z42" s="19">
        <f t="shared" si="3"/>
        <v>0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25">
      <c r="A44" s="10"/>
      <c r="B44" s="28" t="s">
        <v>8</v>
      </c>
      <c r="C44" s="10"/>
      <c r="D44" s="4">
        <f>SUM(OSRRefD16x_0)</f>
        <v>154922.69000000003</v>
      </c>
      <c r="E44" s="4"/>
      <c r="F44" s="12">
        <f t="shared" ref="F44:F67" si="10">IF(D$12=0,0,D44/D$12)</f>
        <v>0.47033158468875663</v>
      </c>
      <c r="G44" s="4"/>
      <c r="H44" s="4">
        <f>SUM(OSRRefH16x_0)</f>
        <v>107409.18</v>
      </c>
      <c r="I44" s="4"/>
      <c r="J44" s="12">
        <f t="shared" ref="J44:J67" si="11">IF(H$12=0,0,H44/H$12)</f>
        <v>0.44053219123024584</v>
      </c>
      <c r="K44" s="4"/>
      <c r="L44" s="4">
        <f t="shared" ref="L44:L67" si="12">+D44-H44</f>
        <v>47513.510000000038</v>
      </c>
      <c r="M44" s="4"/>
      <c r="N44" s="12">
        <f t="shared" ref="N44:N67" si="13">IF(H44=0,0,L44/H44)</f>
        <v>0.4423598616058706</v>
      </c>
      <c r="O44" s="10"/>
      <c r="P44" s="4">
        <f>SUM(OSRRefP16x_0)</f>
        <v>666143.97999999986</v>
      </c>
      <c r="Q44" s="4"/>
      <c r="R44" s="12">
        <f t="shared" ref="R44:R67" si="14">IF(P$12=0,0,P44/P$12)</f>
        <v>0.45884437043049126</v>
      </c>
      <c r="S44" s="4"/>
      <c r="T44" s="4">
        <f>SUM(OSRRefT16x_0)</f>
        <v>570486.60999999987</v>
      </c>
      <c r="U44" s="4"/>
      <c r="V44" s="12">
        <f t="shared" ref="V44:V67" si="15">IF(T$12=0,0,T44/T$12)</f>
        <v>0.46120719487499395</v>
      </c>
      <c r="W44" s="4"/>
      <c r="X44" s="4">
        <f t="shared" ref="X44:X67" si="16">+P44-T44</f>
        <v>95657.37</v>
      </c>
      <c r="Y44" s="4"/>
      <c r="Z44" s="12">
        <f t="shared" ref="Z44:Z67" si="17">IF(T44=0,0,X44/T44)</f>
        <v>0.16767680138890556</v>
      </c>
    </row>
    <row r="45" spans="1:26" s="24" customFormat="1" hidden="1" outlineLevel="1" x14ac:dyDescent="0.25">
      <c r="A45" s="44"/>
      <c r="B45" s="11" t="str">
        <f>CONCATENATE("          ", "5025", " - ", "PURCHASES @ COST-TEST FORMS")</f>
        <v xml:space="preserve">          5025 - PURCHASES @ COST-TEST FORMS</v>
      </c>
      <c r="C45" s="11"/>
      <c r="D45" s="2"/>
      <c r="E45" s="2"/>
      <c r="F45" s="19">
        <f t="shared" si="10"/>
        <v>0</v>
      </c>
      <c r="G45" s="2"/>
      <c r="H45" s="2"/>
      <c r="I45" s="2"/>
      <c r="J45" s="19">
        <f t="shared" si="11"/>
        <v>0</v>
      </c>
      <c r="K45" s="2"/>
      <c r="L45" s="2">
        <f t="shared" si="12"/>
        <v>0</v>
      </c>
      <c r="M45" s="2"/>
      <c r="N45" s="19">
        <f t="shared" si="13"/>
        <v>0</v>
      </c>
      <c r="O45" s="11"/>
      <c r="P45" s="2"/>
      <c r="Q45" s="2"/>
      <c r="R45" s="19">
        <f t="shared" si="14"/>
        <v>0</v>
      </c>
      <c r="S45" s="2"/>
      <c r="T45" s="2">
        <v>13.2</v>
      </c>
      <c r="U45" s="2"/>
      <c r="V45" s="19">
        <f t="shared" si="15"/>
        <v>1.0671477411800991E-5</v>
      </c>
      <c r="W45" s="2"/>
      <c r="X45" s="2">
        <f t="shared" si="16"/>
        <v>-13.2</v>
      </c>
      <c r="Y45" s="2"/>
      <c r="Z45" s="19">
        <f t="shared" si="17"/>
        <v>-1</v>
      </c>
    </row>
    <row r="46" spans="1:26" s="24" customFormat="1" hidden="1" outlineLevel="1" x14ac:dyDescent="0.25">
      <c r="A46" s="44"/>
      <c r="B46" s="11" t="str">
        <f>CONCATENATE("          ", "5026", " - ", "PURCHASES @ COST-WRITING INSTR")</f>
        <v xml:space="preserve">          5026 - PURCHASES @ COST-WRITING INSTR</v>
      </c>
      <c r="C46" s="11"/>
      <c r="D46" s="2">
        <v>-0.9</v>
      </c>
      <c r="E46" s="2"/>
      <c r="F46" s="19">
        <f t="shared" si="10"/>
        <v>-2.7323203994190967E-6</v>
      </c>
      <c r="G46" s="2"/>
      <c r="H46" s="2">
        <v>37.979999999999997</v>
      </c>
      <c r="I46" s="2"/>
      <c r="J46" s="19">
        <f t="shared" si="11"/>
        <v>1.5577265018618276E-4</v>
      </c>
      <c r="K46" s="2"/>
      <c r="L46" s="2">
        <f t="shared" si="12"/>
        <v>-38.879999999999995</v>
      </c>
      <c r="M46" s="2"/>
      <c r="N46" s="19">
        <f t="shared" si="13"/>
        <v>-1.0236966824644549</v>
      </c>
      <c r="O46" s="11"/>
      <c r="P46" s="2">
        <v>-37.270000000000003</v>
      </c>
      <c r="Q46" s="2"/>
      <c r="R46" s="19">
        <f t="shared" si="14"/>
        <v>-2.567182200752518E-5</v>
      </c>
      <c r="S46" s="2"/>
      <c r="T46" s="2">
        <v>326.33999999999997</v>
      </c>
      <c r="U46" s="2"/>
      <c r="V46" s="19">
        <f t="shared" si="15"/>
        <v>2.6382802564902541E-4</v>
      </c>
      <c r="W46" s="2"/>
      <c r="X46" s="2">
        <f t="shared" si="16"/>
        <v>-363.60999999999996</v>
      </c>
      <c r="Y46" s="2"/>
      <c r="Z46" s="19">
        <f t="shared" si="17"/>
        <v>-1.1142060427774714</v>
      </c>
    </row>
    <row r="47" spans="1:26" s="24" customFormat="1" hidden="1" outlineLevel="1" x14ac:dyDescent="0.25">
      <c r="A47" s="44"/>
      <c r="B47" s="11" t="str">
        <f>CONCATENATE("          ", "5027", " - ", "PURCHASES @ COST-SCHOOL SUPPLI")</f>
        <v xml:space="preserve">          5027 - PURCHASES @ COST-SCHOOL SUPPLI</v>
      </c>
      <c r="C47" s="11"/>
      <c r="D47" s="2">
        <v>4.29</v>
      </c>
      <c r="E47" s="2"/>
      <c r="F47" s="19">
        <f t="shared" si="10"/>
        <v>1.3024060570564361E-5</v>
      </c>
      <c r="G47" s="2"/>
      <c r="H47" s="2"/>
      <c r="I47" s="2"/>
      <c r="J47" s="19">
        <f t="shared" si="11"/>
        <v>0</v>
      </c>
      <c r="K47" s="2"/>
      <c r="L47" s="2">
        <f t="shared" si="12"/>
        <v>4.29</v>
      </c>
      <c r="M47" s="2"/>
      <c r="N47" s="19">
        <f t="shared" si="13"/>
        <v>0</v>
      </c>
      <c r="O47" s="11"/>
      <c r="P47" s="2">
        <v>51.29</v>
      </c>
      <c r="Q47" s="2"/>
      <c r="R47" s="19">
        <f t="shared" si="14"/>
        <v>3.5328890549127081E-5</v>
      </c>
      <c r="S47" s="2"/>
      <c r="T47" s="2">
        <v>516.53</v>
      </c>
      <c r="U47" s="2"/>
      <c r="V47" s="19">
        <f t="shared" si="15"/>
        <v>4.1758622935739138E-4</v>
      </c>
      <c r="W47" s="2"/>
      <c r="X47" s="2">
        <f t="shared" si="16"/>
        <v>-465.23999999999995</v>
      </c>
      <c r="Y47" s="2"/>
      <c r="Z47" s="19">
        <f t="shared" si="17"/>
        <v>-0.90070276653824555</v>
      </c>
    </row>
    <row r="48" spans="1:26" s="24" customFormat="1" hidden="1" outlineLevel="1" x14ac:dyDescent="0.25">
      <c r="A48" s="44"/>
      <c r="B48" s="11" t="str">
        <f>CONCATENATE("          ", "5034", " - ", "PURCHASES @ COST-SODA")</f>
        <v xml:space="preserve">          5034 - PURCHASES @ COST-SODA</v>
      </c>
      <c r="C48" s="11"/>
      <c r="D48" s="2"/>
      <c r="E48" s="2"/>
      <c r="F48" s="19">
        <f t="shared" si="10"/>
        <v>0</v>
      </c>
      <c r="G48" s="2"/>
      <c r="H48" s="2">
        <v>-14.62</v>
      </c>
      <c r="I48" s="2"/>
      <c r="J48" s="19">
        <f t="shared" si="11"/>
        <v>-5.9963037012164087E-5</v>
      </c>
      <c r="K48" s="2"/>
      <c r="L48" s="2">
        <f t="shared" si="12"/>
        <v>14.62</v>
      </c>
      <c r="M48" s="2"/>
      <c r="N48" s="19">
        <f t="shared" si="13"/>
        <v>-1</v>
      </c>
      <c r="O48" s="11"/>
      <c r="P48" s="2"/>
      <c r="Q48" s="2"/>
      <c r="R48" s="19">
        <f t="shared" si="14"/>
        <v>0</v>
      </c>
      <c r="S48" s="2"/>
      <c r="T48" s="2">
        <v>-8.98</v>
      </c>
      <c r="U48" s="2"/>
      <c r="V48" s="19">
        <f t="shared" si="15"/>
        <v>-7.2598384210585544E-6</v>
      </c>
      <c r="W48" s="2"/>
      <c r="X48" s="2">
        <f t="shared" si="16"/>
        <v>8.98</v>
      </c>
      <c r="Y48" s="2"/>
      <c r="Z48" s="19">
        <f t="shared" si="17"/>
        <v>-1</v>
      </c>
    </row>
    <row r="49" spans="1:26" s="24" customFormat="1" hidden="1" outlineLevel="1" x14ac:dyDescent="0.25">
      <c r="A49" s="44"/>
      <c r="B49" s="11" t="str">
        <f>CONCATENATE("          ", "5037", " - ", "PURCHASES @ COST-WATER")</f>
        <v xml:space="preserve">          5037 - PURCHASES @ COST-WATER</v>
      </c>
      <c r="C49" s="11"/>
      <c r="D49" s="2"/>
      <c r="E49" s="2"/>
      <c r="F49" s="19">
        <f t="shared" si="10"/>
        <v>0</v>
      </c>
      <c r="G49" s="2"/>
      <c r="H49" s="2"/>
      <c r="I49" s="2"/>
      <c r="J49" s="19">
        <f t="shared" si="11"/>
        <v>0</v>
      </c>
      <c r="K49" s="2"/>
      <c r="L49" s="2">
        <f t="shared" si="12"/>
        <v>0</v>
      </c>
      <c r="M49" s="2"/>
      <c r="N49" s="19">
        <f t="shared" si="13"/>
        <v>0</v>
      </c>
      <c r="O49" s="11"/>
      <c r="P49" s="2">
        <v>29.76</v>
      </c>
      <c r="Q49" s="2"/>
      <c r="R49" s="19">
        <f t="shared" si="14"/>
        <v>2.049888443638179E-5</v>
      </c>
      <c r="S49" s="2"/>
      <c r="T49" s="2">
        <v>16.64</v>
      </c>
      <c r="U49" s="2"/>
      <c r="V49" s="19">
        <f t="shared" si="15"/>
        <v>1.3452529100937008E-5</v>
      </c>
      <c r="W49" s="2"/>
      <c r="X49" s="2">
        <f t="shared" si="16"/>
        <v>13.120000000000001</v>
      </c>
      <c r="Y49" s="2"/>
      <c r="Z49" s="19">
        <f t="shared" si="17"/>
        <v>0.78846153846153855</v>
      </c>
    </row>
    <row r="50" spans="1:26" s="24" customFormat="1" hidden="1" outlineLevel="1" x14ac:dyDescent="0.25">
      <c r="A50" s="44"/>
      <c r="B50" s="11" t="str">
        <f>CONCATENATE("          ", "5040", " - ", "PURCHASES @ COST-LOGO CLOTHING")</f>
        <v xml:space="preserve">          5040 - PURCHASES @ COST-LOGO CLOTHING</v>
      </c>
      <c r="C50" s="11"/>
      <c r="D50" s="2">
        <v>105691.4</v>
      </c>
      <c r="E50" s="2"/>
      <c r="F50" s="19">
        <f t="shared" si="10"/>
        <v>0.32086974251462613</v>
      </c>
      <c r="G50" s="2"/>
      <c r="H50" s="2">
        <v>105025.65000000001</v>
      </c>
      <c r="I50" s="2"/>
      <c r="J50" s="19">
        <f t="shared" si="11"/>
        <v>0.4307562885209707</v>
      </c>
      <c r="K50" s="2"/>
      <c r="L50" s="2">
        <f t="shared" si="12"/>
        <v>665.74999999998545</v>
      </c>
      <c r="M50" s="2"/>
      <c r="N50" s="19">
        <f t="shared" si="13"/>
        <v>6.3389276809996927E-3</v>
      </c>
      <c r="O50" s="11"/>
      <c r="P50" s="2">
        <v>618292.30999999994</v>
      </c>
      <c r="Q50" s="2"/>
      <c r="R50" s="19">
        <f t="shared" si="14"/>
        <v>0.42588382428069704</v>
      </c>
      <c r="S50" s="2"/>
      <c r="T50" s="2">
        <v>548235.94000000006</v>
      </c>
      <c r="U50" s="2"/>
      <c r="V50" s="19">
        <f t="shared" si="15"/>
        <v>0.44321874621571855</v>
      </c>
      <c r="W50" s="2"/>
      <c r="X50" s="2">
        <f t="shared" si="16"/>
        <v>70056.369999999879</v>
      </c>
      <c r="Y50" s="2"/>
      <c r="Z50" s="19">
        <f t="shared" si="17"/>
        <v>0.1277850737038507</v>
      </c>
    </row>
    <row r="51" spans="1:26" s="24" customFormat="1" hidden="1" outlineLevel="1" x14ac:dyDescent="0.25">
      <c r="A51" s="44"/>
      <c r="B51" s="11" t="str">
        <f>CONCATENATE("          ", "5041", " - ", "PURCHASES @ COST-LOGO GIFTS")</f>
        <v xml:space="preserve">          5041 - PURCHASES @ COST-LOGO GIFTS</v>
      </c>
      <c r="C51" s="11"/>
      <c r="D51" s="2">
        <v>18340.09</v>
      </c>
      <c r="E51" s="2"/>
      <c r="F51" s="19">
        <f t="shared" si="10"/>
        <v>5.567889114909131E-2</v>
      </c>
      <c r="G51" s="2"/>
      <c r="H51" s="2">
        <v>13418.66</v>
      </c>
      <c r="I51" s="2"/>
      <c r="J51" s="19">
        <f t="shared" si="11"/>
        <v>5.5035814379866335E-2</v>
      </c>
      <c r="K51" s="2"/>
      <c r="L51" s="2">
        <f t="shared" si="12"/>
        <v>4921.43</v>
      </c>
      <c r="M51" s="2"/>
      <c r="N51" s="19">
        <f t="shared" si="13"/>
        <v>0.36676016830294533</v>
      </c>
      <c r="O51" s="11"/>
      <c r="P51" s="2">
        <v>88796.55</v>
      </c>
      <c r="Q51" s="2"/>
      <c r="R51" s="19">
        <f t="shared" si="14"/>
        <v>6.1163649758044274E-2</v>
      </c>
      <c r="S51" s="2"/>
      <c r="T51" s="2">
        <v>96519.51</v>
      </c>
      <c r="U51" s="2"/>
      <c r="V51" s="19">
        <f t="shared" si="15"/>
        <v>7.8030740209325752E-2</v>
      </c>
      <c r="W51" s="2"/>
      <c r="X51" s="2">
        <f t="shared" si="16"/>
        <v>-7722.9599999999919</v>
      </c>
      <c r="Y51" s="2"/>
      <c r="Z51" s="19">
        <f t="shared" si="17"/>
        <v>-8.0014496551008105E-2</v>
      </c>
    </row>
    <row r="52" spans="1:26" s="24" customFormat="1" hidden="1" outlineLevel="1" x14ac:dyDescent="0.25">
      <c r="A52" s="44"/>
      <c r="B52" s="11" t="str">
        <f>CONCATENATE("          ", "5042", " - ", "PURCHASES @ COST-EVERYDAY GIFT")</f>
        <v xml:space="preserve">          5042 - PURCHASES @ COST-EVERYDAY GIFT</v>
      </c>
      <c r="C52" s="11"/>
      <c r="D52" s="2">
        <v>31316.85</v>
      </c>
      <c r="E52" s="2"/>
      <c r="F52" s="19">
        <f t="shared" si="10"/>
        <v>9.5075186778386597E-2</v>
      </c>
      <c r="G52" s="2"/>
      <c r="H52" s="2">
        <v>14055.43</v>
      </c>
      <c r="I52" s="2"/>
      <c r="J52" s="19">
        <f t="shared" si="11"/>
        <v>5.7647487641031565E-2</v>
      </c>
      <c r="K52" s="2"/>
      <c r="L52" s="2">
        <f t="shared" si="12"/>
        <v>17261.419999999998</v>
      </c>
      <c r="M52" s="2"/>
      <c r="N52" s="19">
        <f t="shared" si="13"/>
        <v>1.2280961877366967</v>
      </c>
      <c r="O52" s="11"/>
      <c r="P52" s="2">
        <v>80565.319999999992</v>
      </c>
      <c r="Q52" s="2"/>
      <c r="R52" s="19">
        <f t="shared" si="14"/>
        <v>5.5493924202288929E-2</v>
      </c>
      <c r="S52" s="2"/>
      <c r="T52" s="2">
        <v>74390.78</v>
      </c>
      <c r="U52" s="2"/>
      <c r="V52" s="19">
        <f t="shared" si="15"/>
        <v>6.0140873364867953E-2</v>
      </c>
      <c r="W52" s="2"/>
      <c r="X52" s="2">
        <f t="shared" si="16"/>
        <v>6174.5399999999936</v>
      </c>
      <c r="Y52" s="2"/>
      <c r="Z52" s="19">
        <f t="shared" si="17"/>
        <v>8.3001414960294728E-2</v>
      </c>
    </row>
    <row r="53" spans="1:26" s="24" customFormat="1" hidden="1" outlineLevel="1" x14ac:dyDescent="0.25">
      <c r="A53" s="44"/>
      <c r="B53" s="11" t="str">
        <f>CONCATENATE("          ", "5043", " - ", "PURCHASES @ COST-CARDS")</f>
        <v xml:space="preserve">          5043 - PURCHASES @ COST-CARDS</v>
      </c>
      <c r="C53" s="11"/>
      <c r="D53" s="2">
        <v>2188.66</v>
      </c>
      <c r="E53" s="2"/>
      <c r="F53" s="19">
        <f t="shared" si="10"/>
        <v>6.6445781837695551E-3</v>
      </c>
      <c r="G53" s="2"/>
      <c r="H53" s="2">
        <v>455.53</v>
      </c>
      <c r="I53" s="2"/>
      <c r="J53" s="19">
        <f t="shared" si="11"/>
        <v>1.8683284712825653E-3</v>
      </c>
      <c r="K53" s="2"/>
      <c r="L53" s="2">
        <f t="shared" si="12"/>
        <v>1733.1299999999999</v>
      </c>
      <c r="M53" s="2"/>
      <c r="N53" s="19">
        <f t="shared" si="13"/>
        <v>3.804645138629728</v>
      </c>
      <c r="O53" s="11"/>
      <c r="P53" s="2">
        <v>3528.74</v>
      </c>
      <c r="Q53" s="2"/>
      <c r="R53" s="19">
        <f t="shared" si="14"/>
        <v>2.4306194041007353E-3</v>
      </c>
      <c r="S53" s="2"/>
      <c r="T53" s="2">
        <v>2263.87</v>
      </c>
      <c r="U53" s="2"/>
      <c r="V53" s="19">
        <f t="shared" si="15"/>
        <v>1.8302149672919628E-3</v>
      </c>
      <c r="W53" s="2"/>
      <c r="X53" s="2">
        <f t="shared" si="16"/>
        <v>1264.8699999999999</v>
      </c>
      <c r="Y53" s="2"/>
      <c r="Z53" s="19">
        <f t="shared" si="17"/>
        <v>0.55872024453700964</v>
      </c>
    </row>
    <row r="54" spans="1:26" s="24" customFormat="1" hidden="1" outlineLevel="1" x14ac:dyDescent="0.25">
      <c r="A54" s="44"/>
      <c r="B54" s="11" t="str">
        <f>CONCATENATE("          ", "5044", " - ", "PURCHASES @ COST-ACCESSORIES")</f>
        <v xml:space="preserve">          5044 - PURCHASES @ COST-ACCESSORIES</v>
      </c>
      <c r="C54" s="11"/>
      <c r="D54" s="2">
        <v>-6895.55</v>
      </c>
      <c r="E54" s="2"/>
      <c r="F54" s="19">
        <f t="shared" si="10"/>
        <v>-2.0934279922460393E-2</v>
      </c>
      <c r="G54" s="2"/>
      <c r="H54" s="2">
        <v>1191.96</v>
      </c>
      <c r="I54" s="2"/>
      <c r="J54" s="19">
        <f t="shared" si="11"/>
        <v>4.8887511352270251E-3</v>
      </c>
      <c r="K54" s="2"/>
      <c r="L54" s="2">
        <f t="shared" si="12"/>
        <v>-8087.51</v>
      </c>
      <c r="M54" s="2"/>
      <c r="N54" s="19">
        <f t="shared" si="13"/>
        <v>-6.7850515117956975</v>
      </c>
      <c r="O54" s="11"/>
      <c r="P54" s="2">
        <v>17255.580000000002</v>
      </c>
      <c r="Q54" s="2"/>
      <c r="R54" s="19">
        <f t="shared" si="14"/>
        <v>1.1885757402645865E-2</v>
      </c>
      <c r="S54" s="2"/>
      <c r="T54" s="2">
        <v>20139.030000000002</v>
      </c>
      <c r="U54" s="2"/>
      <c r="V54" s="19">
        <f t="shared" si="15"/>
        <v>1.6281303313680495E-2</v>
      </c>
      <c r="W54" s="2"/>
      <c r="X54" s="2">
        <f t="shared" si="16"/>
        <v>-2883.4500000000007</v>
      </c>
      <c r="Y54" s="2"/>
      <c r="Z54" s="19">
        <f t="shared" si="17"/>
        <v>-0.14317720366869707</v>
      </c>
    </row>
    <row r="55" spans="1:26" s="24" customFormat="1" hidden="1" outlineLevel="1" x14ac:dyDescent="0.25">
      <c r="A55" s="44"/>
      <c r="B55" s="11" t="str">
        <f>CONCATENATE("          ", "5045", " - ", "PURCHASES @ COST-SPECIAL ORDER")</f>
        <v xml:space="preserve">          5045 - PURCHASES @ COST-SPECIAL ORDER</v>
      </c>
      <c r="C55" s="11"/>
      <c r="D55" s="2">
        <v>14163.29</v>
      </c>
      <c r="E55" s="2"/>
      <c r="F55" s="19">
        <f t="shared" si="10"/>
        <v>4.2998495766542778E-2</v>
      </c>
      <c r="G55" s="2"/>
      <c r="H55" s="2">
        <v>7341.66</v>
      </c>
      <c r="I55" s="2"/>
      <c r="J55" s="19">
        <f t="shared" si="11"/>
        <v>3.0111370062293065E-2</v>
      </c>
      <c r="K55" s="2"/>
      <c r="L55" s="2">
        <f t="shared" si="12"/>
        <v>6821.630000000001</v>
      </c>
      <c r="M55" s="2"/>
      <c r="N55" s="19">
        <f t="shared" si="13"/>
        <v>0.92916724555482022</v>
      </c>
      <c r="O55" s="11"/>
      <c r="P55" s="2">
        <v>42226.49</v>
      </c>
      <c r="Q55" s="2"/>
      <c r="R55" s="19">
        <f t="shared" si="14"/>
        <v>2.9085885035753739E-2</v>
      </c>
      <c r="S55" s="2"/>
      <c r="T55" s="2">
        <v>49312.08</v>
      </c>
      <c r="U55" s="2"/>
      <c r="V55" s="19">
        <f t="shared" si="15"/>
        <v>3.9866117261282079E-2</v>
      </c>
      <c r="W55" s="2"/>
      <c r="X55" s="2">
        <f t="shared" si="16"/>
        <v>-7085.5900000000038</v>
      </c>
      <c r="Y55" s="2"/>
      <c r="Z55" s="19">
        <f t="shared" si="17"/>
        <v>-0.14368872698129959</v>
      </c>
    </row>
    <row r="56" spans="1:26" s="24" customFormat="1" hidden="1" outlineLevel="1" x14ac:dyDescent="0.25">
      <c r="A56" s="44"/>
      <c r="B56" s="11" t="str">
        <f>CONCATENATE("          ", "5083", " - ", "PURCHASES @ COST-COMPUTER EQUI")</f>
        <v xml:space="preserve">          5083 - PURCHASES @ COST-COMPUTER EQUI</v>
      </c>
      <c r="C56" s="11"/>
      <c r="D56" s="2"/>
      <c r="E56" s="2"/>
      <c r="F56" s="19">
        <f t="shared" si="10"/>
        <v>0</v>
      </c>
      <c r="G56" s="2"/>
      <c r="H56" s="2"/>
      <c r="I56" s="2"/>
      <c r="J56" s="19">
        <f t="shared" si="11"/>
        <v>0</v>
      </c>
      <c r="K56" s="2"/>
      <c r="L56" s="2">
        <f t="shared" si="12"/>
        <v>0</v>
      </c>
      <c r="M56" s="2"/>
      <c r="N56" s="19">
        <f t="shared" si="13"/>
        <v>0</v>
      </c>
      <c r="O56" s="11"/>
      <c r="P56" s="2">
        <v>39.950000000000003</v>
      </c>
      <c r="Q56" s="2"/>
      <c r="R56" s="19">
        <f t="shared" si="14"/>
        <v>2.7517823697360639E-5</v>
      </c>
      <c r="S56" s="2"/>
      <c r="T56" s="2">
        <v>15.8</v>
      </c>
      <c r="U56" s="2"/>
      <c r="V56" s="19">
        <f t="shared" si="15"/>
        <v>1.27734350838224E-5</v>
      </c>
      <c r="W56" s="2"/>
      <c r="X56" s="2">
        <f t="shared" si="16"/>
        <v>24.150000000000002</v>
      </c>
      <c r="Y56" s="2"/>
      <c r="Z56" s="19">
        <f t="shared" si="17"/>
        <v>1.528481012658228</v>
      </c>
    </row>
    <row r="57" spans="1:26" s="24" customFormat="1" hidden="1" outlineLevel="1" x14ac:dyDescent="0.25">
      <c r="A57" s="44"/>
      <c r="B57" s="11" t="str">
        <f>CONCATENATE("          ", "5092", " - ", "PURCHASES @ COST-GRAD MERCH")</f>
        <v xml:space="preserve">          5092 - PURCHASES @ COST-GRAD MERCH</v>
      </c>
      <c r="C57" s="11"/>
      <c r="D57" s="2"/>
      <c r="E57" s="2"/>
      <c r="F57" s="19">
        <f t="shared" si="10"/>
        <v>0</v>
      </c>
      <c r="G57" s="2"/>
      <c r="H57" s="2"/>
      <c r="I57" s="2"/>
      <c r="J57" s="19">
        <f t="shared" si="11"/>
        <v>0</v>
      </c>
      <c r="K57" s="2"/>
      <c r="L57" s="2">
        <f t="shared" si="12"/>
        <v>0</v>
      </c>
      <c r="M57" s="2"/>
      <c r="N57" s="19">
        <f t="shared" si="13"/>
        <v>0</v>
      </c>
      <c r="O57" s="11"/>
      <c r="P57" s="2">
        <v>-60.35</v>
      </c>
      <c r="Q57" s="2"/>
      <c r="R57" s="19">
        <f t="shared" si="14"/>
        <v>-4.1569478351332023E-5</v>
      </c>
      <c r="S57" s="2"/>
      <c r="T57" s="2"/>
      <c r="U57" s="2"/>
      <c r="V57" s="19">
        <f t="shared" si="15"/>
        <v>0</v>
      </c>
      <c r="W57" s="2"/>
      <c r="X57" s="2">
        <f t="shared" si="16"/>
        <v>-60.35</v>
      </c>
      <c r="Y57" s="2"/>
      <c r="Z57" s="19">
        <f t="shared" si="17"/>
        <v>0</v>
      </c>
    </row>
    <row r="58" spans="1:26" s="24" customFormat="1" hidden="1" outlineLevel="1" x14ac:dyDescent="0.25">
      <c r="A58" s="44"/>
      <c r="B58" s="11" t="str">
        <f>CONCATENATE("          ", "5095", " - ", "PURCHASES @ COST-CUSTOMER SERV")</f>
        <v xml:space="preserve">          5095 - PURCHASES @ COST-CUSTOMER SERV</v>
      </c>
      <c r="C58" s="11"/>
      <c r="D58" s="2"/>
      <c r="E58" s="2"/>
      <c r="F58" s="19">
        <f t="shared" si="10"/>
        <v>0</v>
      </c>
      <c r="G58" s="2"/>
      <c r="H58" s="2"/>
      <c r="I58" s="2"/>
      <c r="J58" s="19">
        <f t="shared" si="11"/>
        <v>0</v>
      </c>
      <c r="K58" s="2"/>
      <c r="L58" s="2">
        <f t="shared" si="12"/>
        <v>0</v>
      </c>
      <c r="M58" s="2"/>
      <c r="N58" s="19">
        <f t="shared" si="13"/>
        <v>0</v>
      </c>
      <c r="O58" s="11"/>
      <c r="P58" s="2">
        <v>-11.85</v>
      </c>
      <c r="Q58" s="2"/>
      <c r="R58" s="19">
        <f t="shared" si="14"/>
        <v>-8.1623582181157325E-6</v>
      </c>
      <c r="S58" s="2"/>
      <c r="T58" s="2">
        <v>54.72</v>
      </c>
      <c r="U58" s="2"/>
      <c r="V58" s="19">
        <f t="shared" si="15"/>
        <v>4.4238124543465932E-5</v>
      </c>
      <c r="W58" s="2"/>
      <c r="X58" s="2">
        <f t="shared" si="16"/>
        <v>-66.569999999999993</v>
      </c>
      <c r="Y58" s="2"/>
      <c r="Z58" s="19">
        <f t="shared" si="17"/>
        <v>-1.2165570175438596</v>
      </c>
    </row>
    <row r="59" spans="1:26" s="24" customFormat="1" hidden="1" outlineLevel="1" x14ac:dyDescent="0.25">
      <c r="A59" s="44"/>
      <c r="B59" s="11" t="str">
        <f>CONCATENATE("          ", "5200", " - ", "PURCHASES OFFSET")</f>
        <v xml:space="preserve">          5200 - PURCHASES OFFSET</v>
      </c>
      <c r="C59" s="11"/>
      <c r="D59" s="2">
        <v>-173254</v>
      </c>
      <c r="E59" s="2"/>
      <c r="F59" s="19">
        <f t="shared" si="10"/>
        <v>-0.52598382053439574</v>
      </c>
      <c r="G59" s="2"/>
      <c r="H59" s="2">
        <v>-144618</v>
      </c>
      <c r="I59" s="2"/>
      <c r="J59" s="19">
        <f t="shared" si="11"/>
        <v>-0.59314189375001003</v>
      </c>
      <c r="K59" s="2"/>
      <c r="L59" s="2">
        <f t="shared" si="12"/>
        <v>-28636</v>
      </c>
      <c r="M59" s="2"/>
      <c r="N59" s="19">
        <f t="shared" si="13"/>
        <v>0.19801131256136856</v>
      </c>
      <c r="O59" s="11"/>
      <c r="P59" s="2">
        <v>-876248</v>
      </c>
      <c r="Q59" s="2"/>
      <c r="R59" s="19">
        <f t="shared" si="14"/>
        <v>-0.60356540623691768</v>
      </c>
      <c r="S59" s="2"/>
      <c r="T59" s="2">
        <v>-811004</v>
      </c>
      <c r="U59" s="2"/>
      <c r="V59" s="19">
        <f t="shared" si="15"/>
        <v>-0.65565233840001902</v>
      </c>
      <c r="W59" s="2"/>
      <c r="X59" s="2">
        <f t="shared" si="16"/>
        <v>-65244</v>
      </c>
      <c r="Y59" s="2"/>
      <c r="Z59" s="19">
        <f t="shared" si="17"/>
        <v>8.0448431820311611E-2</v>
      </c>
    </row>
    <row r="60" spans="1:26" s="24" customFormat="1" hidden="1" outlineLevel="1" x14ac:dyDescent="0.25">
      <c r="A60" s="44"/>
      <c r="B60" s="11" t="str">
        <f>CONCATENATE("          ", "5300", " - ", "COG$ OFFSET")</f>
        <v xml:space="preserve">          5300 - COG$ OFFSET</v>
      </c>
      <c r="C60" s="11"/>
      <c r="D60" s="2">
        <v>154921</v>
      </c>
      <c r="E60" s="2"/>
      <c r="F60" s="19">
        <f t="shared" si="10"/>
        <v>0.47032645399822876</v>
      </c>
      <c r="G60" s="2"/>
      <c r="H60" s="2">
        <v>107408</v>
      </c>
      <c r="I60" s="2"/>
      <c r="J60" s="19">
        <f t="shared" si="11"/>
        <v>0.44052735153232014</v>
      </c>
      <c r="K60" s="2"/>
      <c r="L60" s="2">
        <f t="shared" si="12"/>
        <v>47513</v>
      </c>
      <c r="M60" s="2"/>
      <c r="N60" s="19">
        <f t="shared" si="13"/>
        <v>0.44235997318635484</v>
      </c>
      <c r="O60" s="11"/>
      <c r="P60" s="2">
        <v>666116</v>
      </c>
      <c r="Q60" s="2"/>
      <c r="R60" s="19">
        <f t="shared" si="14"/>
        <v>0.45882509762180418</v>
      </c>
      <c r="S60" s="2"/>
      <c r="T60" s="2">
        <v>570488</v>
      </c>
      <c r="U60" s="2"/>
      <c r="V60" s="19">
        <f t="shared" si="15"/>
        <v>0.46120831861390338</v>
      </c>
      <c r="W60" s="2"/>
      <c r="X60" s="2">
        <f t="shared" si="16"/>
        <v>95628</v>
      </c>
      <c r="Y60" s="2"/>
      <c r="Z60" s="19">
        <f t="shared" si="17"/>
        <v>0.16762491060285228</v>
      </c>
    </row>
    <row r="61" spans="1:26" s="24" customFormat="1" hidden="1" outlineLevel="1" x14ac:dyDescent="0.25">
      <c r="A61" s="44"/>
      <c r="B61" s="11" t="str">
        <f>CONCATENATE("          ", "5500", " - ", "FREIGHT-IN")</f>
        <v xml:space="preserve">          5500 - FREIGHT-IN</v>
      </c>
      <c r="C61" s="11"/>
      <c r="D61" s="2"/>
      <c r="E61" s="2"/>
      <c r="F61" s="19">
        <f t="shared" si="10"/>
        <v>0</v>
      </c>
      <c r="G61" s="2"/>
      <c r="H61" s="2"/>
      <c r="I61" s="2"/>
      <c r="J61" s="19">
        <f t="shared" si="11"/>
        <v>0</v>
      </c>
      <c r="K61" s="2"/>
      <c r="L61" s="2">
        <f t="shared" si="12"/>
        <v>0</v>
      </c>
      <c r="M61" s="2"/>
      <c r="N61" s="19">
        <f t="shared" si="13"/>
        <v>0</v>
      </c>
      <c r="O61" s="11"/>
      <c r="P61" s="2">
        <v>29.23</v>
      </c>
      <c r="Q61" s="2"/>
      <c r="R61" s="19">
        <f t="shared" si="14"/>
        <v>2.0133816938018808E-5</v>
      </c>
      <c r="S61" s="2"/>
      <c r="T61" s="2"/>
      <c r="U61" s="2"/>
      <c r="V61" s="19">
        <f t="shared" si="15"/>
        <v>0</v>
      </c>
      <c r="W61" s="2"/>
      <c r="X61" s="2">
        <f t="shared" si="16"/>
        <v>29.23</v>
      </c>
      <c r="Y61" s="2"/>
      <c r="Z61" s="19">
        <f t="shared" si="17"/>
        <v>0</v>
      </c>
    </row>
    <row r="62" spans="1:26" s="24" customFormat="1" hidden="1" outlineLevel="1" x14ac:dyDescent="0.25">
      <c r="A62" s="44"/>
      <c r="B62" s="11" t="str">
        <f>CONCATENATE("          ", "5540", " - ", "FREIGHT-IN-LOGO CLOTHING")</f>
        <v xml:space="preserve">          5540 - FREIGHT-IN-LOGO CLOTHING</v>
      </c>
      <c r="C62" s="11"/>
      <c r="D62" s="2">
        <v>6133.89</v>
      </c>
      <c r="E62" s="2"/>
      <c r="F62" s="19">
        <f t="shared" si="10"/>
        <v>1.8621947527547561E-2</v>
      </c>
      <c r="G62" s="2"/>
      <c r="H62" s="2">
        <v>1855.88</v>
      </c>
      <c r="I62" s="2"/>
      <c r="J62" s="19">
        <f t="shared" si="11"/>
        <v>7.6117784630735357E-3</v>
      </c>
      <c r="K62" s="2"/>
      <c r="L62" s="2">
        <f t="shared" si="12"/>
        <v>4278.01</v>
      </c>
      <c r="M62" s="2"/>
      <c r="N62" s="19">
        <f t="shared" si="13"/>
        <v>2.305111321852706</v>
      </c>
      <c r="O62" s="11"/>
      <c r="P62" s="2">
        <v>20241.329999999998</v>
      </c>
      <c r="Q62" s="2"/>
      <c r="R62" s="19">
        <f t="shared" si="14"/>
        <v>1.3942361710640718E-2</v>
      </c>
      <c r="S62" s="2"/>
      <c r="T62" s="2">
        <v>12199.19</v>
      </c>
      <c r="U62" s="2"/>
      <c r="V62" s="19">
        <f t="shared" si="15"/>
        <v>9.8623773126718592E-3</v>
      </c>
      <c r="W62" s="2"/>
      <c r="X62" s="2">
        <f t="shared" si="16"/>
        <v>8042.1399999999976</v>
      </c>
      <c r="Y62" s="2"/>
      <c r="Z62" s="19">
        <f t="shared" si="17"/>
        <v>0.65923557219782603</v>
      </c>
    </row>
    <row r="63" spans="1:26" s="24" customFormat="1" hidden="1" outlineLevel="1" x14ac:dyDescent="0.25">
      <c r="A63" s="44"/>
      <c r="B63" s="11" t="str">
        <f>CONCATENATE("          ", "5541", " - ", "FREIGHT-IN-LOGO GIFTS")</f>
        <v xml:space="preserve">          5541 - FREIGHT-IN-LOGO GIFTS</v>
      </c>
      <c r="C63" s="11"/>
      <c r="D63" s="2">
        <v>1315.98</v>
      </c>
      <c r="E63" s="2"/>
      <c r="F63" s="19">
        <f t="shared" si="10"/>
        <v>3.9951988880306032E-3</v>
      </c>
      <c r="G63" s="2"/>
      <c r="H63" s="2">
        <v>843.44</v>
      </c>
      <c r="I63" s="2"/>
      <c r="J63" s="19">
        <f t="shared" si="11"/>
        <v>3.4593176427865722E-3</v>
      </c>
      <c r="K63" s="2"/>
      <c r="L63" s="2">
        <f t="shared" si="12"/>
        <v>472.53999999999996</v>
      </c>
      <c r="M63" s="2"/>
      <c r="N63" s="19">
        <f t="shared" si="13"/>
        <v>0.56025324860096737</v>
      </c>
      <c r="O63" s="11"/>
      <c r="P63" s="2">
        <v>2852.83</v>
      </c>
      <c r="Q63" s="2"/>
      <c r="R63" s="19">
        <f t="shared" si="14"/>
        <v>1.9650481346318235E-3</v>
      </c>
      <c r="S63" s="2"/>
      <c r="T63" s="2">
        <v>3968</v>
      </c>
      <c r="U63" s="2"/>
      <c r="V63" s="19">
        <f t="shared" si="15"/>
        <v>3.2079107856080556E-3</v>
      </c>
      <c r="W63" s="2"/>
      <c r="X63" s="2">
        <f t="shared" si="16"/>
        <v>-1115.17</v>
      </c>
      <c r="Y63" s="2"/>
      <c r="Z63" s="19">
        <f t="shared" si="17"/>
        <v>-0.28104082661290325</v>
      </c>
    </row>
    <row r="64" spans="1:26" s="24" customFormat="1" hidden="1" outlineLevel="1" x14ac:dyDescent="0.25">
      <c r="A64" s="44"/>
      <c r="B64" s="11" t="str">
        <f>CONCATENATE("          ", "5542", " - ", "FREIGHT-IN-EVERYDAY GIFTS")</f>
        <v xml:space="preserve">          5542 - FREIGHT-IN-EVERYDAY GIFTS</v>
      </c>
      <c r="C64" s="11"/>
      <c r="D64" s="2">
        <v>745.78</v>
      </c>
      <c r="E64" s="2"/>
      <c r="F64" s="19">
        <f t="shared" si="10"/>
        <v>2.2641221194208598E-3</v>
      </c>
      <c r="G64" s="2"/>
      <c r="H64" s="2">
        <v>336.12</v>
      </c>
      <c r="I64" s="2"/>
      <c r="J64" s="19">
        <f t="shared" si="11"/>
        <v>1.3785756498309572E-3</v>
      </c>
      <c r="K64" s="2"/>
      <c r="L64" s="2">
        <f t="shared" si="12"/>
        <v>409.65999999999997</v>
      </c>
      <c r="M64" s="2"/>
      <c r="N64" s="19">
        <f t="shared" si="13"/>
        <v>1.2187909080090442</v>
      </c>
      <c r="O64" s="11"/>
      <c r="P64" s="2">
        <v>1513.51</v>
      </c>
      <c r="Q64" s="2"/>
      <c r="R64" s="19">
        <f t="shared" si="14"/>
        <v>1.0425156782025607E-3</v>
      </c>
      <c r="S64" s="2"/>
      <c r="T64" s="2">
        <v>1129.44</v>
      </c>
      <c r="U64" s="2"/>
      <c r="V64" s="19">
        <f t="shared" si="15"/>
        <v>9.1309041272609947E-4</v>
      </c>
      <c r="W64" s="2"/>
      <c r="X64" s="2">
        <f t="shared" si="16"/>
        <v>384.06999999999994</v>
      </c>
      <c r="Y64" s="2"/>
      <c r="Z64" s="19">
        <f t="shared" si="17"/>
        <v>0.34005347782972084</v>
      </c>
    </row>
    <row r="65" spans="1:26" s="24" customFormat="1" hidden="1" outlineLevel="1" x14ac:dyDescent="0.25">
      <c r="A65" s="44"/>
      <c r="B65" s="11" t="str">
        <f>CONCATENATE("          ", "5543", " - ", "FREIGHT-IN-CARDS")</f>
        <v xml:space="preserve">          5543 - FREIGHT-IN-CARDS</v>
      </c>
      <c r="C65" s="11"/>
      <c r="D65" s="2">
        <v>39.01</v>
      </c>
      <c r="E65" s="2"/>
      <c r="F65" s="19">
        <f t="shared" si="10"/>
        <v>1.1843090975704329E-4</v>
      </c>
      <c r="G65" s="2"/>
      <c r="H65" s="2">
        <v>12.47</v>
      </c>
      <c r="I65" s="2"/>
      <c r="J65" s="19">
        <f t="shared" si="11"/>
        <v>5.1144943333904667E-5</v>
      </c>
      <c r="K65" s="2"/>
      <c r="L65" s="2">
        <f t="shared" si="12"/>
        <v>26.54</v>
      </c>
      <c r="M65" s="2"/>
      <c r="N65" s="19">
        <f t="shared" si="13"/>
        <v>2.1283079390537289</v>
      </c>
      <c r="O65" s="11"/>
      <c r="P65" s="2">
        <v>43.59</v>
      </c>
      <c r="Q65" s="2"/>
      <c r="R65" s="19">
        <f t="shared" si="14"/>
        <v>3.0025079723853571E-5</v>
      </c>
      <c r="S65" s="2"/>
      <c r="T65" s="2">
        <v>12.47</v>
      </c>
      <c r="U65" s="2"/>
      <c r="V65" s="19">
        <f t="shared" si="15"/>
        <v>1.008131237311806E-5</v>
      </c>
      <c r="W65" s="2"/>
      <c r="X65" s="2">
        <f t="shared" si="16"/>
        <v>31.120000000000005</v>
      </c>
      <c r="Y65" s="2"/>
      <c r="Z65" s="19">
        <f t="shared" si="17"/>
        <v>2.4955894145950284</v>
      </c>
    </row>
    <row r="66" spans="1:26" s="24" customFormat="1" hidden="1" outlineLevel="1" x14ac:dyDescent="0.25">
      <c r="A66" s="44"/>
      <c r="B66" s="11" t="str">
        <f>CONCATENATE("          ", "5544", " - ", "FREIGHT-IN-ACCESSORIES")</f>
        <v xml:space="preserve">          5544 - FREIGHT-IN-ACCESSORIES</v>
      </c>
      <c r="C66" s="11"/>
      <c r="D66" s="2">
        <v>54.82</v>
      </c>
      <c r="E66" s="2"/>
      <c r="F66" s="19">
        <f t="shared" si="10"/>
        <v>1.6642867144017208E-4</v>
      </c>
      <c r="G66" s="2"/>
      <c r="H66" s="2">
        <v>12.48</v>
      </c>
      <c r="I66" s="2"/>
      <c r="J66" s="19">
        <f t="shared" si="11"/>
        <v>5.1185957723105871E-5</v>
      </c>
      <c r="K66" s="2"/>
      <c r="L66" s="2">
        <f t="shared" si="12"/>
        <v>42.34</v>
      </c>
      <c r="M66" s="2"/>
      <c r="N66" s="19">
        <f t="shared" si="13"/>
        <v>3.3926282051282053</v>
      </c>
      <c r="O66" s="11"/>
      <c r="P66" s="2">
        <v>413.91</v>
      </c>
      <c r="Q66" s="2"/>
      <c r="R66" s="19">
        <f t="shared" si="14"/>
        <v>2.8510394008947538E-4</v>
      </c>
      <c r="S66" s="2"/>
      <c r="T66" s="2">
        <v>590.45000000000005</v>
      </c>
      <c r="U66" s="2"/>
      <c r="V66" s="19">
        <f t="shared" si="15"/>
        <v>4.7734650286347701E-4</v>
      </c>
      <c r="W66" s="2"/>
      <c r="X66" s="2">
        <f t="shared" si="16"/>
        <v>-176.54000000000002</v>
      </c>
      <c r="Y66" s="2"/>
      <c r="Z66" s="19">
        <f t="shared" si="17"/>
        <v>-0.29899229401304089</v>
      </c>
    </row>
    <row r="67" spans="1:26" s="24" customFormat="1" hidden="1" outlineLevel="1" x14ac:dyDescent="0.25">
      <c r="A67" s="44"/>
      <c r="B67" s="11" t="str">
        <f>CONCATENATE("          ", "5545", " - ", "FREIGHT-IN-SPECIAL ORDERS")</f>
        <v xml:space="preserve">          5545 - FREIGHT-IN-SPECIAL ORDERS</v>
      </c>
      <c r="C67" s="11"/>
      <c r="D67" s="2">
        <v>158.08000000000001</v>
      </c>
      <c r="E67" s="2"/>
      <c r="F67" s="19">
        <f t="shared" si="10"/>
        <v>4.799168986001898E-4</v>
      </c>
      <c r="G67" s="2"/>
      <c r="H67" s="2">
        <v>46.54</v>
      </c>
      <c r="I67" s="2"/>
      <c r="J67" s="19">
        <f t="shared" si="11"/>
        <v>1.9088096734241563E-4</v>
      </c>
      <c r="K67" s="2"/>
      <c r="L67" s="2">
        <f t="shared" si="12"/>
        <v>111.54000000000002</v>
      </c>
      <c r="M67" s="2"/>
      <c r="N67" s="19">
        <f t="shared" si="13"/>
        <v>2.3966480446927378</v>
      </c>
      <c r="O67" s="11"/>
      <c r="P67" s="2">
        <v>505.06</v>
      </c>
      <c r="Q67" s="2"/>
      <c r="R67" s="19">
        <f t="shared" si="14"/>
        <v>3.4788866174190143E-4</v>
      </c>
      <c r="S67" s="2"/>
      <c r="T67" s="2">
        <v>1307.5999999999999</v>
      </c>
      <c r="U67" s="2"/>
      <c r="V67" s="19">
        <f t="shared" si="15"/>
        <v>1.057123019975074E-3</v>
      </c>
      <c r="W67" s="2"/>
      <c r="X67" s="2">
        <f t="shared" si="16"/>
        <v>-802.54</v>
      </c>
      <c r="Y67" s="2"/>
      <c r="Z67" s="19">
        <f t="shared" si="17"/>
        <v>-0.61375038237993274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9" t="s">
        <v>6</v>
      </c>
      <c r="C69" s="29"/>
      <c r="D69" s="21">
        <f>D12-D44</f>
        <v>174467.66999999995</v>
      </c>
      <c r="E69" s="14"/>
      <c r="F69" s="20">
        <f>IF(D$12=0,0,D69/D$12)</f>
        <v>0.52966841531124331</v>
      </c>
      <c r="G69" s="14"/>
      <c r="H69" s="21">
        <f>H12-H44</f>
        <v>136407.69</v>
      </c>
      <c r="I69" s="14"/>
      <c r="J69" s="20">
        <f>IF(H$12=0,0,H69/H$12)</f>
        <v>0.5594678087697541</v>
      </c>
      <c r="K69" s="15"/>
      <c r="L69" s="21">
        <f>+D69-H69</f>
        <v>38059.979999999952</v>
      </c>
      <c r="M69" s="15"/>
      <c r="N69" s="20">
        <f>IF(H69=0,0,L69/H69)</f>
        <v>0.27901638096796416</v>
      </c>
      <c r="O69" s="28"/>
      <c r="P69" s="21">
        <f>P12-P44</f>
        <v>785642.34000000043</v>
      </c>
      <c r="Q69" s="14"/>
      <c r="R69" s="20">
        <f>IF(P$12=0,0,P69/P$12)</f>
        <v>0.54115562956950869</v>
      </c>
      <c r="S69" s="14"/>
      <c r="T69" s="21">
        <f>T12-T44</f>
        <v>666455.51999999955</v>
      </c>
      <c r="U69" s="14"/>
      <c r="V69" s="20">
        <f>IF(T$12=0,0,T69/T$12)</f>
        <v>0.53879280512500605</v>
      </c>
      <c r="W69" s="15"/>
      <c r="X69" s="21">
        <f>+P69-T69</f>
        <v>119186.82000000088</v>
      </c>
      <c r="Y69" s="15"/>
      <c r="Z69" s="20">
        <f>IF(T69=0,0,X69/T69)</f>
        <v>0.17883687121385228</v>
      </c>
    </row>
    <row r="70" spans="1:26" x14ac:dyDescent="0.25">
      <c r="A70" s="9"/>
      <c r="B70" s="10"/>
      <c r="C70" s="9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9</v>
      </c>
      <c r="C71" s="10"/>
      <c r="D71" s="22">
        <f>SUM(OSRRefD22x_0)</f>
        <v>105253.3</v>
      </c>
      <c r="E71" s="22"/>
      <c r="F71" s="33">
        <f t="shared" ref="F71:F80" si="18">IF(D$12=0,0,D71/D$12)</f>
        <v>0.31953970966242001</v>
      </c>
      <c r="G71" s="22"/>
      <c r="H71" s="22">
        <f>SUM(OSRRefH22x_0)</f>
        <v>74056.800000000003</v>
      </c>
      <c r="I71" s="22"/>
      <c r="J71" s="33">
        <f t="shared" ref="J71:J80" si="19">IF(H$12=0,0,H71/H$12)</f>
        <v>0.30373944181959189</v>
      </c>
      <c r="K71" s="4"/>
      <c r="L71" s="22">
        <f t="shared" ref="L71:L80" si="20">+D71-H71</f>
        <v>31196.5</v>
      </c>
      <c r="M71" s="4"/>
      <c r="N71" s="33">
        <f t="shared" ref="N71:N80" si="21">IF(H71=0,0,L71/H71)</f>
        <v>0.42125098572987218</v>
      </c>
      <c r="O71" s="10"/>
      <c r="P71" s="22">
        <f>SUM(OSRRefP22x_0)</f>
        <v>457318.68999999994</v>
      </c>
      <c r="Q71" s="22"/>
      <c r="R71" s="33">
        <f t="shared" ref="R71:R80" si="22">IF(P$12=0,0,P71/P$12)</f>
        <v>0.31500413228855872</v>
      </c>
      <c r="S71" s="22"/>
      <c r="T71" s="22">
        <f>SUM(OSRRefT22x_0)</f>
        <v>373338.9499999999</v>
      </c>
      <c r="U71" s="22"/>
      <c r="V71" s="33">
        <f t="shared" ref="V71:V80" si="23">IF(T$12=0,0,T71/T$12)</f>
        <v>0.30182410392958325</v>
      </c>
      <c r="W71" s="4"/>
      <c r="X71" s="22">
        <f t="shared" ref="X71:X80" si="24">+P71-T71</f>
        <v>83979.740000000049</v>
      </c>
      <c r="Y71" s="4"/>
      <c r="Z71" s="33">
        <f t="shared" ref="Z71:Z80" si="25">IF(T71=0,0,X71/T71)</f>
        <v>0.22494234796556875</v>
      </c>
    </row>
    <row r="72" spans="1:26" s="25" customFormat="1" outlineLevel="1" collapsed="1" x14ac:dyDescent="0.25">
      <c r="A72" s="27"/>
      <c r="B72" s="13" t="str">
        <f>CONCATENATE("     ","*Benefits                                         ")</f>
        <v xml:space="preserve">     *Benefits                                         </v>
      </c>
      <c r="C72" s="13"/>
      <c r="D72" s="1">
        <f>SUM(OSRRefD22_0x_0)</f>
        <v>7606.75</v>
      </c>
      <c r="E72" s="1"/>
      <c r="F72" s="5">
        <f t="shared" si="18"/>
        <v>2.3093420220312459E-2</v>
      </c>
      <c r="G72" s="1"/>
      <c r="H72" s="1">
        <f>SUM(OSRRefH22_0x_0)</f>
        <v>6788.58</v>
      </c>
      <c r="I72" s="1"/>
      <c r="J72" s="5">
        <f t="shared" si="19"/>
        <v>2.7842946224352728E-2</v>
      </c>
      <c r="K72" s="1"/>
      <c r="L72" s="1">
        <f t="shared" si="20"/>
        <v>818.17000000000007</v>
      </c>
      <c r="M72" s="1"/>
      <c r="N72" s="5">
        <f t="shared" si="21"/>
        <v>0.12052152291053506</v>
      </c>
      <c r="O72" s="13"/>
      <c r="P72" s="1">
        <f>SUM(OSRRefP22_0x_0)</f>
        <v>46758.14</v>
      </c>
      <c r="Q72" s="1"/>
      <c r="R72" s="5">
        <f t="shared" si="22"/>
        <v>3.2207315467747341E-2</v>
      </c>
      <c r="S72" s="1"/>
      <c r="T72" s="1">
        <f>SUM(OSRRefT22_0x_0)</f>
        <v>40773.560000000005</v>
      </c>
      <c r="U72" s="1"/>
      <c r="V72" s="5">
        <f t="shared" si="23"/>
        <v>3.2963191252932768E-2</v>
      </c>
      <c r="W72" s="1"/>
      <c r="X72" s="1">
        <f t="shared" si="24"/>
        <v>5984.5799999999945</v>
      </c>
      <c r="Y72" s="1"/>
      <c r="Z72" s="5">
        <f t="shared" si="25"/>
        <v>0.14677599895618615</v>
      </c>
    </row>
    <row r="73" spans="1:26" s="24" customFormat="1" hidden="1" outlineLevel="2" x14ac:dyDescent="0.25">
      <c r="A73" s="26"/>
      <c r="B73" s="11" t="str">
        <f>CONCATENATE("          ", "6111", " - ", "F.I.C.A.")</f>
        <v xml:space="preserve">          6111 - F.I.C.A.</v>
      </c>
      <c r="C73" s="11"/>
      <c r="D73" s="6">
        <v>1185.6500000000001</v>
      </c>
      <c r="E73" s="2"/>
      <c r="F73" s="7">
        <f t="shared" si="18"/>
        <v>3.5995285350791692E-3</v>
      </c>
      <c r="G73" s="2"/>
      <c r="H73" s="6">
        <v>1253.48</v>
      </c>
      <c r="I73" s="2"/>
      <c r="J73" s="7">
        <f t="shared" si="19"/>
        <v>5.1410716575928488E-3</v>
      </c>
      <c r="K73" s="2"/>
      <c r="L73" s="6">
        <f t="shared" si="20"/>
        <v>-67.829999999999927</v>
      </c>
      <c r="M73" s="2"/>
      <c r="N73" s="7">
        <f t="shared" si="21"/>
        <v>-5.411334843794869E-2</v>
      </c>
      <c r="O73" s="11"/>
      <c r="P73" s="6">
        <v>10370.049999999999</v>
      </c>
      <c r="Q73" s="2"/>
      <c r="R73" s="7">
        <f t="shared" si="22"/>
        <v>7.142958889432156E-3</v>
      </c>
      <c r="S73" s="2"/>
      <c r="T73" s="6">
        <v>9768.2000000000007</v>
      </c>
      <c r="U73" s="2"/>
      <c r="V73" s="7">
        <f t="shared" si="23"/>
        <v>7.8970549737844287E-3</v>
      </c>
      <c r="W73" s="2"/>
      <c r="X73" s="6">
        <f t="shared" si="24"/>
        <v>601.84999999999854</v>
      </c>
      <c r="Y73" s="2"/>
      <c r="Z73" s="7">
        <f t="shared" si="25"/>
        <v>6.1613193833049945E-2</v>
      </c>
    </row>
    <row r="74" spans="1:26" s="24" customFormat="1" hidden="1" outlineLevel="2" x14ac:dyDescent="0.25">
      <c r="A74" s="26"/>
      <c r="B74" s="11" t="str">
        <f>CONCATENATE("          ", "6112", " - ", "COMPENSATION INSURANCE")</f>
        <v xml:space="preserve">          6112 - COMPENSATION INSURANCE</v>
      </c>
      <c r="C74" s="11"/>
      <c r="D74" s="6">
        <v>661.97</v>
      </c>
      <c r="E74" s="2"/>
      <c r="F74" s="7">
        <f t="shared" si="18"/>
        <v>2.009682372003844E-3</v>
      </c>
      <c r="G74" s="2"/>
      <c r="H74" s="6">
        <v>358.03</v>
      </c>
      <c r="I74" s="2"/>
      <c r="J74" s="7">
        <f t="shared" si="19"/>
        <v>1.4684381765708008E-3</v>
      </c>
      <c r="K74" s="2"/>
      <c r="L74" s="6">
        <f t="shared" si="20"/>
        <v>303.94000000000005</v>
      </c>
      <c r="M74" s="2"/>
      <c r="N74" s="7">
        <f t="shared" si="21"/>
        <v>0.84892327458592876</v>
      </c>
      <c r="O74" s="11"/>
      <c r="P74" s="6">
        <v>2810.91</v>
      </c>
      <c r="Q74" s="2"/>
      <c r="R74" s="7">
        <f t="shared" si="22"/>
        <v>1.9361733619311134E-3</v>
      </c>
      <c r="S74" s="2"/>
      <c r="T74" s="6">
        <v>2024.82</v>
      </c>
      <c r="U74" s="2"/>
      <c r="V74" s="7">
        <f t="shared" si="23"/>
        <v>1.636956128254764E-3</v>
      </c>
      <c r="W74" s="2"/>
      <c r="X74" s="6">
        <f t="shared" si="24"/>
        <v>786.08999999999992</v>
      </c>
      <c r="Y74" s="2"/>
      <c r="Z74" s="7">
        <f t="shared" si="25"/>
        <v>0.38822710166829644</v>
      </c>
    </row>
    <row r="75" spans="1:26" s="24" customFormat="1" hidden="1" outlineLevel="2" x14ac:dyDescent="0.25">
      <c r="A75" s="26"/>
      <c r="B75" s="11" t="str">
        <f>CONCATENATE("          ", "6113", " - ", "GROUP INSURANCE")</f>
        <v xml:space="preserve">          6113 - GROUP INSURANCE</v>
      </c>
      <c r="C75" s="11"/>
      <c r="D75" s="6">
        <v>3305.88</v>
      </c>
      <c r="E75" s="2"/>
      <c r="F75" s="7">
        <f t="shared" si="18"/>
        <v>1.0036359291146227E-2</v>
      </c>
      <c r="G75" s="2"/>
      <c r="H75" s="6">
        <v>2841.46</v>
      </c>
      <c r="I75" s="2"/>
      <c r="J75" s="7">
        <f t="shared" si="19"/>
        <v>1.1654074633966059E-2</v>
      </c>
      <c r="K75" s="2"/>
      <c r="L75" s="6">
        <f t="shared" si="20"/>
        <v>464.42000000000007</v>
      </c>
      <c r="M75" s="2"/>
      <c r="N75" s="7">
        <f t="shared" si="21"/>
        <v>0.16344414491141881</v>
      </c>
      <c r="O75" s="11"/>
      <c r="P75" s="6">
        <v>16837.63</v>
      </c>
      <c r="Q75" s="2"/>
      <c r="R75" s="7">
        <f t="shared" si="22"/>
        <v>1.1597870683889622E-2</v>
      </c>
      <c r="S75" s="2"/>
      <c r="T75" s="6">
        <v>12431.05</v>
      </c>
      <c r="U75" s="2"/>
      <c r="V75" s="7">
        <f t="shared" si="23"/>
        <v>1.0049823430300661E-2</v>
      </c>
      <c r="W75" s="2"/>
      <c r="X75" s="6">
        <f t="shared" si="24"/>
        <v>4406.5800000000017</v>
      </c>
      <c r="Y75" s="2"/>
      <c r="Z75" s="7">
        <f t="shared" si="25"/>
        <v>0.3544817211739959</v>
      </c>
    </row>
    <row r="76" spans="1:26" s="24" customFormat="1" hidden="1" outlineLevel="2" x14ac:dyDescent="0.25">
      <c r="A76" s="26"/>
      <c r="B76" s="11" t="str">
        <f>CONCATENATE("          ", "6114", " - ", "STATE UNEMPLOYMENT INSURANCE")</f>
        <v xml:space="preserve">          6114 - STATE UNEMPLOYMENT INSURANCE</v>
      </c>
      <c r="C76" s="11"/>
      <c r="D76" s="6">
        <v>90.59</v>
      </c>
      <c r="E76" s="2"/>
      <c r="F76" s="7">
        <f t="shared" si="18"/>
        <v>2.7502322775930664E-4</v>
      </c>
      <c r="G76" s="2"/>
      <c r="H76" s="6">
        <v>78.23</v>
      </c>
      <c r="I76" s="2"/>
      <c r="J76" s="7">
        <f t="shared" si="19"/>
        <v>3.2085556672103944E-4</v>
      </c>
      <c r="K76" s="2"/>
      <c r="L76" s="6">
        <f t="shared" si="20"/>
        <v>12.36</v>
      </c>
      <c r="M76" s="2"/>
      <c r="N76" s="7">
        <f t="shared" si="21"/>
        <v>0.15799565384123737</v>
      </c>
      <c r="O76" s="11"/>
      <c r="P76" s="6">
        <v>469.95</v>
      </c>
      <c r="Q76" s="2"/>
      <c r="R76" s="7">
        <f t="shared" si="22"/>
        <v>3.2370466199185561E-4</v>
      </c>
      <c r="S76" s="2"/>
      <c r="T76" s="6">
        <v>442.4</v>
      </c>
      <c r="U76" s="2"/>
      <c r="V76" s="7">
        <f t="shared" si="23"/>
        <v>3.5765618234702716E-4</v>
      </c>
      <c r="W76" s="2"/>
      <c r="X76" s="6">
        <f t="shared" si="24"/>
        <v>27.550000000000011</v>
      </c>
      <c r="Y76" s="2"/>
      <c r="Z76" s="7">
        <f t="shared" si="25"/>
        <v>6.2273960216998221E-2</v>
      </c>
    </row>
    <row r="77" spans="1:26" s="24" customFormat="1" hidden="1" outlineLevel="2" x14ac:dyDescent="0.25">
      <c r="A77" s="26"/>
      <c r="B77" s="11" t="str">
        <f>CONCATENATE("          ", "6115", " - ", "P.E.R.S.")</f>
        <v xml:space="preserve">          6115 - P.E.R.S.</v>
      </c>
      <c r="C77" s="11"/>
      <c r="D77" s="6">
        <v>921.24</v>
      </c>
      <c r="E77" s="2"/>
      <c r="F77" s="7">
        <f t="shared" si="18"/>
        <v>2.7968031608453874E-3</v>
      </c>
      <c r="G77" s="2"/>
      <c r="H77" s="6">
        <v>822.3</v>
      </c>
      <c r="I77" s="2"/>
      <c r="J77" s="7">
        <f t="shared" si="19"/>
        <v>3.3726132240152209E-3</v>
      </c>
      <c r="K77" s="2"/>
      <c r="L77" s="6">
        <f t="shared" si="20"/>
        <v>98.940000000000055</v>
      </c>
      <c r="M77" s="2"/>
      <c r="N77" s="7">
        <f t="shared" si="21"/>
        <v>0.12032105071141927</v>
      </c>
      <c r="O77" s="11"/>
      <c r="P77" s="6">
        <v>5597.22</v>
      </c>
      <c r="Q77" s="2"/>
      <c r="R77" s="7">
        <f t="shared" si="22"/>
        <v>3.8554020814853796E-3</v>
      </c>
      <c r="S77" s="2"/>
      <c r="T77" s="6">
        <v>5233.21</v>
      </c>
      <c r="U77" s="2"/>
      <c r="V77" s="7">
        <f t="shared" si="23"/>
        <v>4.2307638110765959E-3</v>
      </c>
      <c r="W77" s="2"/>
      <c r="X77" s="6">
        <f t="shared" si="24"/>
        <v>364.01000000000022</v>
      </c>
      <c r="Y77" s="2"/>
      <c r="Z77" s="7">
        <f t="shared" si="25"/>
        <v>6.9557690213081502E-2</v>
      </c>
    </row>
    <row r="78" spans="1:26" s="24" customFormat="1" hidden="1" outlineLevel="2" x14ac:dyDescent="0.25">
      <c r="A78" s="26"/>
      <c r="B78" s="11" t="str">
        <f>CONCATENATE("          ", "6118", " - ", "VACATION")</f>
        <v xml:space="preserve">          6118 - VACATION</v>
      </c>
      <c r="C78" s="11"/>
      <c r="D78" s="6">
        <v>1163.01</v>
      </c>
      <c r="E78" s="2"/>
      <c r="F78" s="7">
        <f t="shared" si="18"/>
        <v>3.5307954974760042E-3</v>
      </c>
      <c r="G78" s="2"/>
      <c r="H78" s="6">
        <v>731.36</v>
      </c>
      <c r="I78" s="2"/>
      <c r="J78" s="7">
        <f t="shared" si="19"/>
        <v>2.9996283686194482E-3</v>
      </c>
      <c r="K78" s="2"/>
      <c r="L78" s="6">
        <f t="shared" si="20"/>
        <v>431.65</v>
      </c>
      <c r="M78" s="2"/>
      <c r="N78" s="7">
        <f t="shared" si="21"/>
        <v>0.59020181579523079</v>
      </c>
      <c r="O78" s="11"/>
      <c r="P78" s="6">
        <v>5184.7700000000004</v>
      </c>
      <c r="Q78" s="2"/>
      <c r="R78" s="7">
        <f t="shared" si="22"/>
        <v>3.5713037990329041E-3</v>
      </c>
      <c r="S78" s="2"/>
      <c r="T78" s="6">
        <v>5252.69</v>
      </c>
      <c r="U78" s="2"/>
      <c r="V78" s="7">
        <f t="shared" si="23"/>
        <v>4.2465123247115866E-3</v>
      </c>
      <c r="W78" s="2"/>
      <c r="X78" s="6">
        <f t="shared" si="24"/>
        <v>-67.919999999999163</v>
      </c>
      <c r="Y78" s="2"/>
      <c r="Z78" s="7">
        <f t="shared" si="25"/>
        <v>-1.2930517506268058E-2</v>
      </c>
    </row>
    <row r="79" spans="1:26" s="24" customFormat="1" hidden="1" outlineLevel="2" x14ac:dyDescent="0.25">
      <c r="A79" s="26"/>
      <c r="B79" s="11" t="str">
        <f>CONCATENATE("          ", "6119", " - ", "SICK LEAVE")</f>
        <v xml:space="preserve">          6119 - SICK LEAVE</v>
      </c>
      <c r="C79" s="11"/>
      <c r="D79" s="6">
        <v>103.98</v>
      </c>
      <c r="E79" s="2"/>
      <c r="F79" s="7">
        <f t="shared" si="18"/>
        <v>3.1567408347955297E-4</v>
      </c>
      <c r="G79" s="2"/>
      <c r="H79" s="6">
        <v>452.14</v>
      </c>
      <c r="I79" s="2"/>
      <c r="J79" s="7">
        <f t="shared" si="19"/>
        <v>1.8544245933433564E-3</v>
      </c>
      <c r="K79" s="2"/>
      <c r="L79" s="6">
        <f t="shared" si="20"/>
        <v>-348.15999999999997</v>
      </c>
      <c r="M79" s="2"/>
      <c r="N79" s="7">
        <f t="shared" si="21"/>
        <v>-0.77002698279294024</v>
      </c>
      <c r="O79" s="11"/>
      <c r="P79" s="6">
        <v>4199.05</v>
      </c>
      <c r="Q79" s="2"/>
      <c r="R79" s="7">
        <f t="shared" si="22"/>
        <v>2.8923333566058117E-3</v>
      </c>
      <c r="S79" s="2"/>
      <c r="T79" s="6">
        <v>4258.29</v>
      </c>
      <c r="U79" s="2"/>
      <c r="V79" s="7">
        <f t="shared" si="23"/>
        <v>3.442594359689246E-3</v>
      </c>
      <c r="W79" s="2"/>
      <c r="X79" s="6">
        <f t="shared" si="24"/>
        <v>-59.239999999999782</v>
      </c>
      <c r="Y79" s="2"/>
      <c r="Z79" s="7">
        <f t="shared" si="25"/>
        <v>-1.3911687555333193E-2</v>
      </c>
    </row>
    <row r="80" spans="1:26" s="24" customFormat="1" hidden="1" outlineLevel="2" x14ac:dyDescent="0.25">
      <c r="A80" s="26"/>
      <c r="B80" s="11" t="str">
        <f>CONCATENATE("          ", "6156", " - ", "EMPLOYEE MEALS")</f>
        <v xml:space="preserve">          6156 - EMPLOYEE MEALS</v>
      </c>
      <c r="C80" s="11"/>
      <c r="D80" s="6">
        <v>174.43</v>
      </c>
      <c r="E80" s="2"/>
      <c r="F80" s="7">
        <f t="shared" si="18"/>
        <v>5.2955405252297003E-4</v>
      </c>
      <c r="G80" s="2"/>
      <c r="H80" s="6">
        <v>251.58</v>
      </c>
      <c r="I80" s="2"/>
      <c r="J80" s="7">
        <f t="shared" si="19"/>
        <v>1.0318400035239563E-3</v>
      </c>
      <c r="K80" s="2"/>
      <c r="L80" s="6">
        <f t="shared" si="20"/>
        <v>-77.150000000000006</v>
      </c>
      <c r="M80" s="2"/>
      <c r="N80" s="7">
        <f t="shared" si="21"/>
        <v>-0.30666189681214723</v>
      </c>
      <c r="O80" s="11"/>
      <c r="P80" s="6">
        <v>1288.56</v>
      </c>
      <c r="Q80" s="2"/>
      <c r="R80" s="7">
        <f t="shared" si="22"/>
        <v>8.8756863337849867E-4</v>
      </c>
      <c r="S80" s="2"/>
      <c r="T80" s="6">
        <v>1362.9</v>
      </c>
      <c r="U80" s="2"/>
      <c r="V80" s="7">
        <f t="shared" si="23"/>
        <v>1.1018300427684524E-3</v>
      </c>
      <c r="W80" s="2"/>
      <c r="X80" s="6">
        <f t="shared" si="24"/>
        <v>-74.340000000000146</v>
      </c>
      <c r="Y80" s="2"/>
      <c r="Z80" s="7">
        <f t="shared" si="25"/>
        <v>-5.4545454545454647E-2</v>
      </c>
    </row>
    <row r="81" spans="1:26" s="25" customFormat="1" outlineLevel="1" collapsed="1" x14ac:dyDescent="0.25">
      <c r="A81" s="27"/>
      <c r="B81" s="13" t="str">
        <f>CONCATENATE("     ","*Payroll                                          ")</f>
        <v xml:space="preserve">     *Payroll                                          </v>
      </c>
      <c r="C81" s="13"/>
      <c r="D81" s="1">
        <f>SUM(OSRRefD22_1x_0)</f>
        <v>31989.78</v>
      </c>
      <c r="E81" s="1"/>
      <c r="F81" s="5">
        <f t="shared" ref="F81:F87" si="26">IF(D$12=0,0,D81/D$12)</f>
        <v>9.7118142741032254E-2</v>
      </c>
      <c r="G81" s="1"/>
      <c r="H81" s="1">
        <f>SUM(OSRRefH22_1x_0)</f>
        <v>27747.59</v>
      </c>
      <c r="I81" s="1"/>
      <c r="J81" s="5">
        <f t="shared" ref="J81:J87" si="27">IF(H$12=0,0,H81/H$12)</f>
        <v>0.11380504556555091</v>
      </c>
      <c r="K81" s="1"/>
      <c r="L81" s="1">
        <f t="shared" ref="L81:L87" si="28">+D81-H81</f>
        <v>4242.1899999999987</v>
      </c>
      <c r="M81" s="1"/>
      <c r="N81" s="5">
        <f t="shared" ref="N81:N87" si="29">IF(H81=0,0,L81/H81)</f>
        <v>0.15288498929096181</v>
      </c>
      <c r="O81" s="13"/>
      <c r="P81" s="1">
        <f>SUM(OSRRefP22_1x_0)</f>
        <v>183738.01</v>
      </c>
      <c r="Q81" s="1"/>
      <c r="R81" s="5">
        <f t="shared" ref="R81:R87" si="30">IF(P$12=0,0,P81/P$12)</f>
        <v>0.12655995408470302</v>
      </c>
      <c r="S81" s="1"/>
      <c r="T81" s="1">
        <f>SUM(OSRRefT22_1x_0)</f>
        <v>151384.26</v>
      </c>
      <c r="U81" s="1"/>
      <c r="V81" s="5">
        <f t="shared" ref="V81:V87" si="31">IF(T$12=0,0,T81/T$12)</f>
        <v>0.1223858872039552</v>
      </c>
      <c r="W81" s="1"/>
      <c r="X81" s="1">
        <f t="shared" ref="X81:X87" si="32">+P81-T81</f>
        <v>32353.75</v>
      </c>
      <c r="Y81" s="1"/>
      <c r="Z81" s="5">
        <f t="shared" ref="Z81:Z87" si="33">IF(T81=0,0,X81/T81)</f>
        <v>0.21371937875179361</v>
      </c>
    </row>
    <row r="82" spans="1:26" s="24" customFormat="1" hidden="1" outlineLevel="2" x14ac:dyDescent="0.25">
      <c r="A82" s="26"/>
      <c r="B82" s="11" t="str">
        <f>CONCATENATE("          ", "6002", " - ", "STAFF SALARIES")</f>
        <v xml:space="preserve">          6002 - STAFF SALARIES</v>
      </c>
      <c r="C82" s="11"/>
      <c r="D82" s="6">
        <v>9741.5499999999993</v>
      </c>
      <c r="E82" s="2"/>
      <c r="F82" s="7">
        <f t="shared" si="26"/>
        <v>2.9574484207734553E-2</v>
      </c>
      <c r="G82" s="2"/>
      <c r="H82" s="6">
        <v>7747.78</v>
      </c>
      <c r="I82" s="2"/>
      <c r="J82" s="7">
        <f t="shared" si="27"/>
        <v>3.1777046436532466E-2</v>
      </c>
      <c r="K82" s="2"/>
      <c r="L82" s="6">
        <f t="shared" si="28"/>
        <v>1993.7699999999995</v>
      </c>
      <c r="M82" s="2"/>
      <c r="N82" s="7">
        <f t="shared" si="29"/>
        <v>0.25733435900348223</v>
      </c>
      <c r="O82" s="11"/>
      <c r="P82" s="6">
        <v>54630.060000000005</v>
      </c>
      <c r="Q82" s="2"/>
      <c r="R82" s="7">
        <f t="shared" si="30"/>
        <v>3.7629545923810605E-2</v>
      </c>
      <c r="S82" s="2"/>
      <c r="T82" s="6">
        <v>46178.659999999996</v>
      </c>
      <c r="U82" s="2"/>
      <c r="V82" s="7">
        <f t="shared" si="31"/>
        <v>3.7332918719487726E-2</v>
      </c>
      <c r="W82" s="2"/>
      <c r="X82" s="6">
        <f t="shared" si="32"/>
        <v>8451.4000000000087</v>
      </c>
      <c r="Y82" s="2"/>
      <c r="Z82" s="7">
        <f t="shared" si="33"/>
        <v>0.18301527155616923</v>
      </c>
    </row>
    <row r="83" spans="1:26" s="24" customFormat="1" hidden="1" outlineLevel="2" x14ac:dyDescent="0.25">
      <c r="A83" s="26"/>
      <c r="B83" s="11" t="str">
        <f>CONCATENATE("          ", "6004", " - ", "STAFF HOURLY")</f>
        <v xml:space="preserve">          6004 - STAFF HOURLY</v>
      </c>
      <c r="C83" s="11"/>
      <c r="D83" s="6">
        <v>-912.61</v>
      </c>
      <c r="E83" s="2"/>
      <c r="F83" s="7">
        <f t="shared" si="26"/>
        <v>-2.7706032441265132E-3</v>
      </c>
      <c r="G83" s="2"/>
      <c r="H83" s="6"/>
      <c r="I83" s="2"/>
      <c r="J83" s="7">
        <f t="shared" si="27"/>
        <v>0</v>
      </c>
      <c r="K83" s="2"/>
      <c r="L83" s="6">
        <f t="shared" si="28"/>
        <v>-912.61</v>
      </c>
      <c r="M83" s="2"/>
      <c r="N83" s="7">
        <f t="shared" si="29"/>
        <v>0</v>
      </c>
      <c r="O83" s="11"/>
      <c r="P83" s="6">
        <v>-912.61</v>
      </c>
      <c r="Q83" s="2"/>
      <c r="R83" s="7">
        <f t="shared" si="30"/>
        <v>-6.2861179185102101E-4</v>
      </c>
      <c r="S83" s="2"/>
      <c r="T83" s="6"/>
      <c r="U83" s="2"/>
      <c r="V83" s="7">
        <f t="shared" si="31"/>
        <v>0</v>
      </c>
      <c r="W83" s="2"/>
      <c r="X83" s="6">
        <f t="shared" si="32"/>
        <v>-912.61</v>
      </c>
      <c r="Y83" s="2"/>
      <c r="Z83" s="7">
        <f t="shared" si="33"/>
        <v>0</v>
      </c>
    </row>
    <row r="84" spans="1:26" s="24" customFormat="1" hidden="1" outlineLevel="2" x14ac:dyDescent="0.25">
      <c r="A84" s="26"/>
      <c r="B84" s="11" t="str">
        <f>CONCATENATE("          ", "6005", " - ", "TEMPORARY WAGES-HOURLY")</f>
        <v xml:space="preserve">          6005 - TEMPORARY WAGES-HOURLY</v>
      </c>
      <c r="C84" s="11"/>
      <c r="D84" s="6">
        <v>4486.58</v>
      </c>
      <c r="E84" s="2"/>
      <c r="F84" s="7">
        <f t="shared" si="26"/>
        <v>1.362086006402859E-2</v>
      </c>
      <c r="G84" s="2"/>
      <c r="H84" s="6">
        <v>6328.7</v>
      </c>
      <c r="I84" s="2"/>
      <c r="J84" s="7">
        <f t="shared" si="27"/>
        <v>2.5956776493767639E-2</v>
      </c>
      <c r="K84" s="2"/>
      <c r="L84" s="6">
        <f t="shared" si="28"/>
        <v>-1842.12</v>
      </c>
      <c r="M84" s="2"/>
      <c r="N84" s="7">
        <f t="shared" si="29"/>
        <v>-0.29107399623935404</v>
      </c>
      <c r="O84" s="11"/>
      <c r="P84" s="6">
        <v>21105.599999999999</v>
      </c>
      <c r="Q84" s="2"/>
      <c r="R84" s="7">
        <f t="shared" si="30"/>
        <v>1.4537676591414634E-2</v>
      </c>
      <c r="S84" s="2"/>
      <c r="T84" s="6">
        <v>30565.37</v>
      </c>
      <c r="U84" s="2"/>
      <c r="V84" s="7">
        <f t="shared" si="31"/>
        <v>2.4710428449874217E-2</v>
      </c>
      <c r="W84" s="2"/>
      <c r="X84" s="6">
        <f t="shared" si="32"/>
        <v>-9459.77</v>
      </c>
      <c r="Y84" s="2"/>
      <c r="Z84" s="7">
        <f t="shared" si="33"/>
        <v>-0.3094930635552588</v>
      </c>
    </row>
    <row r="85" spans="1:26" s="24" customFormat="1" hidden="1" outlineLevel="2" x14ac:dyDescent="0.25">
      <c r="A85" s="26"/>
      <c r="B85" s="11" t="str">
        <f>CONCATENATE("          ", "6006", " - ", "TEMPORARY PART TIME")</f>
        <v xml:space="preserve">          6006 - TEMPORARY PART TIME</v>
      </c>
      <c r="C85" s="11"/>
      <c r="D85" s="6"/>
      <c r="E85" s="2"/>
      <c r="F85" s="7">
        <f t="shared" si="26"/>
        <v>0</v>
      </c>
      <c r="G85" s="2"/>
      <c r="H85" s="6">
        <v>225.28</v>
      </c>
      <c r="I85" s="2"/>
      <c r="J85" s="7">
        <f t="shared" si="27"/>
        <v>9.2397215992478295E-4</v>
      </c>
      <c r="K85" s="2"/>
      <c r="L85" s="6">
        <f t="shared" si="28"/>
        <v>-225.28</v>
      </c>
      <c r="M85" s="2"/>
      <c r="N85" s="7">
        <f t="shared" si="29"/>
        <v>-1</v>
      </c>
      <c r="O85" s="11"/>
      <c r="P85" s="6">
        <v>66.5</v>
      </c>
      <c r="Q85" s="2"/>
      <c r="R85" s="7">
        <f t="shared" si="30"/>
        <v>4.5805638945543988E-5</v>
      </c>
      <c r="S85" s="2"/>
      <c r="T85" s="6">
        <v>8452.0400000000009</v>
      </c>
      <c r="U85" s="2"/>
      <c r="V85" s="7">
        <f t="shared" si="31"/>
        <v>6.8330116623968535E-3</v>
      </c>
      <c r="W85" s="2"/>
      <c r="X85" s="6">
        <f t="shared" si="32"/>
        <v>-8385.5400000000009</v>
      </c>
      <c r="Y85" s="2"/>
      <c r="Z85" s="7">
        <f t="shared" si="33"/>
        <v>-0.99213207698969719</v>
      </c>
    </row>
    <row r="86" spans="1:26" s="24" customFormat="1" hidden="1" outlineLevel="2" x14ac:dyDescent="0.25">
      <c r="A86" s="26"/>
      <c r="B86" s="11" t="str">
        <f>CONCATENATE("          ", "6007", " - ", "STUDENT HOURLY")</f>
        <v xml:space="preserve">          6007 - STUDENT HOURLY</v>
      </c>
      <c r="C86" s="11"/>
      <c r="D86" s="6">
        <v>18674.259999999998</v>
      </c>
      <c r="E86" s="2"/>
      <c r="F86" s="7">
        <f t="shared" si="26"/>
        <v>5.6693401713395618E-2</v>
      </c>
      <c r="G86" s="2"/>
      <c r="H86" s="6">
        <v>13305.58</v>
      </c>
      <c r="I86" s="2"/>
      <c r="J86" s="7">
        <f t="shared" si="27"/>
        <v>5.4572023666779088E-2</v>
      </c>
      <c r="K86" s="2"/>
      <c r="L86" s="6">
        <f t="shared" si="28"/>
        <v>5368.6799999999985</v>
      </c>
      <c r="M86" s="2"/>
      <c r="N86" s="7">
        <f t="shared" si="29"/>
        <v>0.40349086623807445</v>
      </c>
      <c r="O86" s="11"/>
      <c r="P86" s="6">
        <v>108653.45999999999</v>
      </c>
      <c r="Q86" s="2"/>
      <c r="R86" s="7">
        <f t="shared" si="30"/>
        <v>7.4841220435249711E-2</v>
      </c>
      <c r="S86" s="2"/>
      <c r="T86" s="6">
        <v>66047.94</v>
      </c>
      <c r="U86" s="2"/>
      <c r="V86" s="7">
        <f t="shared" si="31"/>
        <v>5.3396143924696E-2</v>
      </c>
      <c r="W86" s="2"/>
      <c r="X86" s="6">
        <f t="shared" si="32"/>
        <v>42605.51999999999</v>
      </c>
      <c r="Y86" s="2"/>
      <c r="Z86" s="7">
        <f t="shared" si="33"/>
        <v>0.64506962669842527</v>
      </c>
    </row>
    <row r="87" spans="1:26" s="24" customFormat="1" hidden="1" outlineLevel="2" x14ac:dyDescent="0.25">
      <c r="A87" s="26"/>
      <c r="B87" s="11" t="str">
        <f>CONCATENATE("          ", "6008", " - ", "STUDENT HOURLY-FICA EXEMPT")</f>
        <v xml:space="preserve">          6008 - STUDENT HOURLY-FICA EXEMPT</v>
      </c>
      <c r="C87" s="11"/>
      <c r="D87" s="6"/>
      <c r="E87" s="2"/>
      <c r="F87" s="7">
        <f t="shared" si="26"/>
        <v>0</v>
      </c>
      <c r="G87" s="2"/>
      <c r="H87" s="6">
        <v>140.25</v>
      </c>
      <c r="I87" s="2"/>
      <c r="J87" s="7">
        <f t="shared" si="27"/>
        <v>5.7522680854692296E-4</v>
      </c>
      <c r="K87" s="2"/>
      <c r="L87" s="6">
        <f t="shared" si="28"/>
        <v>-140.25</v>
      </c>
      <c r="M87" s="2"/>
      <c r="N87" s="7">
        <f t="shared" si="29"/>
        <v>-1</v>
      </c>
      <c r="O87" s="11"/>
      <c r="P87" s="6">
        <v>195</v>
      </c>
      <c r="Q87" s="2"/>
      <c r="R87" s="7">
        <f t="shared" si="30"/>
        <v>1.3431728713355004E-4</v>
      </c>
      <c r="S87" s="2"/>
      <c r="T87" s="6">
        <v>140.25</v>
      </c>
      <c r="U87" s="2"/>
      <c r="V87" s="7">
        <f t="shared" si="31"/>
        <v>1.1338444750038554E-4</v>
      </c>
      <c r="W87" s="2"/>
      <c r="X87" s="6">
        <f t="shared" si="32"/>
        <v>54.75</v>
      </c>
      <c r="Y87" s="2"/>
      <c r="Z87" s="7">
        <f t="shared" si="33"/>
        <v>0.39037433155080214</v>
      </c>
    </row>
    <row r="88" spans="1:26" s="25" customFormat="1" outlineLevel="1" collapsed="1" x14ac:dyDescent="0.25">
      <c r="A88" s="27"/>
      <c r="B88" s="13" t="str">
        <f>CONCATENATE("     ","Advertising/Promo                                 ")</f>
        <v xml:space="preserve">     Advertising/Promo                                 </v>
      </c>
      <c r="C88" s="13"/>
      <c r="D88" s="1">
        <f>SUM(OSRRefD22_2x_0)</f>
        <v>4253.33</v>
      </c>
      <c r="E88" s="1"/>
      <c r="F88" s="5">
        <f t="shared" ref="F88:F96" si="34">IF(D$12=0,0,D88/D$12)</f>
        <v>1.2912733693845806E-2</v>
      </c>
      <c r="G88" s="1"/>
      <c r="H88" s="1">
        <f>SUM(OSRRefH22_2x_0)</f>
        <v>1347.95</v>
      </c>
      <c r="I88" s="1"/>
      <c r="J88" s="5">
        <f t="shared" ref="J88:J96" si="35">IF(H$12=0,0,H88/H$12)</f>
        <v>5.5285345923766476E-3</v>
      </c>
      <c r="K88" s="1"/>
      <c r="L88" s="1">
        <f t="shared" ref="L88:L96" si="36">+D88-H88</f>
        <v>2905.38</v>
      </c>
      <c r="M88" s="1"/>
      <c r="N88" s="5">
        <f t="shared" ref="N88:N96" si="37">IF(H88=0,0,L88/H88)</f>
        <v>2.155406357802589</v>
      </c>
      <c r="O88" s="13"/>
      <c r="P88" s="1">
        <f>SUM(OSRRefP22_2x_0)</f>
        <v>11073.54</v>
      </c>
      <c r="Q88" s="1"/>
      <c r="R88" s="5">
        <f t="shared" ref="R88:R96" si="38">IF(P$12=0,0,P88/P$12)</f>
        <v>7.6275274449479581E-3</v>
      </c>
      <c r="S88" s="1"/>
      <c r="T88" s="1">
        <f>SUM(OSRRefT22_2x_0)</f>
        <v>4478.8500000000004</v>
      </c>
      <c r="U88" s="1"/>
      <c r="V88" s="5">
        <f t="shared" ref="V88:V96" si="39">IF(T$12=0,0,T88/T$12)</f>
        <v>3.6209050458973391E-3</v>
      </c>
      <c r="W88" s="1"/>
      <c r="X88" s="1">
        <f t="shared" ref="X88:X96" si="40">+P88-T88</f>
        <v>6594.6900000000005</v>
      </c>
      <c r="Y88" s="1"/>
      <c r="Z88" s="5">
        <f t="shared" ref="Z88:Z96" si="41">IF(T88=0,0,X88/T88)</f>
        <v>1.4724069794701764</v>
      </c>
    </row>
    <row r="89" spans="1:26" s="24" customFormat="1" hidden="1" outlineLevel="2" x14ac:dyDescent="0.25">
      <c r="A89" s="26"/>
      <c r="B89" s="11" t="str">
        <f>CONCATENATE("          ", "6362", " - ", "ADVERTISING EXPENSE")</f>
        <v xml:space="preserve">          6362 - ADVERTISING EXPENSE</v>
      </c>
      <c r="C89" s="11"/>
      <c r="D89" s="6">
        <v>4253.33</v>
      </c>
      <c r="E89" s="2"/>
      <c r="F89" s="7">
        <f t="shared" si="34"/>
        <v>1.2912733693845806E-2</v>
      </c>
      <c r="G89" s="2"/>
      <c r="H89" s="6">
        <v>1347.95</v>
      </c>
      <c r="I89" s="2"/>
      <c r="J89" s="7">
        <f t="shared" si="35"/>
        <v>5.5285345923766476E-3</v>
      </c>
      <c r="K89" s="2"/>
      <c r="L89" s="6">
        <f t="shared" si="36"/>
        <v>2905.38</v>
      </c>
      <c r="M89" s="2"/>
      <c r="N89" s="7">
        <f t="shared" si="37"/>
        <v>2.155406357802589</v>
      </c>
      <c r="O89" s="11"/>
      <c r="P89" s="6">
        <v>11073.54</v>
      </c>
      <c r="Q89" s="2"/>
      <c r="R89" s="7">
        <f t="shared" si="38"/>
        <v>7.6275274449479581E-3</v>
      </c>
      <c r="S89" s="2"/>
      <c r="T89" s="6">
        <v>4478.8500000000004</v>
      </c>
      <c r="U89" s="2"/>
      <c r="V89" s="7">
        <f t="shared" si="39"/>
        <v>3.6209050458973391E-3</v>
      </c>
      <c r="W89" s="2"/>
      <c r="X89" s="6">
        <f t="shared" si="40"/>
        <v>6594.6900000000005</v>
      </c>
      <c r="Y89" s="2"/>
      <c r="Z89" s="7">
        <f t="shared" si="41"/>
        <v>1.4724069794701764</v>
      </c>
    </row>
    <row r="90" spans="1:26" s="25" customFormat="1" outlineLevel="1" collapsed="1" x14ac:dyDescent="0.25">
      <c r="A90" s="27"/>
      <c r="B90" s="13" t="str">
        <f>CONCATENATE("     ","Bad Debts/Over/Short                              ")</f>
        <v xml:space="preserve">     Bad Debts/Over/Short                              </v>
      </c>
      <c r="C90" s="13"/>
      <c r="D90" s="1">
        <f>SUM(OSRRefD22_3x_0)</f>
        <v>4.0999999999999996</v>
      </c>
      <c r="E90" s="1"/>
      <c r="F90" s="5">
        <f t="shared" si="34"/>
        <v>1.2447237375131439E-5</v>
      </c>
      <c r="G90" s="1"/>
      <c r="H90" s="1">
        <f>SUM(OSRRefH22_3x_0)</f>
        <v>-0.82</v>
      </c>
      <c r="I90" s="1"/>
      <c r="J90" s="5">
        <f t="shared" si="35"/>
        <v>-3.3631799144989431E-6</v>
      </c>
      <c r="K90" s="1"/>
      <c r="L90" s="1">
        <f t="shared" si="36"/>
        <v>4.92</v>
      </c>
      <c r="M90" s="1"/>
      <c r="N90" s="5">
        <f t="shared" si="37"/>
        <v>-6</v>
      </c>
      <c r="O90" s="13"/>
      <c r="P90" s="1">
        <f>SUM(OSRRefP22_3x_0)</f>
        <v>27.13</v>
      </c>
      <c r="Q90" s="1"/>
      <c r="R90" s="5">
        <f t="shared" si="38"/>
        <v>1.8687323076580577E-5</v>
      </c>
      <c r="S90" s="1"/>
      <c r="T90" s="1">
        <f>SUM(OSRRefT22_3x_0)</f>
        <v>99.04</v>
      </c>
      <c r="U90" s="1"/>
      <c r="V90" s="5">
        <f t="shared" si="39"/>
        <v>8.0068418398846243E-5</v>
      </c>
      <c r="W90" s="1"/>
      <c r="X90" s="1">
        <f t="shared" si="40"/>
        <v>-71.910000000000011</v>
      </c>
      <c r="Y90" s="1"/>
      <c r="Z90" s="5">
        <f t="shared" si="41"/>
        <v>-0.72607027463651053</v>
      </c>
    </row>
    <row r="91" spans="1:26" s="24" customFormat="1" hidden="1" outlineLevel="2" x14ac:dyDescent="0.25">
      <c r="A91" s="26"/>
      <c r="B91" s="11" t="str">
        <f>CONCATENATE("          ", "6272", " - ", "CASH (OVER/SHORT)")</f>
        <v xml:space="preserve">          6272 - CASH (OVER/SHORT)</v>
      </c>
      <c r="C91" s="11"/>
      <c r="D91" s="6">
        <v>4.0999999999999996</v>
      </c>
      <c r="E91" s="2"/>
      <c r="F91" s="7">
        <f t="shared" si="34"/>
        <v>1.2447237375131439E-5</v>
      </c>
      <c r="G91" s="2"/>
      <c r="H91" s="6">
        <v>-0.82</v>
      </c>
      <c r="I91" s="2"/>
      <c r="J91" s="7">
        <f t="shared" si="35"/>
        <v>-3.3631799144989431E-6</v>
      </c>
      <c r="K91" s="2"/>
      <c r="L91" s="6">
        <f t="shared" si="36"/>
        <v>4.92</v>
      </c>
      <c r="M91" s="2"/>
      <c r="N91" s="7">
        <f t="shared" si="37"/>
        <v>-6</v>
      </c>
      <c r="O91" s="11"/>
      <c r="P91" s="6">
        <v>27.13</v>
      </c>
      <c r="Q91" s="2"/>
      <c r="R91" s="7">
        <f t="shared" si="38"/>
        <v>1.8687323076580577E-5</v>
      </c>
      <c r="S91" s="2"/>
      <c r="T91" s="6">
        <v>99.04</v>
      </c>
      <c r="U91" s="2"/>
      <c r="V91" s="7">
        <f t="shared" si="39"/>
        <v>8.0068418398846243E-5</v>
      </c>
      <c r="W91" s="2"/>
      <c r="X91" s="6">
        <f t="shared" si="40"/>
        <v>-71.910000000000011</v>
      </c>
      <c r="Y91" s="2"/>
      <c r="Z91" s="7">
        <f t="shared" si="41"/>
        <v>-0.72607027463651053</v>
      </c>
    </row>
    <row r="92" spans="1:26" s="25" customFormat="1" outlineLevel="1" collapsed="1" x14ac:dyDescent="0.25">
      <c r="A92" s="27"/>
      <c r="B92" s="13" t="str">
        <f>CONCATENATE("     ","Bank/card Fees                                    ")</f>
        <v xml:space="preserve">     Bank/card Fees                                    </v>
      </c>
      <c r="C92" s="13"/>
      <c r="D92" s="1">
        <f>SUM(OSRRefD22_4x_0)</f>
        <v>591.74</v>
      </c>
      <c r="E92" s="1"/>
      <c r="F92" s="5">
        <f t="shared" si="34"/>
        <v>1.7964703035025071E-3</v>
      </c>
      <c r="G92" s="1"/>
      <c r="H92" s="1">
        <f>SUM(OSRRefH22_4x_0)</f>
        <v>592.86</v>
      </c>
      <c r="I92" s="1"/>
      <c r="J92" s="5">
        <f t="shared" si="35"/>
        <v>2.431579078182736E-3</v>
      </c>
      <c r="K92" s="1"/>
      <c r="L92" s="1">
        <f t="shared" si="36"/>
        <v>-1.1200000000000045</v>
      </c>
      <c r="M92" s="1"/>
      <c r="N92" s="5">
        <f t="shared" si="37"/>
        <v>-1.8891475221806237E-3</v>
      </c>
      <c r="O92" s="13"/>
      <c r="P92" s="1">
        <f>SUM(OSRRefP22_4x_0)</f>
        <v>3180.98</v>
      </c>
      <c r="Q92" s="1"/>
      <c r="R92" s="5">
        <f t="shared" si="38"/>
        <v>2.1910800206465641E-3</v>
      </c>
      <c r="S92" s="1"/>
      <c r="T92" s="1">
        <f>SUM(OSRRefT22_4x_0)</f>
        <v>2953.69</v>
      </c>
      <c r="U92" s="1"/>
      <c r="V92" s="5">
        <f t="shared" si="39"/>
        <v>2.3878966754895814E-3</v>
      </c>
      <c r="W92" s="1"/>
      <c r="X92" s="1">
        <f t="shared" si="40"/>
        <v>227.28999999999996</v>
      </c>
      <c r="Y92" s="1"/>
      <c r="Z92" s="5">
        <f t="shared" si="41"/>
        <v>7.6951203409971913E-2</v>
      </c>
    </row>
    <row r="93" spans="1:26" s="24" customFormat="1" hidden="1" outlineLevel="2" x14ac:dyDescent="0.25">
      <c r="A93" s="26"/>
      <c r="B93" s="11" t="str">
        <f>CONCATENATE("          ", "6381", " - ", "BANK/CREDIT CARD FEES")</f>
        <v xml:space="preserve">          6381 - BANK/CREDIT CARD FEES</v>
      </c>
      <c r="C93" s="11"/>
      <c r="D93" s="6">
        <v>591.74</v>
      </c>
      <c r="E93" s="2"/>
      <c r="F93" s="7">
        <f t="shared" si="34"/>
        <v>1.7964703035025071E-3</v>
      </c>
      <c r="G93" s="2"/>
      <c r="H93" s="6">
        <v>592.86</v>
      </c>
      <c r="I93" s="2"/>
      <c r="J93" s="7">
        <f t="shared" si="35"/>
        <v>2.431579078182736E-3</v>
      </c>
      <c r="K93" s="2"/>
      <c r="L93" s="6">
        <f t="shared" si="36"/>
        <v>-1.1200000000000045</v>
      </c>
      <c r="M93" s="2"/>
      <c r="N93" s="7">
        <f t="shared" si="37"/>
        <v>-1.8891475221806237E-3</v>
      </c>
      <c r="O93" s="11"/>
      <c r="P93" s="6">
        <v>3180.98</v>
      </c>
      <c r="Q93" s="2"/>
      <c r="R93" s="7">
        <f t="shared" si="38"/>
        <v>2.1910800206465641E-3</v>
      </c>
      <c r="S93" s="2"/>
      <c r="T93" s="6">
        <v>2953.69</v>
      </c>
      <c r="U93" s="2"/>
      <c r="V93" s="7">
        <f t="shared" si="39"/>
        <v>2.3878966754895814E-3</v>
      </c>
      <c r="W93" s="2"/>
      <c r="X93" s="6">
        <f t="shared" si="40"/>
        <v>227.28999999999996</v>
      </c>
      <c r="Y93" s="2"/>
      <c r="Z93" s="7">
        <f t="shared" si="41"/>
        <v>7.6951203409971913E-2</v>
      </c>
    </row>
    <row r="94" spans="1:26" s="25" customFormat="1" outlineLevel="1" collapsed="1" x14ac:dyDescent="0.25">
      <c r="A94" s="27"/>
      <c r="B94" s="13" t="str">
        <f>CONCATENATE("     ","Discounts and Markdowns                           ")</f>
        <v xml:space="preserve">     Discounts and Markdowns                           </v>
      </c>
      <c r="C94" s="13"/>
      <c r="D94" s="1">
        <f>SUM(OSRRefD22_5x_0)</f>
        <v>47425.299999999996</v>
      </c>
      <c r="E94" s="1"/>
      <c r="F94" s="5">
        <f t="shared" si="34"/>
        <v>0.14397901626507831</v>
      </c>
      <c r="G94" s="1"/>
      <c r="H94" s="1">
        <f>SUM(OSRRefH22_5x_0)</f>
        <v>24675.23</v>
      </c>
      <c r="I94" s="1"/>
      <c r="J94" s="5">
        <f t="shared" si="35"/>
        <v>0.10120394868492898</v>
      </c>
      <c r="K94" s="1"/>
      <c r="L94" s="1">
        <f t="shared" si="36"/>
        <v>22750.069999999996</v>
      </c>
      <c r="M94" s="1"/>
      <c r="N94" s="5">
        <f t="shared" si="37"/>
        <v>0.92198005854454024</v>
      </c>
      <c r="O94" s="13"/>
      <c r="P94" s="1">
        <f>SUM(OSRRefP22_5x_0)</f>
        <v>140054.97</v>
      </c>
      <c r="Q94" s="1"/>
      <c r="R94" s="5">
        <f t="shared" si="38"/>
        <v>9.6470787794721721E-2</v>
      </c>
      <c r="S94" s="1"/>
      <c r="T94" s="1">
        <f>SUM(OSRRefT22_5x_0)</f>
        <v>90800.26</v>
      </c>
      <c r="U94" s="1"/>
      <c r="V94" s="5">
        <f t="shared" si="39"/>
        <v>7.340703966482251E-2</v>
      </c>
      <c r="W94" s="1"/>
      <c r="X94" s="1">
        <f t="shared" si="40"/>
        <v>49254.710000000006</v>
      </c>
      <c r="Y94" s="1"/>
      <c r="Z94" s="5">
        <f t="shared" si="41"/>
        <v>0.54245120002960356</v>
      </c>
    </row>
    <row r="95" spans="1:26" s="24" customFormat="1" hidden="1" outlineLevel="2" x14ac:dyDescent="0.25">
      <c r="A95" s="26"/>
      <c r="B95" s="11" t="str">
        <f>CONCATENATE("          ", "6382", " - ", "DISCOUNTS/MARK DOWNS")</f>
        <v xml:space="preserve">          6382 - DISCOUNTS/MARK DOWNS</v>
      </c>
      <c r="C95" s="11"/>
      <c r="D95" s="6">
        <v>47425.299999999996</v>
      </c>
      <c r="E95" s="2"/>
      <c r="F95" s="7">
        <f t="shared" si="34"/>
        <v>0.14397901626507831</v>
      </c>
      <c r="G95" s="2"/>
      <c r="H95" s="6">
        <v>24642.78</v>
      </c>
      <c r="I95" s="2"/>
      <c r="J95" s="7">
        <f t="shared" si="35"/>
        <v>0.10107085699197106</v>
      </c>
      <c r="K95" s="2"/>
      <c r="L95" s="6">
        <f t="shared" si="36"/>
        <v>22782.519999999997</v>
      </c>
      <c r="M95" s="2"/>
      <c r="N95" s="7">
        <f t="shared" si="37"/>
        <v>0.92451095209225576</v>
      </c>
      <c r="O95" s="11"/>
      <c r="P95" s="6">
        <v>140062.44</v>
      </c>
      <c r="Q95" s="2"/>
      <c r="R95" s="7">
        <f t="shared" si="38"/>
        <v>9.6475933180028839E-2</v>
      </c>
      <c r="S95" s="2"/>
      <c r="T95" s="6">
        <v>90801.7</v>
      </c>
      <c r="U95" s="2"/>
      <c r="V95" s="7">
        <f t="shared" si="39"/>
        <v>7.3408203825994708E-2</v>
      </c>
      <c r="W95" s="2"/>
      <c r="X95" s="6">
        <f t="shared" si="40"/>
        <v>49260.740000000005</v>
      </c>
      <c r="Y95" s="2"/>
      <c r="Z95" s="7">
        <f t="shared" si="41"/>
        <v>0.54250900588865636</v>
      </c>
    </row>
    <row r="96" spans="1:26" s="24" customFormat="1" hidden="1" outlineLevel="2" x14ac:dyDescent="0.25">
      <c r="A96" s="26"/>
      <c r="B96" s="11" t="str">
        <f>CONCATENATE("          ", "9175", " - ", "EARNED DISCOUNTS")</f>
        <v xml:space="preserve">          9175 - EARNED DISCOUNTS</v>
      </c>
      <c r="C96" s="11"/>
      <c r="D96" s="6"/>
      <c r="E96" s="2"/>
      <c r="F96" s="7">
        <f t="shared" si="34"/>
        <v>0</v>
      </c>
      <c r="G96" s="2"/>
      <c r="H96" s="6">
        <v>32.450000000000003</v>
      </c>
      <c r="I96" s="2"/>
      <c r="J96" s="7">
        <f t="shared" si="35"/>
        <v>1.3309169295791553E-4</v>
      </c>
      <c r="K96" s="2"/>
      <c r="L96" s="6">
        <f t="shared" si="36"/>
        <v>-32.450000000000003</v>
      </c>
      <c r="M96" s="2"/>
      <c r="N96" s="7">
        <f t="shared" si="37"/>
        <v>-1</v>
      </c>
      <c r="O96" s="11"/>
      <c r="P96" s="6">
        <v>-7.47</v>
      </c>
      <c r="Q96" s="2"/>
      <c r="R96" s="7">
        <f t="shared" si="38"/>
        <v>-5.1453853071159936E-6</v>
      </c>
      <c r="S96" s="2"/>
      <c r="T96" s="6">
        <v>-1.44</v>
      </c>
      <c r="U96" s="2"/>
      <c r="V96" s="7">
        <f t="shared" si="39"/>
        <v>-1.1641611721964718E-6</v>
      </c>
      <c r="W96" s="2"/>
      <c r="X96" s="6">
        <f t="shared" si="40"/>
        <v>-6.0299999999999994</v>
      </c>
      <c r="Y96" s="2"/>
      <c r="Z96" s="7">
        <f t="shared" si="41"/>
        <v>4.1875</v>
      </c>
    </row>
    <row r="97" spans="1:26" s="25" customFormat="1" outlineLevel="1" collapsed="1" x14ac:dyDescent="0.25">
      <c r="A97" s="27"/>
      <c r="B97" s="13" t="str">
        <f>CONCATENATE("     ","Donations                                         ")</f>
        <v xml:space="preserve">     Donations                                         </v>
      </c>
      <c r="C97" s="13"/>
      <c r="D97" s="1">
        <f>SUM(OSRRefD22_6x_0)</f>
        <v>0</v>
      </c>
      <c r="E97" s="1"/>
      <c r="F97" s="5">
        <f t="shared" ref="F97:F103" si="42">IF(D$12=0,0,D97/D$12)</f>
        <v>0</v>
      </c>
      <c r="G97" s="1"/>
      <c r="H97" s="1">
        <f>SUM(OSRRefH22_6x_0)</f>
        <v>0</v>
      </c>
      <c r="I97" s="1"/>
      <c r="J97" s="5">
        <f t="shared" ref="J97:J103" si="43">IF(H$12=0,0,H97/H$12)</f>
        <v>0</v>
      </c>
      <c r="K97" s="1"/>
      <c r="L97" s="1">
        <f t="shared" ref="L97:L103" si="44">+D97-H97</f>
        <v>0</v>
      </c>
      <c r="M97" s="1"/>
      <c r="N97" s="5">
        <f t="shared" ref="N97:N103" si="45">IF(H97=0,0,L97/H97)</f>
        <v>0</v>
      </c>
      <c r="O97" s="13"/>
      <c r="P97" s="1">
        <f>SUM(OSRRefP22_6x_0)</f>
        <v>0</v>
      </c>
      <c r="Q97" s="1"/>
      <c r="R97" s="5">
        <f t="shared" ref="R97:R103" si="46">IF(P$12=0,0,P97/P$12)</f>
        <v>0</v>
      </c>
      <c r="S97" s="1"/>
      <c r="T97" s="1">
        <f>SUM(OSRRefT22_6x_0)</f>
        <v>124.88</v>
      </c>
      <c r="U97" s="1"/>
      <c r="V97" s="5">
        <f t="shared" ref="V97:V103" si="47">IF(T$12=0,0,T97/T$12)</f>
        <v>1.0095864387770513E-4</v>
      </c>
      <c r="W97" s="1"/>
      <c r="X97" s="1">
        <f t="shared" ref="X97:X103" si="48">+P97-T97</f>
        <v>-124.88</v>
      </c>
      <c r="Y97" s="1"/>
      <c r="Z97" s="5">
        <f t="shared" ref="Z97:Z103" si="49">IF(T97=0,0,X97/T97)</f>
        <v>-1</v>
      </c>
    </row>
    <row r="98" spans="1:26" s="24" customFormat="1" hidden="1" outlineLevel="2" x14ac:dyDescent="0.25">
      <c r="A98" s="26"/>
      <c r="B98" s="11" t="str">
        <f>CONCATENATE("          ", "6399", " - ", "DONATION-ON CAMPUS")</f>
        <v xml:space="preserve">          6399 - DONATION-ON CAMPUS</v>
      </c>
      <c r="C98" s="11"/>
      <c r="D98" s="6"/>
      <c r="E98" s="2"/>
      <c r="F98" s="7">
        <f t="shared" si="42"/>
        <v>0</v>
      </c>
      <c r="G98" s="2"/>
      <c r="H98" s="6"/>
      <c r="I98" s="2"/>
      <c r="J98" s="7">
        <f t="shared" si="43"/>
        <v>0</v>
      </c>
      <c r="K98" s="2"/>
      <c r="L98" s="6">
        <f t="shared" si="44"/>
        <v>0</v>
      </c>
      <c r="M98" s="2"/>
      <c r="N98" s="7">
        <f t="shared" si="45"/>
        <v>0</v>
      </c>
      <c r="O98" s="11"/>
      <c r="P98" s="6"/>
      <c r="Q98" s="2"/>
      <c r="R98" s="7">
        <f t="shared" si="46"/>
        <v>0</v>
      </c>
      <c r="S98" s="2"/>
      <c r="T98" s="6">
        <v>124.88</v>
      </c>
      <c r="U98" s="2"/>
      <c r="V98" s="7">
        <f t="shared" si="47"/>
        <v>1.0095864387770513E-4</v>
      </c>
      <c r="W98" s="2"/>
      <c r="X98" s="6">
        <f t="shared" si="48"/>
        <v>-124.88</v>
      </c>
      <c r="Y98" s="2"/>
      <c r="Z98" s="7">
        <f t="shared" si="49"/>
        <v>-1</v>
      </c>
    </row>
    <row r="99" spans="1:26" s="25" customFormat="1" outlineLevel="1" collapsed="1" x14ac:dyDescent="0.25">
      <c r="A99" s="27"/>
      <c r="B99" s="13" t="str">
        <f>CONCATENATE("     ","Employees' Appreciation                           ")</f>
        <v xml:space="preserve">     Employees' Appreciation                           </v>
      </c>
      <c r="C99" s="13"/>
      <c r="D99" s="1">
        <f>SUM(OSRRefD22_7x_0)</f>
        <v>136.5</v>
      </c>
      <c r="E99" s="1"/>
      <c r="F99" s="5">
        <f t="shared" si="42"/>
        <v>4.1440192724522966E-4</v>
      </c>
      <c r="G99" s="1"/>
      <c r="H99" s="1">
        <f>SUM(OSRRefH22_7x_0)</f>
        <v>0</v>
      </c>
      <c r="I99" s="1"/>
      <c r="J99" s="5">
        <f t="shared" si="43"/>
        <v>0</v>
      </c>
      <c r="K99" s="1"/>
      <c r="L99" s="1">
        <f t="shared" si="44"/>
        <v>136.5</v>
      </c>
      <c r="M99" s="1"/>
      <c r="N99" s="5">
        <f t="shared" si="45"/>
        <v>0</v>
      </c>
      <c r="O99" s="13"/>
      <c r="P99" s="1">
        <f>SUM(OSRRefP22_7x_0)</f>
        <v>330.41</v>
      </c>
      <c r="Q99" s="1"/>
      <c r="R99" s="5">
        <f t="shared" si="46"/>
        <v>2.2758858893228857E-4</v>
      </c>
      <c r="S99" s="1"/>
      <c r="T99" s="1">
        <f>SUM(OSRRefT22_7x_0)</f>
        <v>164.29</v>
      </c>
      <c r="U99" s="1"/>
      <c r="V99" s="5">
        <f t="shared" si="47"/>
        <v>1.3281947151399886E-4</v>
      </c>
      <c r="W99" s="1"/>
      <c r="X99" s="1">
        <f t="shared" si="48"/>
        <v>166.12000000000003</v>
      </c>
      <c r="Y99" s="1"/>
      <c r="Z99" s="5">
        <f t="shared" si="49"/>
        <v>1.0111388398563519</v>
      </c>
    </row>
    <row r="100" spans="1:26" s="24" customFormat="1" hidden="1" outlineLevel="2" x14ac:dyDescent="0.25">
      <c r="A100" s="26"/>
      <c r="B100" s="11" t="str">
        <f>CONCATENATE("          ", "6277", " - ", "EMPLOYEE APPRECIATION")</f>
        <v xml:space="preserve">          6277 - EMPLOYEE APPRECIATION</v>
      </c>
      <c r="C100" s="11"/>
      <c r="D100" s="6">
        <v>136.5</v>
      </c>
      <c r="E100" s="2"/>
      <c r="F100" s="7">
        <f t="shared" si="42"/>
        <v>4.1440192724522966E-4</v>
      </c>
      <c r="G100" s="2"/>
      <c r="H100" s="6"/>
      <c r="I100" s="2"/>
      <c r="J100" s="7">
        <f t="shared" si="43"/>
        <v>0</v>
      </c>
      <c r="K100" s="2"/>
      <c r="L100" s="6">
        <f t="shared" si="44"/>
        <v>136.5</v>
      </c>
      <c r="M100" s="2"/>
      <c r="N100" s="7">
        <f t="shared" si="45"/>
        <v>0</v>
      </c>
      <c r="O100" s="11"/>
      <c r="P100" s="6">
        <v>330.41</v>
      </c>
      <c r="Q100" s="2"/>
      <c r="R100" s="7">
        <f t="shared" si="46"/>
        <v>2.2758858893228857E-4</v>
      </c>
      <c r="S100" s="2"/>
      <c r="T100" s="6">
        <v>164.29</v>
      </c>
      <c r="U100" s="2"/>
      <c r="V100" s="7">
        <f t="shared" si="47"/>
        <v>1.3281947151399886E-4</v>
      </c>
      <c r="W100" s="2"/>
      <c r="X100" s="6">
        <f t="shared" si="48"/>
        <v>166.12000000000003</v>
      </c>
      <c r="Y100" s="2"/>
      <c r="Z100" s="7">
        <f t="shared" si="49"/>
        <v>1.0111388398563519</v>
      </c>
    </row>
    <row r="101" spans="1:26" s="25" customFormat="1" outlineLevel="1" collapsed="1" x14ac:dyDescent="0.25">
      <c r="A101" s="27"/>
      <c r="B101" s="13" t="str">
        <f>CONCATENATE("     ","Freight out/Postage                               ")</f>
        <v xml:space="preserve">     Freight out/Postage                               </v>
      </c>
      <c r="C101" s="13"/>
      <c r="D101" s="1">
        <f>SUM(OSRRefD22_8x_0)</f>
        <v>0</v>
      </c>
      <c r="E101" s="1"/>
      <c r="F101" s="5">
        <f t="shared" si="42"/>
        <v>0</v>
      </c>
      <c r="G101" s="1"/>
      <c r="H101" s="1">
        <f>SUM(OSRRefH22_8x_0)</f>
        <v>12.56</v>
      </c>
      <c r="I101" s="1"/>
      <c r="J101" s="5">
        <f t="shared" si="43"/>
        <v>5.1514072836715529E-5</v>
      </c>
      <c r="K101" s="1"/>
      <c r="L101" s="1">
        <f t="shared" si="44"/>
        <v>-12.56</v>
      </c>
      <c r="M101" s="1"/>
      <c r="N101" s="5">
        <f t="shared" si="45"/>
        <v>-1</v>
      </c>
      <c r="O101" s="13"/>
      <c r="P101" s="1">
        <f>SUM(OSRRefP22_8x_0)</f>
        <v>70.5</v>
      </c>
      <c r="Q101" s="1"/>
      <c r="R101" s="5">
        <f t="shared" si="46"/>
        <v>4.8560865348283477E-5</v>
      </c>
      <c r="S101" s="1"/>
      <c r="T101" s="1">
        <f>SUM(OSRRefT22_8x_0)</f>
        <v>23.6</v>
      </c>
      <c r="U101" s="1"/>
      <c r="V101" s="5">
        <f t="shared" si="47"/>
        <v>1.9079308099886622E-5</v>
      </c>
      <c r="W101" s="1"/>
      <c r="X101" s="1">
        <f t="shared" si="48"/>
        <v>46.9</v>
      </c>
      <c r="Y101" s="1"/>
      <c r="Z101" s="5">
        <f t="shared" si="49"/>
        <v>1.9872881355932202</v>
      </c>
    </row>
    <row r="102" spans="1:26" s="24" customFormat="1" hidden="1" outlineLevel="2" x14ac:dyDescent="0.25">
      <c r="A102" s="26"/>
      <c r="B102" s="11" t="str">
        <f>CONCATENATE("          ", "6305", " - ", "FREIGHT OUT")</f>
        <v xml:space="preserve">          6305 - FREIGHT OUT</v>
      </c>
      <c r="C102" s="11"/>
      <c r="D102" s="6"/>
      <c r="E102" s="2"/>
      <c r="F102" s="7">
        <f t="shared" si="42"/>
        <v>0</v>
      </c>
      <c r="G102" s="2"/>
      <c r="H102" s="6">
        <v>12.56</v>
      </c>
      <c r="I102" s="2"/>
      <c r="J102" s="7">
        <f t="shared" si="43"/>
        <v>5.1514072836715529E-5</v>
      </c>
      <c r="K102" s="2"/>
      <c r="L102" s="6">
        <f t="shared" si="44"/>
        <v>-12.56</v>
      </c>
      <c r="M102" s="2"/>
      <c r="N102" s="7">
        <f t="shared" si="45"/>
        <v>-1</v>
      </c>
      <c r="O102" s="11"/>
      <c r="P102" s="6">
        <v>70</v>
      </c>
      <c r="Q102" s="2"/>
      <c r="R102" s="7">
        <f t="shared" si="46"/>
        <v>4.8216462047941039E-5</v>
      </c>
      <c r="S102" s="2"/>
      <c r="T102" s="6">
        <v>23.6</v>
      </c>
      <c r="U102" s="2"/>
      <c r="V102" s="7">
        <f t="shared" si="47"/>
        <v>1.9079308099886622E-5</v>
      </c>
      <c r="W102" s="2"/>
      <c r="X102" s="6">
        <f t="shared" si="48"/>
        <v>46.4</v>
      </c>
      <c r="Y102" s="2"/>
      <c r="Z102" s="7">
        <f t="shared" si="49"/>
        <v>1.9661016949152541</v>
      </c>
    </row>
    <row r="103" spans="1:26" s="24" customFormat="1" hidden="1" outlineLevel="2" x14ac:dyDescent="0.25">
      <c r="A103" s="26"/>
      <c r="B103" s="11" t="str">
        <f>CONCATENATE("          ", "6307", " - ", "POSTAGE")</f>
        <v xml:space="preserve">          6307 - POSTAGE</v>
      </c>
      <c r="C103" s="11"/>
      <c r="D103" s="6"/>
      <c r="E103" s="2"/>
      <c r="F103" s="7">
        <f t="shared" si="42"/>
        <v>0</v>
      </c>
      <c r="G103" s="2"/>
      <c r="H103" s="6"/>
      <c r="I103" s="2"/>
      <c r="J103" s="7">
        <f t="shared" si="43"/>
        <v>0</v>
      </c>
      <c r="K103" s="2"/>
      <c r="L103" s="6">
        <f t="shared" si="44"/>
        <v>0</v>
      </c>
      <c r="M103" s="2"/>
      <c r="N103" s="7">
        <f t="shared" si="45"/>
        <v>0</v>
      </c>
      <c r="O103" s="11"/>
      <c r="P103" s="6">
        <v>0.5</v>
      </c>
      <c r="Q103" s="2"/>
      <c r="R103" s="7">
        <f t="shared" si="46"/>
        <v>3.4440330034243599E-7</v>
      </c>
      <c r="S103" s="2"/>
      <c r="T103" s="6"/>
      <c r="U103" s="2"/>
      <c r="V103" s="7">
        <f t="shared" si="47"/>
        <v>0</v>
      </c>
      <c r="W103" s="2"/>
      <c r="X103" s="6">
        <f t="shared" si="48"/>
        <v>0.5</v>
      </c>
      <c r="Y103" s="2"/>
      <c r="Z103" s="7">
        <f t="shared" si="49"/>
        <v>0</v>
      </c>
    </row>
    <row r="104" spans="1:26" s="25" customFormat="1" outlineLevel="1" collapsed="1" x14ac:dyDescent="0.25">
      <c r="A104" s="27"/>
      <c r="B104" s="13" t="str">
        <f>CONCATENATE("     ","General                                           ")</f>
        <v xml:space="preserve">     General                                           </v>
      </c>
      <c r="C104" s="13"/>
      <c r="D104" s="1">
        <f>SUM(OSRRefD22_9x_0)</f>
        <v>1111.44</v>
      </c>
      <c r="E104" s="1"/>
      <c r="F104" s="5">
        <f t="shared" ref="F104:F117" si="50">IF(D$12=0,0,D104/D$12)</f>
        <v>3.3742335385892898E-3</v>
      </c>
      <c r="G104" s="1"/>
      <c r="H104" s="1">
        <f>SUM(OSRRefH22_9x_0)</f>
        <v>1093.6600000000001</v>
      </c>
      <c r="I104" s="1"/>
      <c r="J104" s="5">
        <f t="shared" ref="J104:J117" si="51">IF(H$12=0,0,H104/H$12)</f>
        <v>4.485579689379164E-3</v>
      </c>
      <c r="K104" s="1"/>
      <c r="L104" s="1">
        <f t="shared" ref="L104:L117" si="52">+D104-H104</f>
        <v>17.779999999999973</v>
      </c>
      <c r="M104" s="1"/>
      <c r="N104" s="5">
        <f t="shared" ref="N104:N117" si="53">IF(H104=0,0,L104/H104)</f>
        <v>1.625733774664884E-2</v>
      </c>
      <c r="O104" s="13"/>
      <c r="P104" s="1">
        <f>SUM(OSRRefP22_9x_0)</f>
        <v>1111.44</v>
      </c>
      <c r="Q104" s="1"/>
      <c r="R104" s="5">
        <f t="shared" ref="R104:R117" si="54">IF(P$12=0,0,P104/P$12)</f>
        <v>7.6556720826519414E-4</v>
      </c>
      <c r="S104" s="1"/>
      <c r="T104" s="1">
        <f>SUM(OSRRefT22_9x_0)</f>
        <v>1246.72</v>
      </c>
      <c r="U104" s="1"/>
      <c r="V104" s="5">
        <f t="shared" ref="V104:V117" si="55">IF(T$12=0,0,T104/T$12)</f>
        <v>1.0079048726394342E-3</v>
      </c>
      <c r="W104" s="1"/>
      <c r="X104" s="1">
        <f t="shared" ref="X104:X117" si="56">+P104-T104</f>
        <v>-135.27999999999997</v>
      </c>
      <c r="Y104" s="1"/>
      <c r="Z104" s="5">
        <f t="shared" ref="Z104:Z117" si="57">IF(T104=0,0,X104/T104)</f>
        <v>-0.10850872689938396</v>
      </c>
    </row>
    <row r="105" spans="1:26" s="24" customFormat="1" hidden="1" outlineLevel="2" x14ac:dyDescent="0.25">
      <c r="A105" s="26"/>
      <c r="B105" s="11" t="str">
        <f>CONCATENATE("          ", "6279", " - ", "GENERAL EXPENSE")</f>
        <v xml:space="preserve">          6279 - GENERAL EXPENSE</v>
      </c>
      <c r="C105" s="11"/>
      <c r="D105" s="6">
        <v>1111.44</v>
      </c>
      <c r="E105" s="2"/>
      <c r="F105" s="7">
        <f t="shared" si="50"/>
        <v>3.3742335385892898E-3</v>
      </c>
      <c r="G105" s="2"/>
      <c r="H105" s="6">
        <v>1093.6600000000001</v>
      </c>
      <c r="I105" s="2"/>
      <c r="J105" s="7">
        <f t="shared" si="51"/>
        <v>4.485579689379164E-3</v>
      </c>
      <c r="K105" s="2"/>
      <c r="L105" s="6">
        <f t="shared" si="52"/>
        <v>17.779999999999973</v>
      </c>
      <c r="M105" s="2"/>
      <c r="N105" s="7">
        <f t="shared" si="53"/>
        <v>1.625733774664884E-2</v>
      </c>
      <c r="O105" s="11"/>
      <c r="P105" s="6">
        <v>1111.44</v>
      </c>
      <c r="Q105" s="2"/>
      <c r="R105" s="7">
        <f t="shared" si="54"/>
        <v>7.6556720826519414E-4</v>
      </c>
      <c r="S105" s="2"/>
      <c r="T105" s="6">
        <v>1246.72</v>
      </c>
      <c r="U105" s="2"/>
      <c r="V105" s="7">
        <f t="shared" si="55"/>
        <v>1.0079048726394342E-3</v>
      </c>
      <c r="W105" s="2"/>
      <c r="X105" s="6">
        <f t="shared" si="56"/>
        <v>-135.27999999999997</v>
      </c>
      <c r="Y105" s="2"/>
      <c r="Z105" s="7">
        <f t="shared" si="57"/>
        <v>-0.10850872689938396</v>
      </c>
    </row>
    <row r="106" spans="1:26" s="25" customFormat="1" outlineLevel="1" collapsed="1" x14ac:dyDescent="0.25">
      <c r="A106" s="27"/>
      <c r="B106" s="13" t="str">
        <f>CONCATENATE("     ","Insurance                                         ")</f>
        <v xml:space="preserve">     Insurance                                         </v>
      </c>
      <c r="C106" s="13"/>
      <c r="D106" s="1">
        <f>SUM(OSRRefD22_10x_0)</f>
        <v>161.18</v>
      </c>
      <c r="E106" s="1"/>
      <c r="F106" s="5">
        <f t="shared" si="50"/>
        <v>4.893282244204111E-4</v>
      </c>
      <c r="G106" s="1"/>
      <c r="H106" s="1">
        <f>SUM(OSRRefH22_10x_0)</f>
        <v>151.85</v>
      </c>
      <c r="I106" s="1"/>
      <c r="J106" s="5">
        <f t="shared" si="51"/>
        <v>6.2280350002032257E-4</v>
      </c>
      <c r="K106" s="1"/>
      <c r="L106" s="1">
        <f t="shared" si="52"/>
        <v>9.3300000000000125</v>
      </c>
      <c r="M106" s="1"/>
      <c r="N106" s="5">
        <f t="shared" si="53"/>
        <v>6.1442212709911181E-2</v>
      </c>
      <c r="O106" s="13"/>
      <c r="P106" s="1">
        <f>SUM(OSRRefP22_10x_0)</f>
        <v>805.9</v>
      </c>
      <c r="Q106" s="1"/>
      <c r="R106" s="5">
        <f t="shared" si="54"/>
        <v>5.5510923949193835E-4</v>
      </c>
      <c r="S106" s="1"/>
      <c r="T106" s="1">
        <f>SUM(OSRRefT22_10x_0)</f>
        <v>759.25</v>
      </c>
      <c r="U106" s="1"/>
      <c r="V106" s="5">
        <f t="shared" si="55"/>
        <v>6.1381206249317452E-4</v>
      </c>
      <c r="W106" s="1"/>
      <c r="X106" s="1">
        <f t="shared" si="56"/>
        <v>46.649999999999977</v>
      </c>
      <c r="Y106" s="1"/>
      <c r="Z106" s="5">
        <f t="shared" si="57"/>
        <v>6.1442212709911063E-2</v>
      </c>
    </row>
    <row r="107" spans="1:26" s="24" customFormat="1" hidden="1" outlineLevel="2" x14ac:dyDescent="0.25">
      <c r="A107" s="26"/>
      <c r="B107" s="11" t="str">
        <f>CONCATENATE("          ", "6314", " - ", "LIABILITY INSURANCE")</f>
        <v xml:space="preserve">          6314 - LIABILITY INSURANCE</v>
      </c>
      <c r="C107" s="11"/>
      <c r="D107" s="6">
        <v>161.18</v>
      </c>
      <c r="E107" s="2"/>
      <c r="F107" s="7">
        <f t="shared" si="50"/>
        <v>4.893282244204111E-4</v>
      </c>
      <c r="G107" s="2"/>
      <c r="H107" s="6">
        <v>151.85</v>
      </c>
      <c r="I107" s="2"/>
      <c r="J107" s="7">
        <f t="shared" si="51"/>
        <v>6.2280350002032257E-4</v>
      </c>
      <c r="K107" s="2"/>
      <c r="L107" s="6">
        <f t="shared" si="52"/>
        <v>9.3300000000000125</v>
      </c>
      <c r="M107" s="2"/>
      <c r="N107" s="7">
        <f t="shared" si="53"/>
        <v>6.1442212709911181E-2</v>
      </c>
      <c r="O107" s="11"/>
      <c r="P107" s="6">
        <v>805.9</v>
      </c>
      <c r="Q107" s="2"/>
      <c r="R107" s="7">
        <f t="shared" si="54"/>
        <v>5.5510923949193835E-4</v>
      </c>
      <c r="S107" s="2"/>
      <c r="T107" s="6">
        <v>759.25</v>
      </c>
      <c r="U107" s="2"/>
      <c r="V107" s="7">
        <f t="shared" si="55"/>
        <v>6.1381206249317452E-4</v>
      </c>
      <c r="W107" s="2"/>
      <c r="X107" s="6">
        <f t="shared" si="56"/>
        <v>46.649999999999977</v>
      </c>
      <c r="Y107" s="2"/>
      <c r="Z107" s="7">
        <f t="shared" si="57"/>
        <v>6.1442212709911063E-2</v>
      </c>
    </row>
    <row r="108" spans="1:26" s="25" customFormat="1" outlineLevel="1" collapsed="1" x14ac:dyDescent="0.25">
      <c r="A108" s="27"/>
      <c r="B108" s="13" t="str">
        <f>CONCATENATE("     ","Inventory Adjustment                              ")</f>
        <v xml:space="preserve">     Inventory Adjustment                              </v>
      </c>
      <c r="C108" s="13"/>
      <c r="D108" s="1">
        <f>SUM(OSRRefD22_11x_0)</f>
        <v>3150</v>
      </c>
      <c r="E108" s="1"/>
      <c r="F108" s="5">
        <f t="shared" si="50"/>
        <v>9.5631213979668391E-3</v>
      </c>
      <c r="G108" s="1"/>
      <c r="H108" s="1">
        <f>SUM(OSRRefH22_11x_0)</f>
        <v>1300</v>
      </c>
      <c r="I108" s="1"/>
      <c r="J108" s="5">
        <f t="shared" si="51"/>
        <v>5.3318705961568616E-3</v>
      </c>
      <c r="K108" s="1"/>
      <c r="L108" s="1">
        <f t="shared" si="52"/>
        <v>1850</v>
      </c>
      <c r="M108" s="1"/>
      <c r="N108" s="5">
        <f t="shared" si="53"/>
        <v>1.4230769230769231</v>
      </c>
      <c r="O108" s="13"/>
      <c r="P108" s="1">
        <f>SUM(OSRRefP22_11x_0)</f>
        <v>15750</v>
      </c>
      <c r="Q108" s="1"/>
      <c r="R108" s="5">
        <f t="shared" si="54"/>
        <v>1.0848703960786734E-2</v>
      </c>
      <c r="S108" s="1"/>
      <c r="T108" s="1">
        <f>SUM(OSRRefT22_11x_0)</f>
        <v>6500</v>
      </c>
      <c r="U108" s="1"/>
      <c r="V108" s="5">
        <f t="shared" si="55"/>
        <v>5.2548941800535185E-3</v>
      </c>
      <c r="W108" s="1"/>
      <c r="X108" s="1">
        <f t="shared" si="56"/>
        <v>9250</v>
      </c>
      <c r="Y108" s="1"/>
      <c r="Z108" s="5">
        <f t="shared" si="57"/>
        <v>1.4230769230769231</v>
      </c>
    </row>
    <row r="109" spans="1:26" s="24" customFormat="1" hidden="1" outlineLevel="2" x14ac:dyDescent="0.25">
      <c r="A109" s="26"/>
      <c r="B109" s="11" t="str">
        <f>CONCATENATE("          ", "6408", " - ", "INVENTORY ADJUSTMENT")</f>
        <v xml:space="preserve">          6408 - INVENTORY ADJUSTMENT</v>
      </c>
      <c r="C109" s="11"/>
      <c r="D109" s="6">
        <v>3150</v>
      </c>
      <c r="E109" s="2"/>
      <c r="F109" s="7">
        <f t="shared" si="50"/>
        <v>9.5631213979668391E-3</v>
      </c>
      <c r="G109" s="2"/>
      <c r="H109" s="6">
        <v>1300</v>
      </c>
      <c r="I109" s="2"/>
      <c r="J109" s="7">
        <f t="shared" si="51"/>
        <v>5.3318705961568616E-3</v>
      </c>
      <c r="K109" s="2"/>
      <c r="L109" s="6">
        <f t="shared" si="52"/>
        <v>1850</v>
      </c>
      <c r="M109" s="2"/>
      <c r="N109" s="7">
        <f t="shared" si="53"/>
        <v>1.4230769230769231</v>
      </c>
      <c r="O109" s="11"/>
      <c r="P109" s="6">
        <v>15750</v>
      </c>
      <c r="Q109" s="2"/>
      <c r="R109" s="7">
        <f t="shared" si="54"/>
        <v>1.0848703960786734E-2</v>
      </c>
      <c r="S109" s="2"/>
      <c r="T109" s="6">
        <v>6500</v>
      </c>
      <c r="U109" s="2"/>
      <c r="V109" s="7">
        <f t="shared" si="55"/>
        <v>5.2548941800535185E-3</v>
      </c>
      <c r="W109" s="2"/>
      <c r="X109" s="6">
        <f t="shared" si="56"/>
        <v>9250</v>
      </c>
      <c r="Y109" s="2"/>
      <c r="Z109" s="7">
        <f t="shared" si="57"/>
        <v>1.4230769230769231</v>
      </c>
    </row>
    <row r="110" spans="1:26" s="25" customFormat="1" outlineLevel="1" collapsed="1" x14ac:dyDescent="0.25">
      <c r="A110" s="27"/>
      <c r="B110" s="13" t="str">
        <f>CONCATENATE("     ","Professional Services                             ")</f>
        <v xml:space="preserve">     Professional Services                             </v>
      </c>
      <c r="C110" s="13"/>
      <c r="D110" s="1">
        <f>SUM(OSRRefD22_12x_0)</f>
        <v>0</v>
      </c>
      <c r="E110" s="1"/>
      <c r="F110" s="5">
        <f t="shared" si="50"/>
        <v>0</v>
      </c>
      <c r="G110" s="1"/>
      <c r="H110" s="1">
        <f>SUM(OSRRefH22_12x_0)</f>
        <v>0</v>
      </c>
      <c r="I110" s="1"/>
      <c r="J110" s="5">
        <f t="shared" si="51"/>
        <v>0</v>
      </c>
      <c r="K110" s="1"/>
      <c r="L110" s="1">
        <f t="shared" si="52"/>
        <v>0</v>
      </c>
      <c r="M110" s="1"/>
      <c r="N110" s="5">
        <f t="shared" si="53"/>
        <v>0</v>
      </c>
      <c r="O110" s="13"/>
      <c r="P110" s="1">
        <f>SUM(OSRRefP22_12x_0)</f>
        <v>750</v>
      </c>
      <c r="Q110" s="1"/>
      <c r="R110" s="5">
        <f t="shared" si="54"/>
        <v>5.1660495051365405E-4</v>
      </c>
      <c r="S110" s="1"/>
      <c r="T110" s="1">
        <f>SUM(OSRRefT22_12x_0)</f>
        <v>750</v>
      </c>
      <c r="U110" s="1"/>
      <c r="V110" s="5">
        <f t="shared" si="55"/>
        <v>6.0633394385232911E-4</v>
      </c>
      <c r="W110" s="1"/>
      <c r="X110" s="1">
        <f t="shared" si="56"/>
        <v>0</v>
      </c>
      <c r="Y110" s="1"/>
      <c r="Z110" s="5">
        <f t="shared" si="57"/>
        <v>0</v>
      </c>
    </row>
    <row r="111" spans="1:26" s="24" customFormat="1" hidden="1" outlineLevel="2" x14ac:dyDescent="0.25">
      <c r="A111" s="26"/>
      <c r="B111" s="11" t="str">
        <f>CONCATENATE("          ", "6336", " - ", "PROFESSIONAL SERVICES")</f>
        <v xml:space="preserve">          6336 - PROFESSIONAL SERVICES</v>
      </c>
      <c r="C111" s="11"/>
      <c r="D111" s="6"/>
      <c r="E111" s="2"/>
      <c r="F111" s="7">
        <f t="shared" si="50"/>
        <v>0</v>
      </c>
      <c r="G111" s="2"/>
      <c r="H111" s="6"/>
      <c r="I111" s="2"/>
      <c r="J111" s="7">
        <f t="shared" si="51"/>
        <v>0</v>
      </c>
      <c r="K111" s="2"/>
      <c r="L111" s="6">
        <f t="shared" si="52"/>
        <v>0</v>
      </c>
      <c r="M111" s="2"/>
      <c r="N111" s="7">
        <f t="shared" si="53"/>
        <v>0</v>
      </c>
      <c r="O111" s="11"/>
      <c r="P111" s="6">
        <v>750</v>
      </c>
      <c r="Q111" s="2"/>
      <c r="R111" s="7">
        <f t="shared" si="54"/>
        <v>5.1660495051365405E-4</v>
      </c>
      <c r="S111" s="2"/>
      <c r="T111" s="6">
        <v>750</v>
      </c>
      <c r="U111" s="2"/>
      <c r="V111" s="7">
        <f t="shared" si="55"/>
        <v>6.0633394385232911E-4</v>
      </c>
      <c r="W111" s="2"/>
      <c r="X111" s="6">
        <f t="shared" si="56"/>
        <v>0</v>
      </c>
      <c r="Y111" s="2"/>
      <c r="Z111" s="7">
        <f t="shared" si="57"/>
        <v>0</v>
      </c>
    </row>
    <row r="112" spans="1:26" s="25" customFormat="1" outlineLevel="1" collapsed="1" x14ac:dyDescent="0.25">
      <c r="A112" s="27"/>
      <c r="B112" s="13" t="str">
        <f>CONCATENATE("     ","Rent                                              ")</f>
        <v xml:space="preserve">     Rent                                              </v>
      </c>
      <c r="C112" s="13"/>
      <c r="D112" s="1">
        <f>SUM(OSRRefD22_13x_0)</f>
        <v>6900</v>
      </c>
      <c r="E112" s="1"/>
      <c r="F112" s="5">
        <f t="shared" si="50"/>
        <v>2.0947789728879743E-2</v>
      </c>
      <c r="G112" s="1"/>
      <c r="H112" s="1">
        <f>SUM(OSRRefH22_13x_0)</f>
        <v>6900</v>
      </c>
      <c r="I112" s="1"/>
      <c r="J112" s="5">
        <f t="shared" si="51"/>
        <v>2.8299928548832572E-2</v>
      </c>
      <c r="K112" s="1"/>
      <c r="L112" s="1">
        <f t="shared" si="52"/>
        <v>0</v>
      </c>
      <c r="M112" s="1"/>
      <c r="N112" s="5">
        <f t="shared" si="53"/>
        <v>0</v>
      </c>
      <c r="O112" s="13"/>
      <c r="P112" s="1">
        <f>SUM(OSRRefP22_13x_0)</f>
        <v>34500</v>
      </c>
      <c r="Q112" s="1"/>
      <c r="R112" s="5">
        <f t="shared" si="54"/>
        <v>2.3763827723628082E-2</v>
      </c>
      <c r="S112" s="1"/>
      <c r="T112" s="1">
        <f>SUM(OSRRefT22_13x_0)</f>
        <v>34500</v>
      </c>
      <c r="U112" s="1"/>
      <c r="V112" s="5">
        <f t="shared" si="55"/>
        <v>2.7891361417207137E-2</v>
      </c>
      <c r="W112" s="1"/>
      <c r="X112" s="1">
        <f t="shared" si="56"/>
        <v>0</v>
      </c>
      <c r="Y112" s="1"/>
      <c r="Z112" s="5">
        <f t="shared" si="57"/>
        <v>0</v>
      </c>
    </row>
    <row r="113" spans="1:26" s="24" customFormat="1" hidden="1" outlineLevel="2" x14ac:dyDescent="0.25">
      <c r="A113" s="26"/>
      <c r="B113" s="11" t="str">
        <f>CONCATENATE("          ", "6273", " - ", "RENT")</f>
        <v xml:space="preserve">          6273 - RENT</v>
      </c>
      <c r="C113" s="11"/>
      <c r="D113" s="6">
        <v>6900</v>
      </c>
      <c r="E113" s="2"/>
      <c r="F113" s="7">
        <f t="shared" si="50"/>
        <v>2.0947789728879743E-2</v>
      </c>
      <c r="G113" s="2"/>
      <c r="H113" s="6">
        <v>6900</v>
      </c>
      <c r="I113" s="2"/>
      <c r="J113" s="7">
        <f t="shared" si="51"/>
        <v>2.8299928548832572E-2</v>
      </c>
      <c r="K113" s="2"/>
      <c r="L113" s="6">
        <f t="shared" si="52"/>
        <v>0</v>
      </c>
      <c r="M113" s="2"/>
      <c r="N113" s="7">
        <f t="shared" si="53"/>
        <v>0</v>
      </c>
      <c r="O113" s="11"/>
      <c r="P113" s="6">
        <v>34500</v>
      </c>
      <c r="Q113" s="2"/>
      <c r="R113" s="7">
        <f t="shared" si="54"/>
        <v>2.3763827723628082E-2</v>
      </c>
      <c r="S113" s="2"/>
      <c r="T113" s="6">
        <v>34500</v>
      </c>
      <c r="U113" s="2"/>
      <c r="V113" s="7">
        <f t="shared" si="55"/>
        <v>2.7891361417207137E-2</v>
      </c>
      <c r="W113" s="2"/>
      <c r="X113" s="6">
        <f t="shared" si="56"/>
        <v>0</v>
      </c>
      <c r="Y113" s="2"/>
      <c r="Z113" s="7">
        <f t="shared" si="57"/>
        <v>0</v>
      </c>
    </row>
    <row r="114" spans="1:26" s="25" customFormat="1" outlineLevel="1" collapsed="1" x14ac:dyDescent="0.25">
      <c r="A114" s="27"/>
      <c r="B114" s="13" t="str">
        <f>CONCATENATE("     ","Repair and Maintenance                            ")</f>
        <v xml:space="preserve">     Repair and Maintenance                            </v>
      </c>
      <c r="C114" s="13"/>
      <c r="D114" s="1">
        <f>SUM(OSRRefD22_14x_0)</f>
        <v>0</v>
      </c>
      <c r="E114" s="1"/>
      <c r="F114" s="5">
        <f t="shared" si="50"/>
        <v>0</v>
      </c>
      <c r="G114" s="1"/>
      <c r="H114" s="1">
        <f>SUM(OSRRefH22_14x_0)</f>
        <v>0</v>
      </c>
      <c r="I114" s="1"/>
      <c r="J114" s="5">
        <f t="shared" si="51"/>
        <v>0</v>
      </c>
      <c r="K114" s="1"/>
      <c r="L114" s="1">
        <f t="shared" si="52"/>
        <v>0</v>
      </c>
      <c r="M114" s="1"/>
      <c r="N114" s="5">
        <f t="shared" si="53"/>
        <v>0</v>
      </c>
      <c r="O114" s="13"/>
      <c r="P114" s="1">
        <f>SUM(OSRRefP22_14x_0)</f>
        <v>104.28999999999999</v>
      </c>
      <c r="Q114" s="1"/>
      <c r="R114" s="5">
        <f t="shared" si="54"/>
        <v>7.183564038542529E-5</v>
      </c>
      <c r="S114" s="1"/>
      <c r="T114" s="1">
        <f>SUM(OSRRefT22_14x_0)</f>
        <v>670.02</v>
      </c>
      <c r="U114" s="1"/>
      <c r="V114" s="5">
        <f t="shared" si="55"/>
        <v>5.4167449207991665E-4</v>
      </c>
      <c r="W114" s="1"/>
      <c r="X114" s="1">
        <f t="shared" si="56"/>
        <v>-565.73</v>
      </c>
      <c r="Y114" s="1"/>
      <c r="Z114" s="5">
        <f t="shared" si="57"/>
        <v>-0.84434792991253993</v>
      </c>
    </row>
    <row r="115" spans="1:26" s="24" customFormat="1" hidden="1" outlineLevel="2" x14ac:dyDescent="0.25">
      <c r="A115" s="26"/>
      <c r="B115" s="11" t="str">
        <f>CONCATENATE("          ", "6371", " - ", "COMPUTER SOFTWARE MAINTENANCE")</f>
        <v xml:space="preserve">          6371 - COMPUTER SOFTWARE MAINTENANCE</v>
      </c>
      <c r="C115" s="11"/>
      <c r="D115" s="6"/>
      <c r="E115" s="2"/>
      <c r="F115" s="7">
        <f t="shared" si="50"/>
        <v>0</v>
      </c>
      <c r="G115" s="2"/>
      <c r="H115" s="6"/>
      <c r="I115" s="2"/>
      <c r="J115" s="7">
        <f t="shared" si="51"/>
        <v>0</v>
      </c>
      <c r="K115" s="2"/>
      <c r="L115" s="6">
        <f t="shared" si="52"/>
        <v>0</v>
      </c>
      <c r="M115" s="2"/>
      <c r="N115" s="7">
        <f t="shared" si="53"/>
        <v>0</v>
      </c>
      <c r="O115" s="11"/>
      <c r="P115" s="6"/>
      <c r="Q115" s="2"/>
      <c r="R115" s="7">
        <f t="shared" si="54"/>
        <v>0</v>
      </c>
      <c r="S115" s="2"/>
      <c r="T115" s="6">
        <v>186.58</v>
      </c>
      <c r="U115" s="2"/>
      <c r="V115" s="7">
        <f t="shared" si="55"/>
        <v>1.508397163252901E-4</v>
      </c>
      <c r="W115" s="2"/>
      <c r="X115" s="6">
        <f t="shared" si="56"/>
        <v>-186.58</v>
      </c>
      <c r="Y115" s="2"/>
      <c r="Z115" s="7">
        <f t="shared" si="57"/>
        <v>-1</v>
      </c>
    </row>
    <row r="116" spans="1:26" s="24" customFormat="1" hidden="1" outlineLevel="2" x14ac:dyDescent="0.25">
      <c r="A116" s="26"/>
      <c r="B116" s="11" t="str">
        <f>CONCATENATE("          ", "6373", " - ", "MAINTENANCE CONTRACTS")</f>
        <v xml:space="preserve">          6373 - MAINTENANCE CONTRACTS</v>
      </c>
      <c r="C116" s="11"/>
      <c r="D116" s="6"/>
      <c r="E116" s="2"/>
      <c r="F116" s="7">
        <f t="shared" si="50"/>
        <v>0</v>
      </c>
      <c r="G116" s="2"/>
      <c r="H116" s="6"/>
      <c r="I116" s="2"/>
      <c r="J116" s="7">
        <f t="shared" si="51"/>
        <v>0</v>
      </c>
      <c r="K116" s="2"/>
      <c r="L116" s="6">
        <f t="shared" si="52"/>
        <v>0</v>
      </c>
      <c r="M116" s="2"/>
      <c r="N116" s="7">
        <f t="shared" si="53"/>
        <v>0</v>
      </c>
      <c r="O116" s="11"/>
      <c r="P116" s="6">
        <v>45.65</v>
      </c>
      <c r="Q116" s="2"/>
      <c r="R116" s="7">
        <f t="shared" si="54"/>
        <v>3.1444021321264408E-5</v>
      </c>
      <c r="S116" s="2"/>
      <c r="T116" s="6">
        <v>44.98</v>
      </c>
      <c r="U116" s="2"/>
      <c r="V116" s="7">
        <f t="shared" si="55"/>
        <v>3.6363867725970345E-5</v>
      </c>
      <c r="W116" s="2"/>
      <c r="X116" s="6">
        <f t="shared" si="56"/>
        <v>0.67000000000000171</v>
      </c>
      <c r="Y116" s="2"/>
      <c r="Z116" s="7">
        <f t="shared" si="57"/>
        <v>1.4895509115162334E-2</v>
      </c>
    </row>
    <row r="117" spans="1:26" s="24" customFormat="1" hidden="1" outlineLevel="2" x14ac:dyDescent="0.25">
      <c r="A117" s="26"/>
      <c r="B117" s="11" t="str">
        <f>CONCATENATE("          ", "6375", " - ", "OUTSIDE REPAIRS &amp; MAINTENANCE")</f>
        <v xml:space="preserve">          6375 - OUTSIDE REPAIRS &amp; MAINTENANCE</v>
      </c>
      <c r="C117" s="11"/>
      <c r="D117" s="6"/>
      <c r="E117" s="2"/>
      <c r="F117" s="7">
        <f t="shared" si="50"/>
        <v>0</v>
      </c>
      <c r="G117" s="2"/>
      <c r="H117" s="6"/>
      <c r="I117" s="2"/>
      <c r="J117" s="7">
        <f t="shared" si="51"/>
        <v>0</v>
      </c>
      <c r="K117" s="2"/>
      <c r="L117" s="6">
        <f t="shared" si="52"/>
        <v>0</v>
      </c>
      <c r="M117" s="2"/>
      <c r="N117" s="7">
        <f t="shared" si="53"/>
        <v>0</v>
      </c>
      <c r="O117" s="11"/>
      <c r="P117" s="6">
        <v>58.64</v>
      </c>
      <c r="Q117" s="2"/>
      <c r="R117" s="7">
        <f t="shared" si="54"/>
        <v>4.0391619064160896E-5</v>
      </c>
      <c r="S117" s="2"/>
      <c r="T117" s="6">
        <v>438.46</v>
      </c>
      <c r="U117" s="2"/>
      <c r="V117" s="7">
        <f t="shared" si="55"/>
        <v>3.5447090802865629E-4</v>
      </c>
      <c r="W117" s="2"/>
      <c r="X117" s="6">
        <f t="shared" si="56"/>
        <v>-379.82</v>
      </c>
      <c r="Y117" s="2"/>
      <c r="Z117" s="7">
        <f t="shared" si="57"/>
        <v>-0.86625917985677148</v>
      </c>
    </row>
    <row r="118" spans="1:26" s="25" customFormat="1" outlineLevel="1" collapsed="1" x14ac:dyDescent="0.25">
      <c r="A118" s="27"/>
      <c r="B118" s="13" t="str">
        <f>CONCATENATE("     ","Royalty &amp; Commissions                             ")</f>
        <v xml:space="preserve">     Royalty &amp; Commissions                             </v>
      </c>
      <c r="C118" s="13"/>
      <c r="D118" s="1">
        <f>SUM(OSRRefD22_15x_0)</f>
        <v>803.23</v>
      </c>
      <c r="E118" s="1"/>
      <c r="F118" s="5">
        <f t="shared" ref="F118:F120" si="58">IF(D$12=0,0,D118/D$12)</f>
        <v>2.4385352382504458E-3</v>
      </c>
      <c r="G118" s="1"/>
      <c r="H118" s="1">
        <f>SUM(OSRRefH22_15x_0)</f>
        <v>1589.82</v>
      </c>
      <c r="I118" s="1"/>
      <c r="J118" s="5">
        <f t="shared" ref="J118:J120" si="59">IF(H$12=0,0,H118/H$12)</f>
        <v>6.5205496239862321E-3</v>
      </c>
      <c r="K118" s="1"/>
      <c r="L118" s="1">
        <f t="shared" ref="L118:L120" si="60">+D118-H118</f>
        <v>-786.58999999999992</v>
      </c>
      <c r="M118" s="1"/>
      <c r="N118" s="5">
        <f t="shared" ref="N118:N120" si="61">IF(H118=0,0,L118/H118)</f>
        <v>-0.49476670314878413</v>
      </c>
      <c r="O118" s="13"/>
      <c r="P118" s="1">
        <f>SUM(OSRRefP22_15x_0)</f>
        <v>6668.07</v>
      </c>
      <c r="Q118" s="1"/>
      <c r="R118" s="5">
        <f t="shared" ref="R118:R120" si="62">IF(P$12=0,0,P118/P$12)</f>
        <v>4.593010629828774E-3</v>
      </c>
      <c r="S118" s="1"/>
      <c r="T118" s="1">
        <f>SUM(OSRRefT22_15x_0)</f>
        <v>25733.21</v>
      </c>
      <c r="U118" s="1"/>
      <c r="V118" s="5">
        <f t="shared" ref="V118:V120" si="63">IF(T$12=0,0,T118/T$12)</f>
        <v>2.0803891609706925E-2</v>
      </c>
      <c r="W118" s="1"/>
      <c r="X118" s="1">
        <f t="shared" ref="X118:X120" si="64">+P118-T118</f>
        <v>-19065.14</v>
      </c>
      <c r="Y118" s="1"/>
      <c r="Z118" s="5">
        <f t="shared" ref="Z118:Z120" si="65">IF(T118=0,0,X118/T118)</f>
        <v>-0.74087686689690091</v>
      </c>
    </row>
    <row r="119" spans="1:26" s="24" customFormat="1" hidden="1" outlineLevel="2" x14ac:dyDescent="0.25">
      <c r="A119" s="26"/>
      <c r="B119" s="11" t="str">
        <f>CONCATENATE("          ", "6253", " - ", "ROYALTY DUE ATHLETICS-LRG")</f>
        <v xml:space="preserve">          6253 - ROYALTY DUE ATHLETICS-LRG</v>
      </c>
      <c r="C119" s="11"/>
      <c r="D119" s="6"/>
      <c r="E119" s="2"/>
      <c r="F119" s="7">
        <f t="shared" si="58"/>
        <v>0</v>
      </c>
      <c r="G119" s="2"/>
      <c r="H119" s="6"/>
      <c r="I119" s="2"/>
      <c r="J119" s="7">
        <f t="shared" si="59"/>
        <v>0</v>
      </c>
      <c r="K119" s="2"/>
      <c r="L119" s="6">
        <f t="shared" si="60"/>
        <v>0</v>
      </c>
      <c r="M119" s="2"/>
      <c r="N119" s="7">
        <f t="shared" si="61"/>
        <v>0</v>
      </c>
      <c r="O119" s="11"/>
      <c r="P119" s="6">
        <v>4366.95</v>
      </c>
      <c r="Q119" s="2"/>
      <c r="R119" s="7">
        <f t="shared" si="62"/>
        <v>3.0079839848608015E-3</v>
      </c>
      <c r="S119" s="2"/>
      <c r="T119" s="6">
        <v>22994.42</v>
      </c>
      <c r="U119" s="2"/>
      <c r="V119" s="7">
        <f t="shared" si="63"/>
        <v>1.8589729820262496E-2</v>
      </c>
      <c r="W119" s="2"/>
      <c r="X119" s="6">
        <f t="shared" si="64"/>
        <v>-18627.469999999998</v>
      </c>
      <c r="Y119" s="2"/>
      <c r="Z119" s="7">
        <f t="shared" si="65"/>
        <v>-0.81008653403738817</v>
      </c>
    </row>
    <row r="120" spans="1:26" s="24" customFormat="1" hidden="1" outlineLevel="2" x14ac:dyDescent="0.25">
      <c r="A120" s="26"/>
      <c r="B120" s="11" t="str">
        <f>CONCATENATE("          ", "6254", " - ", "ROYALTY &amp; COMMISSIONS")</f>
        <v xml:space="preserve">          6254 - ROYALTY &amp; COMMISSIONS</v>
      </c>
      <c r="C120" s="11"/>
      <c r="D120" s="6">
        <v>803.23</v>
      </c>
      <c r="E120" s="2"/>
      <c r="F120" s="7">
        <f t="shared" si="58"/>
        <v>2.4385352382504458E-3</v>
      </c>
      <c r="G120" s="2"/>
      <c r="H120" s="6">
        <v>1589.82</v>
      </c>
      <c r="I120" s="2"/>
      <c r="J120" s="7">
        <f t="shared" si="59"/>
        <v>6.5205496239862321E-3</v>
      </c>
      <c r="K120" s="2"/>
      <c r="L120" s="6">
        <f t="shared" si="60"/>
        <v>-786.58999999999992</v>
      </c>
      <c r="M120" s="2"/>
      <c r="N120" s="7">
        <f t="shared" si="61"/>
        <v>-0.49476670314878413</v>
      </c>
      <c r="O120" s="11"/>
      <c r="P120" s="6">
        <v>2301.12</v>
      </c>
      <c r="Q120" s="2"/>
      <c r="R120" s="7">
        <f t="shared" si="62"/>
        <v>1.5850266449679725E-3</v>
      </c>
      <c r="S120" s="2"/>
      <c r="T120" s="6">
        <v>2738.79</v>
      </c>
      <c r="U120" s="2"/>
      <c r="V120" s="7">
        <f t="shared" si="63"/>
        <v>2.214161789444427E-3</v>
      </c>
      <c r="W120" s="2"/>
      <c r="X120" s="6">
        <f t="shared" si="64"/>
        <v>-437.67000000000007</v>
      </c>
      <c r="Y120" s="2"/>
      <c r="Z120" s="7">
        <f t="shared" si="65"/>
        <v>-0.15980414708685226</v>
      </c>
    </row>
    <row r="121" spans="1:26" s="25" customFormat="1" outlineLevel="1" collapsed="1" x14ac:dyDescent="0.25">
      <c r="A121" s="27"/>
      <c r="B121" s="13" t="str">
        <f>CONCATENATE("     ","Services                                          ")</f>
        <v xml:space="preserve">     Services                                          </v>
      </c>
      <c r="C121" s="13"/>
      <c r="D121" s="1">
        <f>SUM(OSRRefD22_16x_0)</f>
        <v>181.82</v>
      </c>
      <c r="E121" s="1"/>
      <c r="F121" s="5">
        <f t="shared" ref="F121:F124" si="66">IF(D$12=0,0,D121/D$12)</f>
        <v>5.5198943891375573E-4</v>
      </c>
      <c r="G121" s="1"/>
      <c r="H121" s="1">
        <f>SUM(OSRRefH22_16x_0)</f>
        <v>116.72999999999999</v>
      </c>
      <c r="I121" s="1"/>
      <c r="J121" s="5">
        <f t="shared" ref="J121:J124" si="67">IF(H$12=0,0,H121/H$12)</f>
        <v>4.7876096514568495E-4</v>
      </c>
      <c r="K121" s="1"/>
      <c r="L121" s="1">
        <f t="shared" ref="L121:L124" si="68">+D121-H121</f>
        <v>65.09</v>
      </c>
      <c r="M121" s="1"/>
      <c r="N121" s="5">
        <f t="shared" ref="N121:N124" si="69">IF(H121=0,0,L121/H121)</f>
        <v>0.55761158228390306</v>
      </c>
      <c r="O121" s="13"/>
      <c r="P121" s="1">
        <f>SUM(OSRRefP22_16x_0)</f>
        <v>1820.46</v>
      </c>
      <c r="Q121" s="1"/>
      <c r="R121" s="5">
        <f t="shared" ref="R121:R124" si="70">IF(P$12=0,0,P121/P$12)</f>
        <v>1.2539448642827822E-3</v>
      </c>
      <c r="S121" s="1"/>
      <c r="T121" s="1">
        <f>SUM(OSRRefT22_16x_0)</f>
        <v>996.48</v>
      </c>
      <c r="U121" s="1"/>
      <c r="V121" s="5">
        <f t="shared" ref="V121:V124" si="71">IF(T$12=0,0,T121/T$12)</f>
        <v>8.0559953115995851E-4</v>
      </c>
      <c r="W121" s="1"/>
      <c r="X121" s="1">
        <f t="shared" ref="X121:X124" si="72">+P121-T121</f>
        <v>823.98</v>
      </c>
      <c r="Y121" s="1"/>
      <c r="Z121" s="5">
        <f t="shared" ref="Z121:Z124" si="73">IF(T121=0,0,X121/T121)</f>
        <v>0.82689065510597304</v>
      </c>
    </row>
    <row r="122" spans="1:26" s="24" customFormat="1" hidden="1" outlineLevel="2" x14ac:dyDescent="0.25">
      <c r="A122" s="26"/>
      <c r="B122" s="11" t="str">
        <f>CONCATENATE("          ", "6283", " - ", "PLANT SERVICE")</f>
        <v xml:space="preserve">          6283 - PLANT SERVICE</v>
      </c>
      <c r="C122" s="11"/>
      <c r="D122" s="6"/>
      <c r="E122" s="2"/>
      <c r="F122" s="7">
        <f t="shared" si="66"/>
        <v>0</v>
      </c>
      <c r="G122" s="2"/>
      <c r="H122" s="6">
        <v>56</v>
      </c>
      <c r="I122" s="2"/>
      <c r="J122" s="7">
        <f t="shared" si="67"/>
        <v>2.2968057952675711E-4</v>
      </c>
      <c r="K122" s="2"/>
      <c r="L122" s="6">
        <f t="shared" si="68"/>
        <v>-56</v>
      </c>
      <c r="M122" s="2"/>
      <c r="N122" s="7">
        <f t="shared" si="69"/>
        <v>-1</v>
      </c>
      <c r="O122" s="11"/>
      <c r="P122" s="6">
        <v>178.65</v>
      </c>
      <c r="Q122" s="2"/>
      <c r="R122" s="7">
        <f t="shared" si="70"/>
        <v>1.2305529921235238E-4</v>
      </c>
      <c r="S122" s="2"/>
      <c r="T122" s="6">
        <v>280</v>
      </c>
      <c r="U122" s="2"/>
      <c r="V122" s="7">
        <f t="shared" si="71"/>
        <v>2.2636467237153619E-4</v>
      </c>
      <c r="W122" s="2"/>
      <c r="X122" s="6">
        <f t="shared" si="72"/>
        <v>-101.35</v>
      </c>
      <c r="Y122" s="2"/>
      <c r="Z122" s="7">
        <f t="shared" si="73"/>
        <v>-0.36196428571428568</v>
      </c>
    </row>
    <row r="123" spans="1:26" s="24" customFormat="1" hidden="1" outlineLevel="2" x14ac:dyDescent="0.25">
      <c r="A123" s="26"/>
      <c r="B123" s="11" t="str">
        <f>CONCATENATE("          ", "6284", " - ", "TRASH REMOVAL EXPENSE")</f>
        <v xml:space="preserve">          6284 - TRASH REMOVAL EXPENSE</v>
      </c>
      <c r="C123" s="11"/>
      <c r="D123" s="6">
        <v>134.82</v>
      </c>
      <c r="E123" s="2"/>
      <c r="F123" s="7">
        <f t="shared" si="66"/>
        <v>4.0930159583298065E-4</v>
      </c>
      <c r="G123" s="2"/>
      <c r="H123" s="6">
        <v>121.46</v>
      </c>
      <c r="I123" s="2"/>
      <c r="J123" s="7">
        <f t="shared" si="67"/>
        <v>4.9816077123785568E-4</v>
      </c>
      <c r="K123" s="2"/>
      <c r="L123" s="6">
        <f t="shared" si="68"/>
        <v>13.36</v>
      </c>
      <c r="M123" s="2"/>
      <c r="N123" s="7">
        <f t="shared" si="69"/>
        <v>0.10999506010209123</v>
      </c>
      <c r="O123" s="11"/>
      <c r="P123" s="6">
        <v>674.1</v>
      </c>
      <c r="Q123" s="2"/>
      <c r="R123" s="7">
        <f t="shared" si="70"/>
        <v>4.6432452952167223E-4</v>
      </c>
      <c r="S123" s="2"/>
      <c r="T123" s="6">
        <v>607.29999999999995</v>
      </c>
      <c r="U123" s="2"/>
      <c r="V123" s="7">
        <f t="shared" si="71"/>
        <v>4.9096880546869255E-4</v>
      </c>
      <c r="W123" s="2"/>
      <c r="X123" s="6">
        <f t="shared" si="72"/>
        <v>66.800000000000068</v>
      </c>
      <c r="Y123" s="2"/>
      <c r="Z123" s="7">
        <f t="shared" si="73"/>
        <v>0.10999506010209134</v>
      </c>
    </row>
    <row r="124" spans="1:26" s="24" customFormat="1" hidden="1" outlineLevel="2" x14ac:dyDescent="0.25">
      <c r="A124" s="26"/>
      <c r="B124" s="11" t="str">
        <f>CONCATENATE("          ", "6285", " - ", "JANITORIAL SERVICES")</f>
        <v xml:space="preserve">          6285 - JANITORIAL SERVICES</v>
      </c>
      <c r="C124" s="11"/>
      <c r="D124" s="6">
        <v>47</v>
      </c>
      <c r="E124" s="2"/>
      <c r="F124" s="7">
        <f t="shared" si="66"/>
        <v>1.4268784308077504E-4</v>
      </c>
      <c r="G124" s="2"/>
      <c r="H124" s="6">
        <v>-60.73</v>
      </c>
      <c r="I124" s="2"/>
      <c r="J124" s="7">
        <f t="shared" si="67"/>
        <v>-2.4908038561892784E-4</v>
      </c>
      <c r="K124" s="2"/>
      <c r="L124" s="6">
        <f t="shared" si="68"/>
        <v>107.72999999999999</v>
      </c>
      <c r="M124" s="2"/>
      <c r="N124" s="7">
        <f t="shared" si="69"/>
        <v>-1.7739173390416598</v>
      </c>
      <c r="O124" s="11"/>
      <c r="P124" s="6">
        <v>967.71</v>
      </c>
      <c r="Q124" s="2"/>
      <c r="R124" s="7">
        <f t="shared" si="70"/>
        <v>6.6656503554875755E-4</v>
      </c>
      <c r="S124" s="2"/>
      <c r="T124" s="6">
        <v>109.18</v>
      </c>
      <c r="U124" s="2"/>
      <c r="V124" s="7">
        <f t="shared" si="71"/>
        <v>8.826605331972972E-5</v>
      </c>
      <c r="W124" s="2"/>
      <c r="X124" s="6">
        <f t="shared" si="72"/>
        <v>858.53</v>
      </c>
      <c r="Y124" s="2"/>
      <c r="Z124" s="7">
        <f t="shared" si="73"/>
        <v>7.8634365268364164</v>
      </c>
    </row>
    <row r="125" spans="1:26" s="25" customFormat="1" outlineLevel="1" collapsed="1" x14ac:dyDescent="0.25">
      <c r="A125" s="27"/>
      <c r="B125" s="13" t="str">
        <f>CONCATENATE("     ","Subscriptions &amp; Dues                              ")</f>
        <v xml:space="preserve">     Subscriptions &amp; Dues                              </v>
      </c>
      <c r="C125" s="13"/>
      <c r="D125" s="1">
        <f>SUM(OSRRefD22_17x_0)</f>
        <v>0</v>
      </c>
      <c r="E125" s="1"/>
      <c r="F125" s="5">
        <f t="shared" ref="F125:F127" si="74">IF(D$12=0,0,D125/D$12)</f>
        <v>0</v>
      </c>
      <c r="G125" s="1"/>
      <c r="H125" s="1">
        <f>SUM(OSRRefH22_17x_0)</f>
        <v>181.45999999999998</v>
      </c>
      <c r="I125" s="1"/>
      <c r="J125" s="5">
        <f t="shared" ref="J125:J127" si="75">IF(H$12=0,0,H125/H$12)</f>
        <v>7.4424710644509543E-4</v>
      </c>
      <c r="K125" s="1"/>
      <c r="L125" s="1">
        <f t="shared" ref="L125:L127" si="76">+D125-H125</f>
        <v>-181.45999999999998</v>
      </c>
      <c r="M125" s="1"/>
      <c r="N125" s="5">
        <f t="shared" ref="N125:N127" si="77">IF(H125=0,0,L125/H125)</f>
        <v>-1</v>
      </c>
      <c r="O125" s="13"/>
      <c r="P125" s="1">
        <f>SUM(OSRRefP22_17x_0)</f>
        <v>385.06</v>
      </c>
      <c r="Q125" s="1"/>
      <c r="R125" s="5">
        <f t="shared" ref="R125:R127" si="78">IF(P$12=0,0,P125/P$12)</f>
        <v>2.6523186965971679E-4</v>
      </c>
      <c r="S125" s="1"/>
      <c r="T125" s="1">
        <f>SUM(OSRRefT22_17x_0)</f>
        <v>1134.8800000000001</v>
      </c>
      <c r="U125" s="1"/>
      <c r="V125" s="5">
        <f t="shared" ref="V125:V127" si="79">IF(T$12=0,0,T125/T$12)</f>
        <v>9.1748835493217506E-4</v>
      </c>
      <c r="W125" s="1"/>
      <c r="X125" s="1">
        <f t="shared" ref="X125:X127" si="80">+P125-T125</f>
        <v>-749.82000000000016</v>
      </c>
      <c r="Y125" s="1"/>
      <c r="Z125" s="5">
        <f t="shared" ref="Z125:Z127" si="81">IF(T125=0,0,X125/T125)</f>
        <v>-0.6607042154236572</v>
      </c>
    </row>
    <row r="126" spans="1:26" s="24" customFormat="1" hidden="1" outlineLevel="2" x14ac:dyDescent="0.25">
      <c r="A126" s="26"/>
      <c r="B126" s="11" t="str">
        <f>CONCATENATE("          ", "6258", " - ", "MEMBERSHIP DUES")</f>
        <v xml:space="preserve">          6258 - MEMBERSHIP DUES</v>
      </c>
      <c r="C126" s="11"/>
      <c r="D126" s="6"/>
      <c r="E126" s="2"/>
      <c r="F126" s="7">
        <f t="shared" si="74"/>
        <v>0</v>
      </c>
      <c r="G126" s="2"/>
      <c r="H126" s="6">
        <v>51.48</v>
      </c>
      <c r="I126" s="2"/>
      <c r="J126" s="7">
        <f t="shared" si="75"/>
        <v>2.111420756078117E-4</v>
      </c>
      <c r="K126" s="2"/>
      <c r="L126" s="6">
        <f t="shared" si="76"/>
        <v>-51.48</v>
      </c>
      <c r="M126" s="2"/>
      <c r="N126" s="7">
        <f t="shared" si="77"/>
        <v>-1</v>
      </c>
      <c r="O126" s="11"/>
      <c r="P126" s="6"/>
      <c r="Q126" s="2"/>
      <c r="R126" s="7">
        <f t="shared" si="78"/>
        <v>0</v>
      </c>
      <c r="S126" s="2"/>
      <c r="T126" s="6">
        <v>51.48</v>
      </c>
      <c r="U126" s="2"/>
      <c r="V126" s="7">
        <f t="shared" si="79"/>
        <v>4.1618761906023868E-5</v>
      </c>
      <c r="W126" s="2"/>
      <c r="X126" s="6">
        <f t="shared" si="80"/>
        <v>-51.48</v>
      </c>
      <c r="Y126" s="2"/>
      <c r="Z126" s="7">
        <f t="shared" si="81"/>
        <v>-1</v>
      </c>
    </row>
    <row r="127" spans="1:26" s="24" customFormat="1" hidden="1" outlineLevel="2" x14ac:dyDescent="0.25">
      <c r="A127" s="26"/>
      <c r="B127" s="11" t="str">
        <f>CONCATENATE("          ", "6275", " - ", "SUBSCRIPTIONS")</f>
        <v xml:space="preserve">          6275 - SUBSCRIPTIONS</v>
      </c>
      <c r="C127" s="11"/>
      <c r="D127" s="6"/>
      <c r="E127" s="2"/>
      <c r="F127" s="7">
        <f t="shared" si="74"/>
        <v>0</v>
      </c>
      <c r="G127" s="2"/>
      <c r="H127" s="6">
        <v>129.97999999999999</v>
      </c>
      <c r="I127" s="2"/>
      <c r="J127" s="7">
        <f t="shared" si="75"/>
        <v>5.3310503083728365E-4</v>
      </c>
      <c r="K127" s="2"/>
      <c r="L127" s="6">
        <f t="shared" si="76"/>
        <v>-129.97999999999999</v>
      </c>
      <c r="M127" s="2"/>
      <c r="N127" s="7">
        <f t="shared" si="77"/>
        <v>-1</v>
      </c>
      <c r="O127" s="11"/>
      <c r="P127" s="6">
        <v>385.06</v>
      </c>
      <c r="Q127" s="2"/>
      <c r="R127" s="7">
        <f t="shared" si="78"/>
        <v>2.6523186965971679E-4</v>
      </c>
      <c r="S127" s="2"/>
      <c r="T127" s="6">
        <v>1083.4000000000001</v>
      </c>
      <c r="U127" s="2"/>
      <c r="V127" s="7">
        <f t="shared" si="79"/>
        <v>8.7586959302615123E-4</v>
      </c>
      <c r="W127" s="2"/>
      <c r="X127" s="6">
        <f t="shared" si="80"/>
        <v>-698.34000000000015</v>
      </c>
      <c r="Y127" s="2"/>
      <c r="Z127" s="7">
        <f t="shared" si="81"/>
        <v>-0.6445818718848072</v>
      </c>
    </row>
    <row r="128" spans="1:26" s="25" customFormat="1" outlineLevel="1" collapsed="1" x14ac:dyDescent="0.25">
      <c r="A128" s="27"/>
      <c r="B128" s="13" t="str">
        <f>CONCATENATE("     ","Supplies                                          ")</f>
        <v xml:space="preserve">     Supplies                                          </v>
      </c>
      <c r="C128" s="13"/>
      <c r="D128" s="1">
        <f>SUM(OSRRefD22_18x_0)</f>
        <v>-209.61999999999995</v>
      </c>
      <c r="E128" s="1"/>
      <c r="F128" s="5">
        <f t="shared" ref="F128:F134" si="82">IF(D$12=0,0,D128/D$12)</f>
        <v>-6.3638778014025652E-4</v>
      </c>
      <c r="G128" s="1"/>
      <c r="H128" s="1">
        <f>SUM(OSRRefH22_18x_0)</f>
        <v>418.14</v>
      </c>
      <c r="I128" s="1"/>
      <c r="J128" s="5">
        <f t="shared" ref="J128:J134" si="83">IF(H$12=0,0,H128/H$12)</f>
        <v>1.7149756700592538E-3</v>
      </c>
      <c r="K128" s="1"/>
      <c r="L128" s="1">
        <f t="shared" ref="L128:L134" si="84">+D128-H128</f>
        <v>-627.76</v>
      </c>
      <c r="M128" s="1"/>
      <c r="N128" s="5">
        <f t="shared" ref="N128:N134" si="85">IF(H128=0,0,L128/H128)</f>
        <v>-1.501315348926197</v>
      </c>
      <c r="O128" s="13"/>
      <c r="P128" s="1">
        <f>SUM(OSRRefP22_18x_0)</f>
        <v>3138.7200000000003</v>
      </c>
      <c r="Q128" s="1"/>
      <c r="R128" s="5">
        <f t="shared" ref="R128:R134" si="86">IF(P$12=0,0,P128/P$12)</f>
        <v>2.1619710537016217E-3</v>
      </c>
      <c r="S128" s="1"/>
      <c r="T128" s="1">
        <f>SUM(OSRRefT22_18x_0)</f>
        <v>3803.9500000000003</v>
      </c>
      <c r="U128" s="1"/>
      <c r="V128" s="5">
        <f t="shared" ref="V128:V134" si="87">IF(T$12=0,0,T128/T$12)</f>
        <v>3.0752853409560898E-3</v>
      </c>
      <c r="W128" s="1"/>
      <c r="X128" s="1">
        <f t="shared" ref="X128:X134" si="88">+P128-T128</f>
        <v>-665.23</v>
      </c>
      <c r="Y128" s="1"/>
      <c r="Z128" s="5">
        <f t="shared" ref="Z128:Z134" si="89">IF(T128=0,0,X128/T128)</f>
        <v>-0.1748787444629924</v>
      </c>
    </row>
    <row r="129" spans="1:26" s="24" customFormat="1" hidden="1" outlineLevel="2" x14ac:dyDescent="0.25">
      <c r="A129" s="26"/>
      <c r="B129" s="11" t="str">
        <f>CONCATENATE("          ", "6234", " - ", "EXPENDABLE SUPPLIES &amp; EQUIPMEN")</f>
        <v xml:space="preserve">          6234 - EXPENDABLE SUPPLIES &amp; EQUIPMEN</v>
      </c>
      <c r="C129" s="11"/>
      <c r="D129" s="6">
        <v>36.31</v>
      </c>
      <c r="E129" s="2"/>
      <c r="F129" s="7">
        <f t="shared" si="82"/>
        <v>1.10233948558786E-4</v>
      </c>
      <c r="G129" s="2"/>
      <c r="H129" s="6">
        <v>7.72</v>
      </c>
      <c r="I129" s="2"/>
      <c r="J129" s="7">
        <f t="shared" si="83"/>
        <v>3.1663108463331515E-5</v>
      </c>
      <c r="K129" s="2"/>
      <c r="L129" s="6">
        <f t="shared" si="84"/>
        <v>28.590000000000003</v>
      </c>
      <c r="M129" s="2"/>
      <c r="N129" s="7">
        <f t="shared" si="85"/>
        <v>3.7033678756476691</v>
      </c>
      <c r="O129" s="11"/>
      <c r="P129" s="6">
        <v>20.36</v>
      </c>
      <c r="Q129" s="2"/>
      <c r="R129" s="7">
        <f t="shared" si="86"/>
        <v>1.4024102389943993E-5</v>
      </c>
      <c r="S129" s="2"/>
      <c r="T129" s="6">
        <v>307.72000000000003</v>
      </c>
      <c r="U129" s="2"/>
      <c r="V129" s="7">
        <f t="shared" si="87"/>
        <v>2.4877477493631829E-4</v>
      </c>
      <c r="W129" s="2"/>
      <c r="X129" s="6">
        <f t="shared" si="88"/>
        <v>-287.36</v>
      </c>
      <c r="Y129" s="2"/>
      <c r="Z129" s="7">
        <f t="shared" si="89"/>
        <v>-0.93383595476407122</v>
      </c>
    </row>
    <row r="130" spans="1:26" s="24" customFormat="1" hidden="1" outlineLevel="2" x14ac:dyDescent="0.25">
      <c r="A130" s="26"/>
      <c r="B130" s="11" t="str">
        <f>CONCATENATE("          ", "6237", " - ", "JANITORIAL SUPPLIES")</f>
        <v xml:space="preserve">          6237 - JANITORIAL SUPPLIES</v>
      </c>
      <c r="C130" s="11"/>
      <c r="D130" s="6"/>
      <c r="E130" s="2"/>
      <c r="F130" s="7">
        <f t="shared" si="82"/>
        <v>0</v>
      </c>
      <c r="G130" s="2"/>
      <c r="H130" s="6"/>
      <c r="I130" s="2"/>
      <c r="J130" s="7">
        <f t="shared" si="83"/>
        <v>0</v>
      </c>
      <c r="K130" s="2"/>
      <c r="L130" s="6">
        <f t="shared" si="84"/>
        <v>0</v>
      </c>
      <c r="M130" s="2"/>
      <c r="N130" s="7">
        <f t="shared" si="85"/>
        <v>0</v>
      </c>
      <c r="O130" s="11"/>
      <c r="P130" s="6">
        <v>287.72000000000003</v>
      </c>
      <c r="Q130" s="2"/>
      <c r="R130" s="7">
        <f t="shared" si="86"/>
        <v>1.9818343514905139E-4</v>
      </c>
      <c r="S130" s="2"/>
      <c r="T130" s="6">
        <v>177.88</v>
      </c>
      <c r="U130" s="2"/>
      <c r="V130" s="7">
        <f t="shared" si="87"/>
        <v>1.4380624257660305E-4</v>
      </c>
      <c r="W130" s="2"/>
      <c r="X130" s="6">
        <f t="shared" si="88"/>
        <v>109.84000000000003</v>
      </c>
      <c r="Y130" s="2"/>
      <c r="Z130" s="7">
        <f t="shared" si="89"/>
        <v>0.61749494040926489</v>
      </c>
    </row>
    <row r="131" spans="1:26" s="24" customFormat="1" hidden="1" outlineLevel="2" x14ac:dyDescent="0.25">
      <c r="A131" s="26"/>
      <c r="B131" s="11" t="str">
        <f>CONCATENATE("          ", "6241", " - ", "OFFICE EXPENSE")</f>
        <v xml:space="preserve">          6241 - OFFICE EXPENSE</v>
      </c>
      <c r="C131" s="11"/>
      <c r="D131" s="6">
        <v>322.07</v>
      </c>
      <c r="E131" s="2"/>
      <c r="F131" s="7">
        <f t="shared" si="82"/>
        <v>9.7777603448989821E-4</v>
      </c>
      <c r="G131" s="2"/>
      <c r="H131" s="6">
        <v>191.52</v>
      </c>
      <c r="I131" s="2"/>
      <c r="J131" s="7">
        <f t="shared" si="83"/>
        <v>7.8550758198150938E-4</v>
      </c>
      <c r="K131" s="2"/>
      <c r="L131" s="6">
        <f t="shared" si="84"/>
        <v>130.54999999999998</v>
      </c>
      <c r="M131" s="2"/>
      <c r="N131" s="7">
        <f t="shared" si="85"/>
        <v>0.68165204678362556</v>
      </c>
      <c r="O131" s="11"/>
      <c r="P131" s="6">
        <v>3105.85</v>
      </c>
      <c r="Q131" s="2"/>
      <c r="R131" s="7">
        <f t="shared" si="86"/>
        <v>2.1393299807371097E-3</v>
      </c>
      <c r="S131" s="2"/>
      <c r="T131" s="6">
        <v>1585.89</v>
      </c>
      <c r="U131" s="2"/>
      <c r="V131" s="7">
        <f t="shared" si="87"/>
        <v>1.2821052509546271E-3</v>
      </c>
      <c r="W131" s="2"/>
      <c r="X131" s="6">
        <f t="shared" si="88"/>
        <v>1519.9599999999998</v>
      </c>
      <c r="Y131" s="2"/>
      <c r="Z131" s="7">
        <f t="shared" si="89"/>
        <v>0.95842712924603835</v>
      </c>
    </row>
    <row r="132" spans="1:26" s="24" customFormat="1" hidden="1" outlineLevel="2" x14ac:dyDescent="0.25">
      <c r="A132" s="26"/>
      <c r="B132" s="11" t="str">
        <f>CONCATENATE("          ", "6245", " - ", "PRINTING")</f>
        <v xml:space="preserve">          6245 - PRINTING</v>
      </c>
      <c r="C132" s="11"/>
      <c r="D132" s="6">
        <v>-617.17999999999995</v>
      </c>
      <c r="E132" s="2"/>
      <c r="F132" s="7">
        <f t="shared" si="82"/>
        <v>-1.8737038934594199E-3</v>
      </c>
      <c r="G132" s="2"/>
      <c r="H132" s="6"/>
      <c r="I132" s="2"/>
      <c r="J132" s="7">
        <f t="shared" si="83"/>
        <v>0</v>
      </c>
      <c r="K132" s="2"/>
      <c r="L132" s="6">
        <f t="shared" si="84"/>
        <v>-617.17999999999995</v>
      </c>
      <c r="M132" s="2"/>
      <c r="N132" s="7">
        <f t="shared" si="85"/>
        <v>0</v>
      </c>
      <c r="O132" s="11"/>
      <c r="P132" s="6">
        <v>-617.17999999999995</v>
      </c>
      <c r="Q132" s="2"/>
      <c r="R132" s="7">
        <f t="shared" si="86"/>
        <v>-4.2511765781068925E-4</v>
      </c>
      <c r="S132" s="2"/>
      <c r="T132" s="6">
        <v>970.75</v>
      </c>
      <c r="U132" s="2"/>
      <c r="V132" s="7">
        <f t="shared" si="87"/>
        <v>7.8479823465953124E-4</v>
      </c>
      <c r="W132" s="2"/>
      <c r="X132" s="6">
        <f t="shared" si="88"/>
        <v>-1587.9299999999998</v>
      </c>
      <c r="Y132" s="2"/>
      <c r="Z132" s="7">
        <f t="shared" si="89"/>
        <v>-1.635776461498841</v>
      </c>
    </row>
    <row r="133" spans="1:26" s="24" customFormat="1" hidden="1" outlineLevel="2" x14ac:dyDescent="0.25">
      <c r="A133" s="26"/>
      <c r="B133" s="11" t="str">
        <f>CONCATENATE("          ", "6247", " - ", "STORE SUPPLIES")</f>
        <v xml:space="preserve">          6247 - STORE SUPPLIES</v>
      </c>
      <c r="C133" s="11"/>
      <c r="D133" s="6">
        <v>49.18</v>
      </c>
      <c r="E133" s="2"/>
      <c r="F133" s="7">
        <f t="shared" si="82"/>
        <v>1.4930613027047909E-4</v>
      </c>
      <c r="G133" s="2"/>
      <c r="H133" s="6">
        <v>119.9</v>
      </c>
      <c r="I133" s="2"/>
      <c r="J133" s="7">
        <f t="shared" si="83"/>
        <v>4.9176252652246752E-4</v>
      </c>
      <c r="K133" s="2"/>
      <c r="L133" s="6">
        <f t="shared" si="84"/>
        <v>-70.72</v>
      </c>
      <c r="M133" s="2"/>
      <c r="N133" s="7">
        <f t="shared" si="85"/>
        <v>-0.58982485404503748</v>
      </c>
      <c r="O133" s="11"/>
      <c r="P133" s="6">
        <v>341.97</v>
      </c>
      <c r="Q133" s="2"/>
      <c r="R133" s="7">
        <f t="shared" si="86"/>
        <v>2.355511932362057E-4</v>
      </c>
      <c r="S133" s="2"/>
      <c r="T133" s="6">
        <v>662.71</v>
      </c>
      <c r="U133" s="2"/>
      <c r="V133" s="7">
        <f t="shared" si="87"/>
        <v>5.3576475724050271E-4</v>
      </c>
      <c r="W133" s="2"/>
      <c r="X133" s="6">
        <f t="shared" si="88"/>
        <v>-320.74</v>
      </c>
      <c r="Y133" s="2"/>
      <c r="Z133" s="7">
        <f t="shared" si="89"/>
        <v>-0.48398243575621314</v>
      </c>
    </row>
    <row r="134" spans="1:26" s="24" customFormat="1" hidden="1" outlineLevel="2" x14ac:dyDescent="0.25">
      <c r="A134" s="26"/>
      <c r="B134" s="11" t="str">
        <f>CONCATENATE("          ", "6248", " - ", "UNIFORMS")</f>
        <v xml:space="preserve">          6248 - UNIFORMS</v>
      </c>
      <c r="C134" s="11"/>
      <c r="D134" s="6"/>
      <c r="E134" s="2"/>
      <c r="F134" s="7">
        <f t="shared" si="82"/>
        <v>0</v>
      </c>
      <c r="G134" s="2"/>
      <c r="H134" s="6">
        <v>99</v>
      </c>
      <c r="I134" s="2"/>
      <c r="J134" s="7">
        <f t="shared" si="83"/>
        <v>4.0604245309194559E-4</v>
      </c>
      <c r="K134" s="2"/>
      <c r="L134" s="6">
        <f t="shared" si="84"/>
        <v>-99</v>
      </c>
      <c r="M134" s="2"/>
      <c r="N134" s="7">
        <f t="shared" si="85"/>
        <v>-1</v>
      </c>
      <c r="O134" s="11"/>
      <c r="P134" s="6"/>
      <c r="Q134" s="2"/>
      <c r="R134" s="7">
        <f t="shared" si="86"/>
        <v>0</v>
      </c>
      <c r="S134" s="2"/>
      <c r="T134" s="6">
        <v>99</v>
      </c>
      <c r="U134" s="2"/>
      <c r="V134" s="7">
        <f t="shared" si="87"/>
        <v>8.0036080588507443E-5</v>
      </c>
      <c r="W134" s="2"/>
      <c r="X134" s="6">
        <f t="shared" si="88"/>
        <v>-99</v>
      </c>
      <c r="Y134" s="2"/>
      <c r="Z134" s="7">
        <f t="shared" si="89"/>
        <v>-1</v>
      </c>
    </row>
    <row r="135" spans="1:26" s="25" customFormat="1" outlineLevel="1" collapsed="1" x14ac:dyDescent="0.25">
      <c r="A135" s="27"/>
      <c r="B135" s="13" t="str">
        <f>CONCATENATE("     ","Telephone/Data Lines                              ")</f>
        <v xml:space="preserve">     Telephone/Data Lines                              </v>
      </c>
      <c r="C135" s="13"/>
      <c r="D135" s="1">
        <f>SUM(OSRRefD22_19x_0)</f>
        <v>641.71</v>
      </c>
      <c r="E135" s="1"/>
      <c r="F135" s="5">
        <f t="shared" ref="F135:F141" si="90">IF(D$12=0,0,D135/D$12)</f>
        <v>1.9481748039013652E-3</v>
      </c>
      <c r="G135" s="1"/>
      <c r="H135" s="1">
        <f>SUM(OSRRefH22_19x_0)</f>
        <v>1029.5</v>
      </c>
      <c r="I135" s="1"/>
      <c r="J135" s="5">
        <f t="shared" ref="J135:J141" si="91">IF(H$12=0,0,H135/H$12)</f>
        <v>4.2224313682642225E-3</v>
      </c>
      <c r="K135" s="1"/>
      <c r="L135" s="1">
        <f t="shared" ref="L135:L141" si="92">+D135-H135</f>
        <v>-387.78999999999996</v>
      </c>
      <c r="M135" s="1"/>
      <c r="N135" s="5">
        <f t="shared" ref="N135:N141" si="93">IF(H135=0,0,L135/H135)</f>
        <v>-0.37667799902865468</v>
      </c>
      <c r="O135" s="13"/>
      <c r="P135" s="1">
        <f>SUM(OSRRefP22_19x_0)</f>
        <v>4659.8</v>
      </c>
      <c r="Q135" s="1"/>
      <c r="R135" s="5">
        <f t="shared" ref="R135:R141" si="94">IF(P$12=0,0,P135/P$12)</f>
        <v>3.2097009978713665E-3</v>
      </c>
      <c r="S135" s="1"/>
      <c r="T135" s="1">
        <f>SUM(OSRRefT22_19x_0)</f>
        <v>4990.47</v>
      </c>
      <c r="U135" s="1"/>
      <c r="V135" s="5">
        <f t="shared" ref="V135:V141" si="95">IF(T$12=0,0,T135/T$12)</f>
        <v>4.0345218090356441E-3</v>
      </c>
      <c r="W135" s="1"/>
      <c r="X135" s="1">
        <f t="shared" ref="X135:X141" si="96">+P135-T135</f>
        <v>-330.67000000000007</v>
      </c>
      <c r="Y135" s="1"/>
      <c r="Z135" s="5">
        <f t="shared" ref="Z135:Z141" si="97">IF(T135=0,0,X135/T135)</f>
        <v>-6.6260292116774588E-2</v>
      </c>
    </row>
    <row r="136" spans="1:26" s="24" customFormat="1" hidden="1" outlineLevel="2" x14ac:dyDescent="0.25">
      <c r="A136" s="26"/>
      <c r="B136" s="11" t="str">
        <f>CONCATENATE("          ", "6309", " - ", "TELEPHONE")</f>
        <v xml:space="preserve">          6309 - TELEPHONE</v>
      </c>
      <c r="C136" s="11"/>
      <c r="D136" s="6">
        <v>641.71</v>
      </c>
      <c r="E136" s="2"/>
      <c r="F136" s="7">
        <f t="shared" si="90"/>
        <v>1.9481748039013652E-3</v>
      </c>
      <c r="G136" s="2"/>
      <c r="H136" s="6">
        <v>1029.5</v>
      </c>
      <c r="I136" s="2"/>
      <c r="J136" s="7">
        <f t="shared" si="91"/>
        <v>4.2224313682642225E-3</v>
      </c>
      <c r="K136" s="2"/>
      <c r="L136" s="6">
        <f t="shared" si="92"/>
        <v>-387.78999999999996</v>
      </c>
      <c r="M136" s="2"/>
      <c r="N136" s="7">
        <f t="shared" si="93"/>
        <v>-0.37667799902865468</v>
      </c>
      <c r="O136" s="11"/>
      <c r="P136" s="6">
        <v>4659.8</v>
      </c>
      <c r="Q136" s="2"/>
      <c r="R136" s="7">
        <f t="shared" si="94"/>
        <v>3.2097009978713665E-3</v>
      </c>
      <c r="S136" s="2"/>
      <c r="T136" s="6">
        <v>4990.47</v>
      </c>
      <c r="U136" s="2"/>
      <c r="V136" s="7">
        <f t="shared" si="95"/>
        <v>4.0345218090356441E-3</v>
      </c>
      <c r="W136" s="2"/>
      <c r="X136" s="6">
        <f t="shared" si="96"/>
        <v>-330.67000000000007</v>
      </c>
      <c r="Y136" s="2"/>
      <c r="Z136" s="7">
        <f t="shared" si="97"/>
        <v>-6.6260292116774588E-2</v>
      </c>
    </row>
    <row r="137" spans="1:26" s="25" customFormat="1" outlineLevel="1" collapsed="1" x14ac:dyDescent="0.25">
      <c r="A137" s="27"/>
      <c r="B137" s="13" t="str">
        <f>CONCATENATE("     ","Training                                          ")</f>
        <v xml:space="preserve">     Training                                          </v>
      </c>
      <c r="C137" s="13"/>
      <c r="D137" s="1">
        <f>SUM(OSRRefD22_20x_0)</f>
        <v>233.12</v>
      </c>
      <c r="E137" s="1"/>
      <c r="F137" s="5">
        <f t="shared" si="90"/>
        <v>7.0773170168064422E-4</v>
      </c>
      <c r="G137" s="1"/>
      <c r="H137" s="1">
        <f>SUM(OSRRefH22_20x_0)</f>
        <v>0</v>
      </c>
      <c r="I137" s="1"/>
      <c r="J137" s="5">
        <f t="shared" si="91"/>
        <v>0</v>
      </c>
      <c r="K137" s="1"/>
      <c r="L137" s="1">
        <f t="shared" si="92"/>
        <v>233.12</v>
      </c>
      <c r="M137" s="1"/>
      <c r="N137" s="5">
        <f t="shared" si="93"/>
        <v>0</v>
      </c>
      <c r="O137" s="13"/>
      <c r="P137" s="1">
        <f>SUM(OSRRefP22_20x_0)</f>
        <v>1379.18</v>
      </c>
      <c r="Q137" s="1"/>
      <c r="R137" s="5">
        <f t="shared" si="94"/>
        <v>9.4998828753256181E-4</v>
      </c>
      <c r="S137" s="1"/>
      <c r="T137" s="1">
        <f>SUM(OSRRefT22_20x_0)</f>
        <v>741</v>
      </c>
      <c r="U137" s="1"/>
      <c r="V137" s="5">
        <f t="shared" si="95"/>
        <v>5.9905793652610109E-4</v>
      </c>
      <c r="W137" s="1"/>
      <c r="X137" s="1">
        <f t="shared" si="96"/>
        <v>638.18000000000006</v>
      </c>
      <c r="Y137" s="1"/>
      <c r="Z137" s="5">
        <f t="shared" si="97"/>
        <v>0.86124156545209185</v>
      </c>
    </row>
    <row r="138" spans="1:26" s="24" customFormat="1" hidden="1" outlineLevel="2" x14ac:dyDescent="0.25">
      <c r="A138" s="26"/>
      <c r="B138" s="11" t="str">
        <f>CONCATENATE("          ", "6376", " - ", "TRAINING")</f>
        <v xml:space="preserve">          6376 - TRAINING</v>
      </c>
      <c r="C138" s="11"/>
      <c r="D138" s="6">
        <v>233.12</v>
      </c>
      <c r="E138" s="2"/>
      <c r="F138" s="7">
        <f t="shared" si="90"/>
        <v>7.0773170168064422E-4</v>
      </c>
      <c r="G138" s="2"/>
      <c r="H138" s="6"/>
      <c r="I138" s="2"/>
      <c r="J138" s="7">
        <f t="shared" si="91"/>
        <v>0</v>
      </c>
      <c r="K138" s="2"/>
      <c r="L138" s="6">
        <f t="shared" si="92"/>
        <v>233.12</v>
      </c>
      <c r="M138" s="2"/>
      <c r="N138" s="7">
        <f t="shared" si="93"/>
        <v>0</v>
      </c>
      <c r="O138" s="11"/>
      <c r="P138" s="6">
        <v>1379.18</v>
      </c>
      <c r="Q138" s="2"/>
      <c r="R138" s="7">
        <f t="shared" si="94"/>
        <v>9.4998828753256181E-4</v>
      </c>
      <c r="S138" s="2"/>
      <c r="T138" s="6">
        <v>741</v>
      </c>
      <c r="U138" s="2"/>
      <c r="V138" s="7">
        <f t="shared" si="95"/>
        <v>5.9905793652610109E-4</v>
      </c>
      <c r="W138" s="2"/>
      <c r="X138" s="6">
        <f t="shared" si="96"/>
        <v>638.18000000000006</v>
      </c>
      <c r="Y138" s="2"/>
      <c r="Z138" s="7">
        <f t="shared" si="97"/>
        <v>0.86124156545209185</v>
      </c>
    </row>
    <row r="139" spans="1:26" s="25" customFormat="1" outlineLevel="1" collapsed="1" x14ac:dyDescent="0.25">
      <c r="A139" s="27"/>
      <c r="B139" s="13" t="str">
        <f>CONCATENATE("     ","Travel                                            ")</f>
        <v xml:space="preserve">     Travel                                            </v>
      </c>
      <c r="C139" s="13"/>
      <c r="D139" s="1">
        <f>SUM(OSRRefD22_21x_0)</f>
        <v>241.66</v>
      </c>
      <c r="E139" s="1"/>
      <c r="F139" s="5">
        <f t="shared" si="90"/>
        <v>7.3365838635957659E-4</v>
      </c>
      <c r="G139" s="1"/>
      <c r="H139" s="1">
        <f>SUM(OSRRefH22_21x_0)</f>
        <v>55.7</v>
      </c>
      <c r="I139" s="1"/>
      <c r="J139" s="5">
        <f t="shared" si="91"/>
        <v>2.2845014785072092E-4</v>
      </c>
      <c r="K139" s="1"/>
      <c r="L139" s="1">
        <f t="shared" si="92"/>
        <v>185.95999999999998</v>
      </c>
      <c r="M139" s="1"/>
      <c r="N139" s="5">
        <f t="shared" si="93"/>
        <v>3.3385996409335723</v>
      </c>
      <c r="O139" s="13"/>
      <c r="P139" s="1">
        <f>SUM(OSRRefP22_21x_0)</f>
        <v>785.17</v>
      </c>
      <c r="Q139" s="1"/>
      <c r="R139" s="5">
        <f t="shared" si="94"/>
        <v>5.4083027865974096E-4</v>
      </c>
      <c r="S139" s="1"/>
      <c r="T139" s="1">
        <f>SUM(OSRRefT22_21x_0)</f>
        <v>393.3</v>
      </c>
      <c r="U139" s="1"/>
      <c r="V139" s="5">
        <f t="shared" si="95"/>
        <v>3.1796152015616138E-4</v>
      </c>
      <c r="W139" s="1"/>
      <c r="X139" s="1">
        <f t="shared" si="96"/>
        <v>391.86999999999995</v>
      </c>
      <c r="Y139" s="1"/>
      <c r="Z139" s="5">
        <f t="shared" si="97"/>
        <v>0.99636409865242803</v>
      </c>
    </row>
    <row r="140" spans="1:26" s="24" customFormat="1" hidden="1" outlineLevel="2" x14ac:dyDescent="0.25">
      <c r="A140" s="26"/>
      <c r="B140" s="11" t="str">
        <f>CONCATENATE("          ", "6292", " - ", "TRAVEL/CONFERENCE")</f>
        <v xml:space="preserve">          6292 - TRAVEL/CONFERENCE</v>
      </c>
      <c r="C140" s="11"/>
      <c r="D140" s="6"/>
      <c r="E140" s="2"/>
      <c r="F140" s="7">
        <f t="shared" si="90"/>
        <v>0</v>
      </c>
      <c r="G140" s="2"/>
      <c r="H140" s="6"/>
      <c r="I140" s="2"/>
      <c r="J140" s="7">
        <f t="shared" si="91"/>
        <v>0</v>
      </c>
      <c r="K140" s="2"/>
      <c r="L140" s="6">
        <f t="shared" si="92"/>
        <v>0</v>
      </c>
      <c r="M140" s="2"/>
      <c r="N140" s="7">
        <f t="shared" si="93"/>
        <v>0</v>
      </c>
      <c r="O140" s="11"/>
      <c r="P140" s="6">
        <v>107.04</v>
      </c>
      <c r="Q140" s="2"/>
      <c r="R140" s="7">
        <f t="shared" si="94"/>
        <v>7.3729858537308708E-5</v>
      </c>
      <c r="S140" s="2"/>
      <c r="T140" s="6"/>
      <c r="U140" s="2"/>
      <c r="V140" s="7">
        <f t="shared" si="95"/>
        <v>0</v>
      </c>
      <c r="W140" s="2"/>
      <c r="X140" s="6">
        <f t="shared" si="96"/>
        <v>107.04</v>
      </c>
      <c r="Y140" s="2"/>
      <c r="Z140" s="7">
        <f t="shared" si="97"/>
        <v>0</v>
      </c>
    </row>
    <row r="141" spans="1:26" s="24" customFormat="1" hidden="1" outlineLevel="2" x14ac:dyDescent="0.25">
      <c r="A141" s="26"/>
      <c r="B141" s="11" t="str">
        <f>CONCATENATE("          ", "6294", " - ", "TRAVEL OPERATIONAL")</f>
        <v xml:space="preserve">          6294 - TRAVEL OPERATIONAL</v>
      </c>
      <c r="C141" s="11"/>
      <c r="D141" s="6">
        <v>241.66</v>
      </c>
      <c r="E141" s="2"/>
      <c r="F141" s="7">
        <f t="shared" si="90"/>
        <v>7.3365838635957659E-4</v>
      </c>
      <c r="G141" s="2"/>
      <c r="H141" s="6">
        <v>55.7</v>
      </c>
      <c r="I141" s="2"/>
      <c r="J141" s="7">
        <f t="shared" si="91"/>
        <v>2.2845014785072092E-4</v>
      </c>
      <c r="K141" s="2"/>
      <c r="L141" s="6">
        <f t="shared" si="92"/>
        <v>185.95999999999998</v>
      </c>
      <c r="M141" s="2"/>
      <c r="N141" s="7">
        <f t="shared" si="93"/>
        <v>3.3385996409335723</v>
      </c>
      <c r="O141" s="11"/>
      <c r="P141" s="6">
        <v>678.13</v>
      </c>
      <c r="Q141" s="2"/>
      <c r="R141" s="7">
        <f t="shared" si="94"/>
        <v>4.6710042012243226E-4</v>
      </c>
      <c r="S141" s="2"/>
      <c r="T141" s="6">
        <v>393.3</v>
      </c>
      <c r="U141" s="2"/>
      <c r="V141" s="7">
        <f t="shared" si="95"/>
        <v>3.1796152015616138E-4</v>
      </c>
      <c r="W141" s="2"/>
      <c r="X141" s="6">
        <f t="shared" si="96"/>
        <v>284.83</v>
      </c>
      <c r="Y141" s="2"/>
      <c r="Z141" s="7">
        <f t="shared" si="97"/>
        <v>0.72420544113907948</v>
      </c>
    </row>
    <row r="142" spans="1:26" s="25" customFormat="1" outlineLevel="1" collapsed="1" x14ac:dyDescent="0.25">
      <c r="A142" s="27"/>
      <c r="B142" s="13" t="str">
        <f>CONCATENATE("     ","Utilities                                         ")</f>
        <v xml:space="preserve">     Utilities                                         </v>
      </c>
      <c r="C142" s="13"/>
      <c r="D142" s="1">
        <f>SUM(OSRRefD22_22x_0)</f>
        <v>31.26</v>
      </c>
      <c r="E142" s="1"/>
      <c r="F142" s="5">
        <f t="shared" ref="F142:F143" si="98">IF(D$12=0,0,D142/D$12)</f>
        <v>9.4902595206489964E-5</v>
      </c>
      <c r="G142" s="1"/>
      <c r="H142" s="1">
        <f>SUM(OSRRefH22_22x_0)</f>
        <v>55.99</v>
      </c>
      <c r="I142" s="1"/>
      <c r="J142" s="5">
        <f t="shared" ref="J142:J143" si="99">IF(H$12=0,0,H142/H$12)</f>
        <v>2.2963956513755591E-4</v>
      </c>
      <c r="K142" s="1"/>
      <c r="L142" s="1">
        <f t="shared" ref="L142:L143" si="100">+D142-H142</f>
        <v>-24.73</v>
      </c>
      <c r="M142" s="1"/>
      <c r="N142" s="5">
        <f t="shared" ref="N142:N143" si="101">IF(H142=0,0,L142/H142)</f>
        <v>-0.44168601535988566</v>
      </c>
      <c r="O142" s="13"/>
      <c r="P142" s="1">
        <f>SUM(OSRRefP22_22x_0)</f>
        <v>226.92</v>
      </c>
      <c r="Q142" s="1"/>
      <c r="R142" s="5">
        <f t="shared" ref="R142:R143" si="102">IF(P$12=0,0,P142/P$12)</f>
        <v>1.5630399382741115E-4</v>
      </c>
      <c r="S142" s="1"/>
      <c r="T142" s="1">
        <f>SUM(OSRRefT22_22x_0)</f>
        <v>317.24</v>
      </c>
      <c r="U142" s="1"/>
      <c r="V142" s="5">
        <f t="shared" ref="V142:V143" si="103">IF(T$12=0,0,T142/T$12)</f>
        <v>2.564711737969505E-4</v>
      </c>
      <c r="W142" s="1"/>
      <c r="X142" s="1">
        <f t="shared" ref="X142:X143" si="104">+P142-T142</f>
        <v>-90.320000000000022</v>
      </c>
      <c r="Y142" s="1"/>
      <c r="Z142" s="5">
        <f t="shared" ref="Z142:Z143" si="105">IF(T142=0,0,X142/T142)</f>
        <v>-0.28470558567645954</v>
      </c>
    </row>
    <row r="143" spans="1:26" s="24" customFormat="1" hidden="1" outlineLevel="2" x14ac:dyDescent="0.25">
      <c r="A143" s="26"/>
      <c r="B143" s="11" t="str">
        <f>CONCATENATE("          ", "6274", " - ", "UTILITIES")</f>
        <v xml:space="preserve">          6274 - UTILITIES</v>
      </c>
      <c r="C143" s="11"/>
      <c r="D143" s="6">
        <v>31.26</v>
      </c>
      <c r="E143" s="2"/>
      <c r="F143" s="7">
        <f t="shared" si="98"/>
        <v>9.4902595206489964E-5</v>
      </c>
      <c r="G143" s="2"/>
      <c r="H143" s="6">
        <v>55.99</v>
      </c>
      <c r="I143" s="2"/>
      <c r="J143" s="7">
        <f t="shared" si="99"/>
        <v>2.2963956513755591E-4</v>
      </c>
      <c r="K143" s="2"/>
      <c r="L143" s="6">
        <f t="shared" si="100"/>
        <v>-24.73</v>
      </c>
      <c r="M143" s="2"/>
      <c r="N143" s="7">
        <f t="shared" si="101"/>
        <v>-0.44168601535988566</v>
      </c>
      <c r="O143" s="11"/>
      <c r="P143" s="6">
        <v>226.92</v>
      </c>
      <c r="Q143" s="2"/>
      <c r="R143" s="7">
        <f t="shared" si="102"/>
        <v>1.5630399382741115E-4</v>
      </c>
      <c r="S143" s="2"/>
      <c r="T143" s="6">
        <v>317.24</v>
      </c>
      <c r="U143" s="2"/>
      <c r="V143" s="7">
        <f t="shared" si="103"/>
        <v>2.564711737969505E-4</v>
      </c>
      <c r="W143" s="2"/>
      <c r="X143" s="6">
        <f t="shared" si="104"/>
        <v>-90.320000000000022</v>
      </c>
      <c r="Y143" s="2"/>
      <c r="Z143" s="7">
        <f t="shared" si="105"/>
        <v>-0.28470558567645954</v>
      </c>
    </row>
    <row r="144" spans="1:26" s="53" customFormat="1" x14ac:dyDescent="0.25">
      <c r="A144" s="37"/>
      <c r="B144" s="37"/>
      <c r="C144" s="37"/>
      <c r="D144" s="1"/>
      <c r="E144" s="1"/>
      <c r="F144" s="5"/>
      <c r="G144" s="1"/>
      <c r="H144" s="1"/>
      <c r="I144" s="1"/>
      <c r="J144" s="5"/>
      <c r="K144" s="1"/>
      <c r="L144" s="1"/>
      <c r="M144" s="1"/>
      <c r="N144" s="5"/>
      <c r="O144" s="37"/>
      <c r="P144" s="1"/>
      <c r="Q144" s="1"/>
      <c r="R144" s="5"/>
      <c r="S144" s="1"/>
      <c r="T144" s="1"/>
      <c r="U144" s="1"/>
      <c r="V144" s="5"/>
      <c r="W144" s="1"/>
      <c r="X144" s="1"/>
      <c r="Y144" s="1"/>
      <c r="Z144" s="5"/>
    </row>
    <row r="145" spans="1:26" s="23" customFormat="1" collapsed="1" x14ac:dyDescent="0.25">
      <c r="A145" s="10"/>
      <c r="B145" s="28" t="s">
        <v>0</v>
      </c>
      <c r="C145" s="10"/>
      <c r="D145" s="4">
        <f>SUM(OSRRefD25x_0)</f>
        <v>433.18</v>
      </c>
      <c r="E145" s="4"/>
      <c r="F145" s="12">
        <f t="shared" ref="F145:F146" si="106">IF(D$12=0,0,D145/D$12)</f>
        <v>1.3150961673559604E-3</v>
      </c>
      <c r="G145" s="4"/>
      <c r="H145" s="4">
        <f>SUM(OSRRefH25x_0)</f>
        <v>0</v>
      </c>
      <c r="I145" s="4"/>
      <c r="J145" s="12">
        <f t="shared" ref="J145:J146" si="107">IF(H$12=0,0,H145/H$12)</f>
        <v>0</v>
      </c>
      <c r="K145" s="4"/>
      <c r="L145" s="4">
        <f t="shared" ref="L145:L146" si="108">+D145-H145</f>
        <v>433.18</v>
      </c>
      <c r="M145" s="4"/>
      <c r="N145" s="12">
        <f t="shared" ref="N145:N146" si="109">IF(H145=0,0,L145/H145)</f>
        <v>0</v>
      </c>
      <c r="O145" s="10"/>
      <c r="P145" s="4">
        <f>SUM(OSRRefP25x_0)</f>
        <v>14830.16</v>
      </c>
      <c r="Q145" s="4"/>
      <c r="R145" s="12">
        <f t="shared" ref="R145:R146" si="110">IF(P$12=0,0,P145/P$12)</f>
        <v>1.0215112097212761E-2</v>
      </c>
      <c r="S145" s="4"/>
      <c r="T145" s="4">
        <f>SUM(OSRRefT25x_0)</f>
        <v>45451.3</v>
      </c>
      <c r="U145" s="4"/>
      <c r="V145" s="12">
        <f t="shared" ref="V145:V146" si="111">IF(T$12=0,0,T145/T$12)</f>
        <v>3.6744887976287159E-2</v>
      </c>
      <c r="W145" s="4"/>
      <c r="X145" s="4">
        <f t="shared" ref="X145:X146" si="112">+P145-T145</f>
        <v>-30621.140000000003</v>
      </c>
      <c r="Y145" s="4"/>
      <c r="Z145" s="12">
        <f t="shared" ref="Z145:Z146" si="113">IF(T145=0,0,X145/T145)</f>
        <v>-0.67371318312127493</v>
      </c>
    </row>
    <row r="146" spans="1:26" s="24" customFormat="1" hidden="1" outlineLevel="1" x14ac:dyDescent="0.25">
      <c r="A146" s="44"/>
      <c r="B146" s="11" t="str">
        <f>CONCATENATE("          ", "9150", " - ", "MISC. INCOME")</f>
        <v xml:space="preserve">          9150 - MISC. INCOME</v>
      </c>
      <c r="C146" s="11"/>
      <c r="D146" s="2">
        <f>--433.18</f>
        <v>433.18</v>
      </c>
      <c r="E146" s="2"/>
      <c r="F146" s="19">
        <f t="shared" si="106"/>
        <v>1.3150961673559604E-3</v>
      </c>
      <c r="G146" s="2"/>
      <c r="H146" s="2">
        <f>0</f>
        <v>0</v>
      </c>
      <c r="I146" s="2"/>
      <c r="J146" s="19">
        <f t="shared" si="107"/>
        <v>0</v>
      </c>
      <c r="K146" s="2"/>
      <c r="L146" s="2">
        <f t="shared" si="108"/>
        <v>433.18</v>
      </c>
      <c r="M146" s="2"/>
      <c r="N146" s="19">
        <f t="shared" si="109"/>
        <v>0</v>
      </c>
      <c r="O146" s="11"/>
      <c r="P146" s="2">
        <f>--14830.16</f>
        <v>14830.16</v>
      </c>
      <c r="Q146" s="2"/>
      <c r="R146" s="19">
        <f t="shared" si="110"/>
        <v>1.0215112097212761E-2</v>
      </c>
      <c r="S146" s="2"/>
      <c r="T146" s="2">
        <f>--45451.3</f>
        <v>45451.3</v>
      </c>
      <c r="U146" s="2"/>
      <c r="V146" s="19">
        <f t="shared" si="111"/>
        <v>3.6744887976287159E-2</v>
      </c>
      <c r="W146" s="2"/>
      <c r="X146" s="2">
        <f t="shared" si="112"/>
        <v>-30621.140000000003</v>
      </c>
      <c r="Y146" s="2"/>
      <c r="Z146" s="19">
        <f t="shared" si="113"/>
        <v>-0.67371318312127493</v>
      </c>
    </row>
    <row r="147" spans="1:26" x14ac:dyDescent="0.25">
      <c r="A147" s="9"/>
      <c r="B147" s="10"/>
      <c r="C147" s="10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O147" s="10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x14ac:dyDescent="0.25">
      <c r="A148" s="10"/>
      <c r="B148" s="29" t="s">
        <v>3</v>
      </c>
      <c r="C148" s="29"/>
      <c r="D148" s="21">
        <f>+D69-D71+D145</f>
        <v>69647.549999999945</v>
      </c>
      <c r="E148" s="14"/>
      <c r="F148" s="20">
        <f>IF(D$12=0,0,D148/D$12)</f>
        <v>0.21144380181617928</v>
      </c>
      <c r="G148" s="14"/>
      <c r="H148" s="21">
        <f>+H69-H71+H145</f>
        <v>62350.89</v>
      </c>
      <c r="I148" s="14"/>
      <c r="J148" s="20">
        <f>IF(H$12=0,0,H148/H$12)</f>
        <v>0.25572836695016221</v>
      </c>
      <c r="K148" s="15"/>
      <c r="L148" s="21">
        <f>+D148-H148</f>
        <v>7296.6599999999453</v>
      </c>
      <c r="M148" s="15"/>
      <c r="N148" s="20">
        <f>IF(H148=0,0,L148/H148)</f>
        <v>0.11702575536612141</v>
      </c>
      <c r="O148" s="28"/>
      <c r="P148" s="21">
        <f>+P69-P71+P145</f>
        <v>343153.81000000046</v>
      </c>
      <c r="Q148" s="14"/>
      <c r="R148" s="20">
        <f>IF(P$12=0,0,P148/P$12)</f>
        <v>0.23636660937816276</v>
      </c>
      <c r="S148" s="14"/>
      <c r="T148" s="21">
        <f>+T69-T71+T145</f>
        <v>338567.86999999965</v>
      </c>
      <c r="U148" s="14"/>
      <c r="V148" s="20">
        <f>IF(T$12=0,0,T148/T$12)</f>
        <v>0.2737135891717099</v>
      </c>
      <c r="W148" s="15"/>
      <c r="X148" s="21">
        <f>+P148-T148</f>
        <v>4585.9400000008172</v>
      </c>
      <c r="Y148" s="15"/>
      <c r="Z148" s="20">
        <f>IF(T148=0,0,X148/T148)</f>
        <v>1.3545112830703109E-2</v>
      </c>
    </row>
    <row r="149" spans="1:26" x14ac:dyDescent="0.25">
      <c r="A149" s="9"/>
      <c r="B149" s="10"/>
      <c r="C149" s="9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s="23" customFormat="1" x14ac:dyDescent="0.25">
      <c r="A150" s="51"/>
      <c r="B150" s="10" t="s">
        <v>13</v>
      </c>
      <c r="C150" s="10"/>
      <c r="D150" s="4">
        <v>40751.11</v>
      </c>
      <c r="E150" s="4"/>
      <c r="F150" s="12">
        <f>IF(D$12=0,0,D150/D$12)</f>
        <v>0.12371676572441283</v>
      </c>
      <c r="G150" s="4"/>
      <c r="H150" s="4">
        <v>38945.590000000004</v>
      </c>
      <c r="I150" s="4"/>
      <c r="J150" s="12">
        <f>IF(H$12=0,0,H150/H$12)</f>
        <v>0.15973295859306211</v>
      </c>
      <c r="K150" s="4"/>
      <c r="L150" s="4">
        <f>+D150-H150</f>
        <v>1805.5199999999968</v>
      </c>
      <c r="M150" s="4"/>
      <c r="N150" s="12">
        <f>IF(H150=0,0,L150/H150)</f>
        <v>4.6360062846653415E-2</v>
      </c>
      <c r="O150" s="10"/>
      <c r="P150" s="4">
        <v>153734.35</v>
      </c>
      <c r="Q150" s="4"/>
      <c r="R150" s="12">
        <f>IF(P$12=0,0,P150/P$12)</f>
        <v>0.10589323503199835</v>
      </c>
      <c r="S150" s="4"/>
      <c r="T150" s="4">
        <v>130154.01</v>
      </c>
      <c r="U150" s="4"/>
      <c r="V150" s="12">
        <f>IF(T$12=0,0,T150/T$12)</f>
        <v>0.1052223922553273</v>
      </c>
      <c r="W150" s="4"/>
      <c r="X150" s="4">
        <f>+P150-T150</f>
        <v>23580.340000000011</v>
      </c>
      <c r="Y150" s="4"/>
      <c r="Z150" s="12">
        <f>IF(T150=0,0,X150/T150)</f>
        <v>0.18117259698721547</v>
      </c>
    </row>
    <row r="151" spans="1:26" x14ac:dyDescent="0.25">
      <c r="A151" s="9"/>
      <c r="B151" s="10"/>
      <c r="C151" s="10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O151" s="10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s="23" customFormat="1" ht="15.75" thickBot="1" x14ac:dyDescent="0.3">
      <c r="A152" s="10"/>
      <c r="B152" s="29" t="s">
        <v>4</v>
      </c>
      <c r="C152" s="29"/>
      <c r="D152" s="31">
        <f>+D148-D150</f>
        <v>28896.439999999944</v>
      </c>
      <c r="E152" s="14"/>
      <c r="F152" s="32">
        <f>IF(D$12=0,0,D152/D$12)</f>
        <v>8.772703609176645E-2</v>
      </c>
      <c r="G152" s="14"/>
      <c r="H152" s="31">
        <f>+H148-H150</f>
        <v>23405.299999999996</v>
      </c>
      <c r="I152" s="14"/>
      <c r="J152" s="32">
        <f>IF(H$12=0,0,H152/H$12)</f>
        <v>9.5995408357100132E-2</v>
      </c>
      <c r="K152" s="15"/>
      <c r="L152" s="31">
        <f>D152-H152</f>
        <v>5491.1399999999485</v>
      </c>
      <c r="M152" s="15"/>
      <c r="N152" s="32">
        <f>IF(H152=0,0,L152/H152)</f>
        <v>0.23461096418332383</v>
      </c>
      <c r="O152" s="28"/>
      <c r="P152" s="31">
        <f>+P148-P150</f>
        <v>189419.46000000046</v>
      </c>
      <c r="Q152" s="14"/>
      <c r="R152" s="32">
        <f>IF(P$12=0,0,P152/P$12)</f>
        <v>0.13047337434616441</v>
      </c>
      <c r="S152" s="14"/>
      <c r="T152" s="31">
        <f>+T148-T150</f>
        <v>208413.85999999964</v>
      </c>
      <c r="U152" s="14"/>
      <c r="V152" s="32">
        <f>IF(T$12=0,0,T152/T$12)</f>
        <v>0.16849119691638262</v>
      </c>
      <c r="W152" s="15"/>
      <c r="X152" s="31">
        <f>P152-T152</f>
        <v>-18994.399999999179</v>
      </c>
      <c r="Y152" s="15"/>
      <c r="Z152" s="32">
        <f>IF(T152=0,0,X152/T152)</f>
        <v>-9.113789265262498E-2</v>
      </c>
    </row>
    <row r="153" spans="1:26" ht="15.75" thickTop="1" x14ac:dyDescent="0.25">
      <c r="A153" s="9"/>
      <c r="B153" s="9"/>
      <c r="C153" s="9"/>
      <c r="D153" s="3"/>
      <c r="E153" s="3"/>
      <c r="F153" s="8"/>
      <c r="G153" s="3"/>
      <c r="H153" s="3"/>
      <c r="I153" s="3"/>
      <c r="J153" s="8"/>
      <c r="K153" s="3"/>
      <c r="L153" s="3"/>
      <c r="M153" s="3"/>
      <c r="N153" s="8"/>
      <c r="P153" s="3"/>
      <c r="Q153" s="3"/>
      <c r="R153" s="8"/>
      <c r="S153" s="3"/>
      <c r="T153" s="3"/>
      <c r="U153" s="3"/>
      <c r="V153" s="8"/>
      <c r="W153" s="3"/>
      <c r="X153" s="3"/>
      <c r="Y153" s="3"/>
      <c r="Z153" s="8"/>
    </row>
    <row r="154" spans="1:26" x14ac:dyDescent="0.25">
      <c r="A154" s="9"/>
      <c r="B154" s="9"/>
      <c r="C154" s="9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ht="15.75" thickBot="1" x14ac:dyDescent="0.3">
      <c r="A155" s="10"/>
      <c r="B155" s="29" t="s">
        <v>5</v>
      </c>
      <c r="C155" s="29"/>
      <c r="D155" s="34">
        <f>SUM(D152:D154)</f>
        <v>28896.439999999944</v>
      </c>
      <c r="E155" s="14"/>
      <c r="F155" s="30">
        <f>IF(D$12=0,0,D155/D$12)</f>
        <v>8.772703609176645E-2</v>
      </c>
      <c r="G155" s="14"/>
      <c r="H155" s="34">
        <f>SUM(H152:H154)</f>
        <v>23405.299999999996</v>
      </c>
      <c r="I155" s="14"/>
      <c r="J155" s="30">
        <f>IF(H$12=0,0,H155/H$12)</f>
        <v>9.5995408357100132E-2</v>
      </c>
      <c r="K155" s="15"/>
      <c r="L155" s="34">
        <f>+D155-H155</f>
        <v>5491.1399999999485</v>
      </c>
      <c r="M155" s="15"/>
      <c r="N155" s="30">
        <f>IF(H155=0,0,L155/H155)</f>
        <v>0.23461096418332383</v>
      </c>
      <c r="O155" s="28"/>
      <c r="P155" s="34">
        <f>SUM(P152:P154)</f>
        <v>189419.46000000046</v>
      </c>
      <c r="Q155" s="14"/>
      <c r="R155" s="30">
        <f>IF(P$12=0,0,P155/P$12)</f>
        <v>0.13047337434616441</v>
      </c>
      <c r="S155" s="14"/>
      <c r="T155" s="34">
        <f>SUM(T152:T154)</f>
        <v>208413.85999999964</v>
      </c>
      <c r="U155" s="14"/>
      <c r="V155" s="30">
        <f>IF(T$12=0,0,T155/T$12)</f>
        <v>0.16849119691638262</v>
      </c>
      <c r="W155" s="15"/>
      <c r="X155" s="34">
        <f>+P155-T155</f>
        <v>-18994.399999999179</v>
      </c>
      <c r="Y155" s="15"/>
      <c r="Z155" s="30">
        <f>IF(T155=0,0,X155/T155)</f>
        <v>-9.113789265262498E-2</v>
      </c>
    </row>
    <row r="156" spans="1:26" ht="15.75" thickTop="1" x14ac:dyDescent="0.25">
      <c r="A156" s="9"/>
      <c r="C156" s="9"/>
      <c r="D156" s="18"/>
      <c r="E156" s="18"/>
      <c r="G156" s="18"/>
      <c r="H156" s="18"/>
      <c r="I156" s="18"/>
      <c r="J156" s="43"/>
      <c r="K156" s="18"/>
      <c r="L156" s="18"/>
      <c r="M156" s="18"/>
      <c r="P156" s="18"/>
      <c r="Q156" s="18"/>
      <c r="R156" s="43"/>
      <c r="S156" s="18"/>
      <c r="T156" s="18"/>
      <c r="U156" s="18"/>
      <c r="V156" s="43"/>
      <c r="W156" s="18"/>
      <c r="X156" s="18"/>
    </row>
    <row r="157" spans="1:26" x14ac:dyDescent="0.25">
      <c r="A157" s="9"/>
      <c r="B157" s="59">
        <v>43815.491324918985</v>
      </c>
      <c r="D157" s="18"/>
      <c r="E157" s="18"/>
      <c r="G157" s="18"/>
      <c r="H157" s="18"/>
      <c r="I157" s="18"/>
      <c r="J157" s="43"/>
      <c r="K157" s="18"/>
      <c r="L157" s="18"/>
      <c r="M157" s="18"/>
      <c r="P157" s="18"/>
      <c r="Q157" s="18"/>
      <c r="R157" s="43"/>
      <c r="S157" s="18"/>
      <c r="T157" s="18"/>
      <c r="U157" s="18"/>
      <c r="V157" s="43"/>
      <c r="W157" s="18"/>
      <c r="X157" s="18"/>
    </row>
    <row r="158" spans="1:26" x14ac:dyDescent="0.25">
      <c r="A158" s="9"/>
      <c r="B158" s="62" t="s">
        <v>313</v>
      </c>
      <c r="D158" s="18"/>
      <c r="E158" s="18"/>
      <c r="G158" s="18"/>
      <c r="H158" s="18"/>
      <c r="I158" s="18"/>
      <c r="J158" s="43"/>
      <c r="K158" s="18"/>
      <c r="L158" s="18"/>
      <c r="M158" s="18"/>
      <c r="P158" s="18"/>
      <c r="Q158" s="18"/>
      <c r="R158" s="43"/>
      <c r="S158" s="18"/>
      <c r="T158" s="18"/>
      <c r="U158" s="18"/>
      <c r="V158" s="43"/>
      <c r="W158" s="18"/>
      <c r="X158" s="18"/>
    </row>
    <row r="159" spans="1:26" x14ac:dyDescent="0.25">
      <c r="A159" s="9"/>
      <c r="B159" s="61"/>
      <c r="D159" s="18"/>
      <c r="E159" s="18"/>
      <c r="G159" s="18"/>
      <c r="H159" s="18"/>
      <c r="I159" s="18"/>
      <c r="J159" s="43"/>
      <c r="K159" s="18"/>
      <c r="L159" s="18"/>
      <c r="M159" s="18"/>
      <c r="P159" s="18"/>
      <c r="Q159" s="18"/>
      <c r="R159" s="43"/>
      <c r="S159" s="18"/>
      <c r="T159" s="18"/>
      <c r="U159" s="18"/>
      <c r="V159" s="43"/>
      <c r="W159" s="18"/>
      <c r="X159" s="18"/>
    </row>
    <row r="160" spans="1:26" x14ac:dyDescent="0.25">
      <c r="D160" s="18"/>
      <c r="E160" s="18"/>
      <c r="G160" s="18"/>
      <c r="H160" s="18"/>
      <c r="I160" s="18"/>
      <c r="J160" s="43"/>
      <c r="K160" s="18"/>
      <c r="L160" s="18"/>
      <c r="M160" s="18"/>
      <c r="P160" s="18"/>
      <c r="Q160" s="18"/>
      <c r="R160" s="43"/>
      <c r="S160" s="18"/>
      <c r="T160" s="18"/>
      <c r="U160" s="18"/>
      <c r="V160" s="43"/>
      <c r="W160" s="18"/>
      <c r="X160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297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","315", " - ", "Beach Shop")</f>
        <v>Department 315 - Beach Shop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291551.35999999999</v>
      </c>
      <c r="E12" s="4"/>
      <c r="F12" s="12"/>
      <c r="G12" s="4"/>
      <c r="H12" s="4">
        <f>SUM(OSRRefH13x_0)</f>
        <v>202595.44</v>
      </c>
      <c r="I12" s="4"/>
      <c r="J12" s="12"/>
      <c r="K12" s="4"/>
      <c r="L12" s="4">
        <f t="shared" ref="L12:L32" si="0">+D12-H12</f>
        <v>88955.919999999984</v>
      </c>
      <c r="M12" s="4"/>
      <c r="N12" s="12">
        <f t="shared" ref="N12:N32" si="1">IF(H12=0,0,L12/H12)</f>
        <v>0.43908155089769041</v>
      </c>
      <c r="O12" s="10"/>
      <c r="P12" s="4">
        <f>SUM(OSRRefP13x_0)</f>
        <v>1219478.8800000004</v>
      </c>
      <c r="Q12" s="4"/>
      <c r="R12" s="12"/>
      <c r="S12" s="4"/>
      <c r="T12" s="4">
        <f>SUM(OSRRefT13x_0)</f>
        <v>1028405.2400000002</v>
      </c>
      <c r="U12" s="4"/>
      <c r="V12" s="12"/>
      <c r="W12" s="4"/>
      <c r="X12" s="4">
        <f t="shared" ref="X12:X32" si="2">+P12-T12</f>
        <v>191073.64000000013</v>
      </c>
      <c r="Y12" s="4"/>
      <c r="Z12" s="12">
        <f t="shared" ref="Z12:Z32" si="3">IF(T12=0,0,X12/T12)</f>
        <v>0.18579605837092009</v>
      </c>
    </row>
    <row r="13" spans="1:26" s="24" customFormat="1" hidden="1" outlineLevel="1" x14ac:dyDescent="0.25">
      <c r="A13" s="44"/>
      <c r="B13" s="11" t="str">
        <f>CONCATENATE("          ", "4040", " - ", "TAXABLE SALES-LOGO CLOTHING")</f>
        <v xml:space="preserve">          4040 - TAXABLE SALES-LOGO CLOTHING</v>
      </c>
      <c r="C13" s="11"/>
      <c r="D13" s="2">
        <f>--216676.29</f>
        <v>216676.29</v>
      </c>
      <c r="E13" s="2"/>
      <c r="F13" s="19"/>
      <c r="G13" s="2"/>
      <c r="H13" s="2">
        <f>--157840.67</f>
        <v>157840.67000000001</v>
      </c>
      <c r="I13" s="2"/>
      <c r="J13" s="19"/>
      <c r="K13" s="2"/>
      <c r="L13" s="2">
        <f t="shared" si="0"/>
        <v>58835.619999999995</v>
      </c>
      <c r="M13" s="2"/>
      <c r="N13" s="19">
        <f t="shared" si="1"/>
        <v>0.37275323273779815</v>
      </c>
      <c r="O13" s="11"/>
      <c r="P13" s="2">
        <f>--901370.37</f>
        <v>901370.37</v>
      </c>
      <c r="Q13" s="2"/>
      <c r="R13" s="19"/>
      <c r="S13" s="2"/>
      <c r="T13" s="2">
        <f>--735924.38</f>
        <v>735924.38</v>
      </c>
      <c r="U13" s="2"/>
      <c r="V13" s="19"/>
      <c r="W13" s="2"/>
      <c r="X13" s="2">
        <f t="shared" si="2"/>
        <v>165445.99</v>
      </c>
      <c r="Y13" s="2"/>
      <c r="Z13" s="19">
        <f t="shared" si="3"/>
        <v>0.22481384568343826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--25268.56</f>
        <v>25268.560000000001</v>
      </c>
      <c r="E14" s="2"/>
      <c r="F14" s="19"/>
      <c r="G14" s="2"/>
      <c r="H14" s="2">
        <f>--24698.87</f>
        <v>24698.87</v>
      </c>
      <c r="I14" s="2"/>
      <c r="J14" s="19"/>
      <c r="K14" s="2"/>
      <c r="L14" s="2">
        <f t="shared" si="0"/>
        <v>569.69000000000233</v>
      </c>
      <c r="M14" s="2"/>
      <c r="N14" s="19">
        <f t="shared" si="1"/>
        <v>2.3065427689606947E-2</v>
      </c>
      <c r="O14" s="11"/>
      <c r="P14" s="2">
        <f>--136131.52</f>
        <v>136131.51999999999</v>
      </c>
      <c r="Q14" s="2"/>
      <c r="R14" s="19"/>
      <c r="S14" s="2"/>
      <c r="T14" s="2">
        <f>--133270.68</f>
        <v>133270.68</v>
      </c>
      <c r="U14" s="2"/>
      <c r="V14" s="19"/>
      <c r="W14" s="2"/>
      <c r="X14" s="2">
        <f t="shared" si="2"/>
        <v>2860.8399999999965</v>
      </c>
      <c r="Y14" s="2"/>
      <c r="Z14" s="19">
        <f t="shared" si="3"/>
        <v>2.1466387055277248E-2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--20997.65</f>
        <v>20997.65</v>
      </c>
      <c r="E15" s="2"/>
      <c r="F15" s="19"/>
      <c r="G15" s="2"/>
      <c r="H15" s="2">
        <f>--12633.2</f>
        <v>12633.2</v>
      </c>
      <c r="I15" s="2"/>
      <c r="J15" s="19"/>
      <c r="K15" s="2"/>
      <c r="L15" s="2">
        <f t="shared" si="0"/>
        <v>8364.4500000000007</v>
      </c>
      <c r="M15" s="2"/>
      <c r="N15" s="19">
        <f t="shared" si="1"/>
        <v>0.66210065541588836</v>
      </c>
      <c r="O15" s="11"/>
      <c r="P15" s="2">
        <f>--99175.84</f>
        <v>99175.84</v>
      </c>
      <c r="Q15" s="2"/>
      <c r="R15" s="19"/>
      <c r="S15" s="2"/>
      <c r="T15" s="2">
        <f>--75019.89</f>
        <v>75019.89</v>
      </c>
      <c r="U15" s="2"/>
      <c r="V15" s="19"/>
      <c r="W15" s="2"/>
      <c r="X15" s="2">
        <f t="shared" si="2"/>
        <v>24155.949999999997</v>
      </c>
      <c r="Y15" s="2"/>
      <c r="Z15" s="19">
        <f t="shared" si="3"/>
        <v>0.321993940540302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--4266.49</f>
        <v>4266.49</v>
      </c>
      <c r="E16" s="2"/>
      <c r="F16" s="19"/>
      <c r="G16" s="2"/>
      <c r="H16" s="2">
        <f>--184.29</f>
        <v>184.29</v>
      </c>
      <c r="I16" s="2"/>
      <c r="J16" s="19"/>
      <c r="K16" s="2"/>
      <c r="L16" s="2">
        <f t="shared" si="0"/>
        <v>4082.2</v>
      </c>
      <c r="M16" s="2"/>
      <c r="N16" s="19">
        <f t="shared" si="1"/>
        <v>22.150957729665201</v>
      </c>
      <c r="O16" s="11"/>
      <c r="P16" s="2">
        <f>--4689.06</f>
        <v>4689.0600000000004</v>
      </c>
      <c r="Q16" s="2"/>
      <c r="R16" s="19"/>
      <c r="S16" s="2"/>
      <c r="T16" s="2">
        <f>--885.08</f>
        <v>885.08</v>
      </c>
      <c r="U16" s="2"/>
      <c r="V16" s="19"/>
      <c r="W16" s="2"/>
      <c r="X16" s="2">
        <f t="shared" si="2"/>
        <v>3803.9800000000005</v>
      </c>
      <c r="Y16" s="2"/>
      <c r="Z16" s="19">
        <f t="shared" si="3"/>
        <v>4.2978939756858141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>--7506.24</f>
        <v>7506.24</v>
      </c>
      <c r="E17" s="2"/>
      <c r="F17" s="19"/>
      <c r="G17" s="2"/>
      <c r="H17" s="2">
        <f>--3964.63</f>
        <v>3964.63</v>
      </c>
      <c r="I17" s="2"/>
      <c r="J17" s="19"/>
      <c r="K17" s="2"/>
      <c r="L17" s="2">
        <f t="shared" si="0"/>
        <v>3541.6099999999997</v>
      </c>
      <c r="M17" s="2"/>
      <c r="N17" s="19">
        <f t="shared" si="1"/>
        <v>0.89330151867891827</v>
      </c>
      <c r="O17" s="11"/>
      <c r="P17" s="2">
        <f>--39360.44</f>
        <v>39360.44</v>
      </c>
      <c r="Q17" s="2"/>
      <c r="R17" s="19"/>
      <c r="S17" s="2"/>
      <c r="T17" s="2">
        <f>--36717.71</f>
        <v>36717.71</v>
      </c>
      <c r="U17" s="2"/>
      <c r="V17" s="19"/>
      <c r="W17" s="2"/>
      <c r="X17" s="2">
        <f t="shared" si="2"/>
        <v>2642.7300000000032</v>
      </c>
      <c r="Y17" s="2"/>
      <c r="Z17" s="19">
        <f t="shared" si="3"/>
        <v>7.1974259832653056E-2</v>
      </c>
    </row>
    <row r="18" spans="1:26" s="24" customFormat="1" hidden="1" outlineLevel="1" x14ac:dyDescent="0.25">
      <c r="A18" s="44"/>
      <c r="B18" s="11" t="str">
        <f>CONCATENATE("          ", "4045", " - ", "TAXABLE SALES-SPECIAL ORDERS")</f>
        <v xml:space="preserve">          4045 - TAXABLE SALES-SPECIAL ORDERS</v>
      </c>
      <c r="C18" s="11"/>
      <c r="D18" s="2">
        <f>--18575.49</f>
        <v>18575.490000000002</v>
      </c>
      <c r="E18" s="2"/>
      <c r="F18" s="19"/>
      <c r="G18" s="2"/>
      <c r="H18" s="2">
        <f>--4808.61</f>
        <v>4808.6099999999997</v>
      </c>
      <c r="I18" s="2"/>
      <c r="J18" s="19"/>
      <c r="K18" s="2"/>
      <c r="L18" s="2">
        <f t="shared" si="0"/>
        <v>13766.880000000001</v>
      </c>
      <c r="M18" s="2"/>
      <c r="N18" s="19">
        <f t="shared" si="1"/>
        <v>2.8629645573252982</v>
      </c>
      <c r="O18" s="11"/>
      <c r="P18" s="2">
        <f>--54060.83</f>
        <v>54060.83</v>
      </c>
      <c r="Q18" s="2"/>
      <c r="R18" s="19"/>
      <c r="S18" s="2"/>
      <c r="T18" s="2">
        <f>--62497.37</f>
        <v>62497.37</v>
      </c>
      <c r="U18" s="2"/>
      <c r="V18" s="19"/>
      <c r="W18" s="2"/>
      <c r="X18" s="2">
        <f t="shared" si="2"/>
        <v>-8436.5400000000009</v>
      </c>
      <c r="Y18" s="2"/>
      <c r="Z18" s="19">
        <f t="shared" si="3"/>
        <v>-0.13499032039268213</v>
      </c>
    </row>
    <row r="19" spans="1:26" s="24" customFormat="1" hidden="1" outlineLevel="1" x14ac:dyDescent="0.25">
      <c r="A19" s="44"/>
      <c r="B19" s="11" t="str">
        <f>CONCATENATE("          ", "4140", " - ", "NON-TAXABLE SALES-LOGO CLOTHIN")</f>
        <v xml:space="preserve">          4140 - NON-TAXABLE SALES-LOGO CLOTHIN</v>
      </c>
      <c r="C19" s="11"/>
      <c r="D19" s="2">
        <f>--7373.27</f>
        <v>7373.27</v>
      </c>
      <c r="E19" s="2"/>
      <c r="F19" s="19"/>
      <c r="G19" s="2"/>
      <c r="H19" s="2">
        <f>--3104.15</f>
        <v>3104.15</v>
      </c>
      <c r="I19" s="2"/>
      <c r="J19" s="19"/>
      <c r="K19" s="2"/>
      <c r="L19" s="2">
        <f t="shared" si="0"/>
        <v>4269.1200000000008</v>
      </c>
      <c r="M19" s="2"/>
      <c r="N19" s="19">
        <f t="shared" si="1"/>
        <v>1.3752943639965853</v>
      </c>
      <c r="O19" s="11"/>
      <c r="P19" s="2">
        <f>--20008.79</f>
        <v>20008.79</v>
      </c>
      <c r="Q19" s="2"/>
      <c r="R19" s="19"/>
      <c r="S19" s="2"/>
      <c r="T19" s="2">
        <f>--14661.16</f>
        <v>14661.16</v>
      </c>
      <c r="U19" s="2"/>
      <c r="V19" s="19"/>
      <c r="W19" s="2"/>
      <c r="X19" s="2">
        <f t="shared" si="2"/>
        <v>5347.630000000001</v>
      </c>
      <c r="Y19" s="2"/>
      <c r="Z19" s="19">
        <f t="shared" si="3"/>
        <v>0.36474808268922793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--434.35</f>
        <v>434.35</v>
      </c>
      <c r="E20" s="2"/>
      <c r="F20" s="19"/>
      <c r="G20" s="2"/>
      <c r="H20" s="2">
        <f>--203.25</f>
        <v>203.25</v>
      </c>
      <c r="I20" s="2"/>
      <c r="J20" s="19"/>
      <c r="K20" s="2"/>
      <c r="L20" s="2">
        <f t="shared" si="0"/>
        <v>231.10000000000002</v>
      </c>
      <c r="M20" s="2"/>
      <c r="N20" s="19">
        <f t="shared" si="1"/>
        <v>1.1370233702337025</v>
      </c>
      <c r="O20" s="11"/>
      <c r="P20" s="2">
        <f>--1677.53</f>
        <v>1677.53</v>
      </c>
      <c r="Q20" s="2"/>
      <c r="R20" s="19"/>
      <c r="S20" s="2"/>
      <c r="T20" s="2">
        <f>--1485.33</f>
        <v>1485.33</v>
      </c>
      <c r="U20" s="2"/>
      <c r="V20" s="19"/>
      <c r="W20" s="2"/>
      <c r="X20" s="2">
        <f t="shared" si="2"/>
        <v>192.20000000000005</v>
      </c>
      <c r="Y20" s="2"/>
      <c r="Z20" s="19">
        <f t="shared" si="3"/>
        <v>0.12939885412669241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--843.26</f>
        <v>843.26</v>
      </c>
      <c r="E21" s="2"/>
      <c r="F21" s="19"/>
      <c r="G21" s="2"/>
      <c r="H21" s="2">
        <f>--1052.1</f>
        <v>1052.0999999999999</v>
      </c>
      <c r="I21" s="2"/>
      <c r="J21" s="19"/>
      <c r="K21" s="2"/>
      <c r="L21" s="2">
        <f t="shared" si="0"/>
        <v>-208.83999999999992</v>
      </c>
      <c r="M21" s="2"/>
      <c r="N21" s="19">
        <f t="shared" si="1"/>
        <v>-0.19849824161201401</v>
      </c>
      <c r="O21" s="11"/>
      <c r="P21" s="2">
        <f>--2257</f>
        <v>2257</v>
      </c>
      <c r="Q21" s="2"/>
      <c r="R21" s="19"/>
      <c r="S21" s="2"/>
      <c r="T21" s="2">
        <f>--1619.71</f>
        <v>1619.71</v>
      </c>
      <c r="U21" s="2"/>
      <c r="V21" s="19"/>
      <c r="W21" s="2"/>
      <c r="X21" s="2">
        <f t="shared" si="2"/>
        <v>637.29</v>
      </c>
      <c r="Y21" s="2"/>
      <c r="Z21" s="19">
        <f t="shared" si="3"/>
        <v>0.39345932296522212</v>
      </c>
    </row>
    <row r="22" spans="1:26" s="24" customFormat="1" hidden="1" outlineLevel="1" x14ac:dyDescent="0.25">
      <c r="A22" s="44"/>
      <c r="B22" s="11" t="str">
        <f>CONCATENATE("          ", "4144", " - ", "NON-TAXABLE SALES-ACCESSORIES")</f>
        <v xml:space="preserve">          4144 - NON-TAXABLE SALES-ACCESSORIES</v>
      </c>
      <c r="C22" s="11"/>
      <c r="D22" s="2">
        <f>--29.95</f>
        <v>29.95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29.95</v>
      </c>
      <c r="M22" s="2"/>
      <c r="N22" s="19">
        <f t="shared" si="1"/>
        <v>0</v>
      </c>
      <c r="O22" s="11"/>
      <c r="P22" s="2">
        <f>--241.56</f>
        <v>241.56</v>
      </c>
      <c r="Q22" s="2"/>
      <c r="R22" s="19"/>
      <c r="S22" s="2"/>
      <c r="T22" s="2">
        <f>--340.6</f>
        <v>340.6</v>
      </c>
      <c r="U22" s="2"/>
      <c r="V22" s="19"/>
      <c r="W22" s="2"/>
      <c r="X22" s="2">
        <f t="shared" si="2"/>
        <v>-99.04000000000002</v>
      </c>
      <c r="Y22" s="2"/>
      <c r="Z22" s="19">
        <f t="shared" si="3"/>
        <v>-0.29078097475044046</v>
      </c>
    </row>
    <row r="23" spans="1:26" s="24" customFormat="1" hidden="1" outlineLevel="1" x14ac:dyDescent="0.25">
      <c r="A23" s="44"/>
      <c r="B23" s="11" t="str">
        <f>CONCATENATE("          ", "4145", " - ", "NON-TAXABLE SALES-SPECIAL ORDE")</f>
        <v xml:space="preserve">          4145 - NON-TAXABLE SALES-SPECIAL ORDE</v>
      </c>
      <c r="C23" s="11"/>
      <c r="D23" s="2">
        <f>--50</f>
        <v>50</v>
      </c>
      <c r="E23" s="2"/>
      <c r="F23" s="19"/>
      <c r="G23" s="2"/>
      <c r="H23" s="2">
        <f>--1396</f>
        <v>1396</v>
      </c>
      <c r="I23" s="2"/>
      <c r="J23" s="19"/>
      <c r="K23" s="2"/>
      <c r="L23" s="2">
        <f t="shared" si="0"/>
        <v>-1346</v>
      </c>
      <c r="M23" s="2"/>
      <c r="N23" s="19">
        <f t="shared" si="1"/>
        <v>-0.96418338108882518</v>
      </c>
      <c r="O23" s="11"/>
      <c r="P23" s="2">
        <f>--140</f>
        <v>140</v>
      </c>
      <c r="Q23" s="2"/>
      <c r="R23" s="19"/>
      <c r="S23" s="2"/>
      <c r="T23" s="2">
        <f>--1657.6</f>
        <v>1657.6</v>
      </c>
      <c r="U23" s="2"/>
      <c r="V23" s="19"/>
      <c r="W23" s="2"/>
      <c r="X23" s="2">
        <f t="shared" si="2"/>
        <v>-1517.6</v>
      </c>
      <c r="Y23" s="2"/>
      <c r="Z23" s="19">
        <f t="shared" si="3"/>
        <v>-0.91554054054054057</v>
      </c>
    </row>
    <row r="24" spans="1:26" s="24" customFormat="1" hidden="1" outlineLevel="1" x14ac:dyDescent="0.25">
      <c r="A24" s="44"/>
      <c r="B24" s="11" t="str">
        <f>CONCATENATE("          ", "4240", " - ", "SALES RETURN TAXABLE-LOGO CLOT")</f>
        <v xml:space="preserve">          4240 - SALES RETURN TAXABLE-LOGO CLOT</v>
      </c>
      <c r="C24" s="11"/>
      <c r="D24" s="2">
        <f>-9401.37</f>
        <v>-9401.3700000000008</v>
      </c>
      <c r="E24" s="2"/>
      <c r="F24" s="19"/>
      <c r="G24" s="2"/>
      <c r="H24" s="2">
        <f>-6576.92</f>
        <v>-6576.92</v>
      </c>
      <c r="I24" s="2"/>
      <c r="J24" s="19"/>
      <c r="K24" s="2"/>
      <c r="L24" s="2">
        <f t="shared" si="0"/>
        <v>-2824.4500000000007</v>
      </c>
      <c r="M24" s="2"/>
      <c r="N24" s="19">
        <f t="shared" si="1"/>
        <v>0.42944873892338675</v>
      </c>
      <c r="O24" s="11"/>
      <c r="P24" s="2">
        <f>-34457.93</f>
        <v>-34457.93</v>
      </c>
      <c r="Q24" s="2"/>
      <c r="R24" s="19"/>
      <c r="S24" s="2"/>
      <c r="T24" s="2">
        <f>-28963.66</f>
        <v>-28963.66</v>
      </c>
      <c r="U24" s="2"/>
      <c r="V24" s="19"/>
      <c r="W24" s="2"/>
      <c r="X24" s="2">
        <f t="shared" si="2"/>
        <v>-5494.27</v>
      </c>
      <c r="Y24" s="2"/>
      <c r="Z24" s="19">
        <f t="shared" si="3"/>
        <v>0.18969529403397223</v>
      </c>
    </row>
    <row r="25" spans="1:26" s="24" customFormat="1" hidden="1" outlineLevel="1" x14ac:dyDescent="0.25">
      <c r="A25" s="44"/>
      <c r="B25" s="11" t="str">
        <f>CONCATENATE("          ", "4241", " - ", "SALES RETURN TAXABLE-LOGO GIFT")</f>
        <v xml:space="preserve">          4241 - SALES RETURN TAXABLE-LOGO GIFT</v>
      </c>
      <c r="C25" s="11"/>
      <c r="D25" s="2">
        <f>-356.48</f>
        <v>-356.48</v>
      </c>
      <c r="E25" s="2"/>
      <c r="F25" s="19"/>
      <c r="G25" s="2"/>
      <c r="H25" s="2">
        <f>-299.53</f>
        <v>-299.52999999999997</v>
      </c>
      <c r="I25" s="2"/>
      <c r="J25" s="19"/>
      <c r="K25" s="2"/>
      <c r="L25" s="2">
        <f t="shared" si="0"/>
        <v>-56.950000000000045</v>
      </c>
      <c r="M25" s="2"/>
      <c r="N25" s="19">
        <f t="shared" si="1"/>
        <v>0.19013120555537025</v>
      </c>
      <c r="O25" s="11"/>
      <c r="P25" s="2">
        <f>-1705.43</f>
        <v>-1705.43</v>
      </c>
      <c r="Q25" s="2"/>
      <c r="R25" s="19"/>
      <c r="S25" s="2"/>
      <c r="T25" s="2">
        <f>-2605.8</f>
        <v>-2605.8000000000002</v>
      </c>
      <c r="U25" s="2"/>
      <c r="V25" s="19"/>
      <c r="W25" s="2"/>
      <c r="X25" s="2">
        <f t="shared" si="2"/>
        <v>900.37000000000012</v>
      </c>
      <c r="Y25" s="2"/>
      <c r="Z25" s="19">
        <f t="shared" si="3"/>
        <v>-0.34552536649013743</v>
      </c>
    </row>
    <row r="26" spans="1:26" s="24" customFormat="1" hidden="1" outlineLevel="1" x14ac:dyDescent="0.25">
      <c r="A26" s="44"/>
      <c r="B26" s="11" t="str">
        <f>CONCATENATE("          ", "4242", " - ", "SALES RETURN TAXABLE-EVERYDAY")</f>
        <v xml:space="preserve">          4242 - SALES RETURN TAXABLE-EVERYDAY</v>
      </c>
      <c r="C26" s="11"/>
      <c r="D26" s="2">
        <f>-305.3</f>
        <v>-305.3</v>
      </c>
      <c r="E26" s="2"/>
      <c r="F26" s="19"/>
      <c r="G26" s="2"/>
      <c r="H26" s="2">
        <f>-205.13</f>
        <v>-205.13</v>
      </c>
      <c r="I26" s="2"/>
      <c r="J26" s="19"/>
      <c r="K26" s="2"/>
      <c r="L26" s="2">
        <f t="shared" si="0"/>
        <v>-100.17000000000002</v>
      </c>
      <c r="M26" s="2"/>
      <c r="N26" s="19">
        <f t="shared" si="1"/>
        <v>0.48832447716082494</v>
      </c>
      <c r="O26" s="11"/>
      <c r="P26" s="2">
        <f>-1160.58</f>
        <v>-1160.58</v>
      </c>
      <c r="Q26" s="2"/>
      <c r="R26" s="19"/>
      <c r="S26" s="2"/>
      <c r="T26" s="2">
        <f>-1161.56</f>
        <v>-1161.56</v>
      </c>
      <c r="U26" s="2"/>
      <c r="V26" s="19"/>
      <c r="W26" s="2"/>
      <c r="X26" s="2">
        <f t="shared" si="2"/>
        <v>0.98000000000001819</v>
      </c>
      <c r="Y26" s="2"/>
      <c r="Z26" s="19">
        <f t="shared" si="3"/>
        <v>-8.4369296463378404E-4</v>
      </c>
    </row>
    <row r="27" spans="1:26" s="24" customFormat="1" hidden="1" outlineLevel="1" x14ac:dyDescent="0.25">
      <c r="A27" s="44"/>
      <c r="B27" s="11" t="str">
        <f>CONCATENATE("          ", "4243", " - ", "SALES RETURN TAXABLE-CARDS")</f>
        <v xml:space="preserve">          4243 - SALES RETURN TAXABLE-CARDS</v>
      </c>
      <c r="C27" s="11"/>
      <c r="D27" s="2">
        <f>-316.34</f>
        <v>-316.33999999999997</v>
      </c>
      <c r="E27" s="2"/>
      <c r="F27" s="19"/>
      <c r="G27" s="2"/>
      <c r="H27" s="2">
        <f>-7</f>
        <v>-7</v>
      </c>
      <c r="I27" s="2"/>
      <c r="J27" s="19"/>
      <c r="K27" s="2"/>
      <c r="L27" s="2">
        <f t="shared" si="0"/>
        <v>-309.33999999999997</v>
      </c>
      <c r="M27" s="2"/>
      <c r="N27" s="19">
        <f t="shared" si="1"/>
        <v>44.191428571428567</v>
      </c>
      <c r="O27" s="11"/>
      <c r="P27" s="2">
        <f>-320.84</f>
        <v>-320.83999999999997</v>
      </c>
      <c r="Q27" s="2"/>
      <c r="R27" s="19"/>
      <c r="S27" s="2"/>
      <c r="T27" s="2">
        <f>-19.95</f>
        <v>-19.95</v>
      </c>
      <c r="U27" s="2"/>
      <c r="V27" s="19"/>
      <c r="W27" s="2"/>
      <c r="X27" s="2">
        <f t="shared" si="2"/>
        <v>-300.89</v>
      </c>
      <c r="Y27" s="2"/>
      <c r="Z27" s="19">
        <f t="shared" si="3"/>
        <v>15.08220551378446</v>
      </c>
    </row>
    <row r="28" spans="1:26" s="24" customFormat="1" hidden="1" outlineLevel="1" x14ac:dyDescent="0.25">
      <c r="A28" s="44"/>
      <c r="B28" s="11" t="str">
        <f>CONCATENATE("          ", "4244", " - ", "SALES RETURN TAXABLE-ACCESSORI")</f>
        <v xml:space="preserve">          4244 - SALES RETURN TAXABLE-ACCESSORI</v>
      </c>
      <c r="C28" s="11"/>
      <c r="D28" s="2">
        <f>-53.8</f>
        <v>-53.8</v>
      </c>
      <c r="E28" s="2"/>
      <c r="F28" s="19"/>
      <c r="G28" s="2"/>
      <c r="H28" s="2">
        <f>-141.81</f>
        <v>-141.81</v>
      </c>
      <c r="I28" s="2"/>
      <c r="J28" s="19"/>
      <c r="K28" s="2"/>
      <c r="L28" s="2">
        <f t="shared" si="0"/>
        <v>88.01</v>
      </c>
      <c r="M28" s="2"/>
      <c r="N28" s="19">
        <f t="shared" si="1"/>
        <v>-0.62061913828361892</v>
      </c>
      <c r="O28" s="11"/>
      <c r="P28" s="2">
        <f>-1463.21</f>
        <v>-1463.21</v>
      </c>
      <c r="Q28" s="2"/>
      <c r="R28" s="19"/>
      <c r="S28" s="2"/>
      <c r="T28" s="2">
        <f>-2389.97</f>
        <v>-2389.9699999999998</v>
      </c>
      <c r="U28" s="2"/>
      <c r="V28" s="19"/>
      <c r="W28" s="2"/>
      <c r="X28" s="2">
        <f t="shared" si="2"/>
        <v>926.75999999999976</v>
      </c>
      <c r="Y28" s="2"/>
      <c r="Z28" s="19">
        <f t="shared" si="3"/>
        <v>-0.38777055778942826</v>
      </c>
    </row>
    <row r="29" spans="1:26" s="24" customFormat="1" hidden="1" outlineLevel="1" x14ac:dyDescent="0.25">
      <c r="A29" s="44"/>
      <c r="B29" s="11" t="str">
        <f>CONCATENATE("          ", "4245", " - ", "SALES RETURN TAXABLE-SPECIAL O")</f>
        <v xml:space="preserve">          4245 - SALES RETURN TAXABLE-SPECIAL O</v>
      </c>
      <c r="C29" s="11"/>
      <c r="D29" s="2">
        <f>0</f>
        <v>0</v>
      </c>
      <c r="E29" s="2"/>
      <c r="F29" s="19"/>
      <c r="G29" s="2"/>
      <c r="H29" s="2">
        <f>-24.99</f>
        <v>-24.99</v>
      </c>
      <c r="I29" s="2"/>
      <c r="J29" s="19"/>
      <c r="K29" s="2"/>
      <c r="L29" s="2">
        <f t="shared" si="0"/>
        <v>24.99</v>
      </c>
      <c r="M29" s="2"/>
      <c r="N29" s="19">
        <f t="shared" si="1"/>
        <v>-1</v>
      </c>
      <c r="O29" s="11"/>
      <c r="P29" s="2">
        <f>-81.97</f>
        <v>-81.97</v>
      </c>
      <c r="Q29" s="2"/>
      <c r="R29" s="19"/>
      <c r="S29" s="2"/>
      <c r="T29" s="2">
        <f>-179.89</f>
        <v>-179.89</v>
      </c>
      <c r="U29" s="2"/>
      <c r="V29" s="19"/>
      <c r="W29" s="2"/>
      <c r="X29" s="2">
        <f t="shared" si="2"/>
        <v>97.919999999999987</v>
      </c>
      <c r="Y29" s="2"/>
      <c r="Z29" s="19">
        <f t="shared" si="3"/>
        <v>-0.54433264772916778</v>
      </c>
    </row>
    <row r="30" spans="1:26" s="24" customFormat="1" hidden="1" outlineLevel="1" x14ac:dyDescent="0.25">
      <c r="A30" s="44"/>
      <c r="B30" s="11" t="str">
        <f>CONCATENATE("          ", "4340", " - ", "SALES RETURN NON TAXABLE-LOGO")</f>
        <v xml:space="preserve">          4340 - SALES RETURN NON TAXABLE-LOGO</v>
      </c>
      <c r="C30" s="11"/>
      <c r="D30" s="2">
        <f>-29.95</f>
        <v>-29.95</v>
      </c>
      <c r="E30" s="2"/>
      <c r="F30" s="19"/>
      <c r="G30" s="2"/>
      <c r="H30" s="2">
        <f>-34.95</f>
        <v>-34.950000000000003</v>
      </c>
      <c r="I30" s="2"/>
      <c r="J30" s="19"/>
      <c r="K30" s="2"/>
      <c r="L30" s="2">
        <f t="shared" si="0"/>
        <v>5.0000000000000036</v>
      </c>
      <c r="M30" s="2"/>
      <c r="N30" s="19">
        <f t="shared" si="1"/>
        <v>-0.14306151645207449</v>
      </c>
      <c r="O30" s="11"/>
      <c r="P30" s="2">
        <f>-323.4</f>
        <v>-323.39999999999998</v>
      </c>
      <c r="Q30" s="2"/>
      <c r="R30" s="19"/>
      <c r="S30" s="2"/>
      <c r="T30" s="2">
        <f>-301.59</f>
        <v>-301.58999999999997</v>
      </c>
      <c r="U30" s="2"/>
      <c r="V30" s="19"/>
      <c r="W30" s="2"/>
      <c r="X30" s="2">
        <f t="shared" si="2"/>
        <v>-21.810000000000002</v>
      </c>
      <c r="Y30" s="2"/>
      <c r="Z30" s="19">
        <f t="shared" si="3"/>
        <v>7.2316721376703488E-2</v>
      </c>
    </row>
    <row r="31" spans="1:26" s="24" customFormat="1" hidden="1" outlineLevel="1" x14ac:dyDescent="0.25">
      <c r="A31" s="44"/>
      <c r="B31" s="11" t="str">
        <f>CONCATENATE("          ", "4341", " - ", "SALES RETURN NON TAXABLE-LOGO")</f>
        <v xml:space="preserve">          4341 - SALES RETURN NON TAXABLE-LOGO</v>
      </c>
      <c r="C31" s="11"/>
      <c r="D31" s="2">
        <f>0</f>
        <v>0</v>
      </c>
      <c r="E31" s="2"/>
      <c r="F31" s="19"/>
      <c r="G31" s="2"/>
      <c r="H31" s="2">
        <f t="shared" ref="H31:H32" si="4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-10.9</f>
        <v>-10.9</v>
      </c>
      <c r="Q31" s="2"/>
      <c r="R31" s="19"/>
      <c r="S31" s="2"/>
      <c r="T31" s="2">
        <f>-51.85</f>
        <v>-51.85</v>
      </c>
      <c r="U31" s="2"/>
      <c r="V31" s="19"/>
      <c r="W31" s="2"/>
      <c r="X31" s="2">
        <f t="shared" si="2"/>
        <v>40.950000000000003</v>
      </c>
      <c r="Y31" s="2"/>
      <c r="Z31" s="19">
        <f t="shared" si="3"/>
        <v>-0.78977820636451301</v>
      </c>
    </row>
    <row r="32" spans="1:26" s="24" customFormat="1" hidden="1" outlineLevel="1" x14ac:dyDescent="0.25">
      <c r="A32" s="44"/>
      <c r="B32" s="11" t="str">
        <f>CONCATENATE("          ", "4342", " - ", "SALES RETURN NON TAXABLE-EVERY")</f>
        <v xml:space="preserve">          4342 - SALES RETURN NON TAXABLE-EVERY</v>
      </c>
      <c r="C32" s="11"/>
      <c r="D32" s="2">
        <f>-6.95</f>
        <v>-6.95</v>
      </c>
      <c r="E32" s="2"/>
      <c r="F32" s="19"/>
      <c r="G32" s="2"/>
      <c r="H32" s="2">
        <f t="shared" si="4"/>
        <v>0</v>
      </c>
      <c r="I32" s="2"/>
      <c r="J32" s="19"/>
      <c r="K32" s="2"/>
      <c r="L32" s="2">
        <f t="shared" si="0"/>
        <v>-6.95</v>
      </c>
      <c r="M32" s="2"/>
      <c r="N32" s="19">
        <f t="shared" si="1"/>
        <v>0</v>
      </c>
      <c r="O32" s="11"/>
      <c r="P32" s="2">
        <f>-109.8</f>
        <v>-109.8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-109.8</v>
      </c>
      <c r="Y32" s="2"/>
      <c r="Z32" s="19">
        <f t="shared" si="3"/>
        <v>0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8" t="s">
        <v>8</v>
      </c>
      <c r="C34" s="10"/>
      <c r="D34" s="4">
        <f>SUM(OSRRefD16x_0)</f>
        <v>138881.84</v>
      </c>
      <c r="E34" s="4"/>
      <c r="F34" s="12">
        <f t="shared" ref="F34:F49" si="5">IF(D$12=0,0,D34/D$12)</f>
        <v>0.47635462924954286</v>
      </c>
      <c r="G34" s="4"/>
      <c r="H34" s="4">
        <f>SUM(OSRRefH16x_0)</f>
        <v>89297.01999999999</v>
      </c>
      <c r="I34" s="4"/>
      <c r="J34" s="12">
        <f t="shared" ref="J34:J49" si="6">IF(H$12=0,0,H34/H$12)</f>
        <v>0.44076520182290374</v>
      </c>
      <c r="K34" s="4"/>
      <c r="L34" s="4">
        <f t="shared" ref="L34:L49" si="7">+D34-H34</f>
        <v>49584.820000000007</v>
      </c>
      <c r="M34" s="4"/>
      <c r="N34" s="12">
        <f t="shared" ref="N34:N49" si="8">IF(H34=0,0,L34/H34)</f>
        <v>0.55527967226677899</v>
      </c>
      <c r="O34" s="10"/>
      <c r="P34" s="4">
        <f>SUM(OSRRefP16x_0)</f>
        <v>567581.90999999992</v>
      </c>
      <c r="Q34" s="4"/>
      <c r="R34" s="12">
        <f t="shared" ref="R34:R49" si="9">IF(P$12=0,0,P34/P$12)</f>
        <v>0.46542988099966087</v>
      </c>
      <c r="S34" s="4"/>
      <c r="T34" s="4">
        <f>SUM(OSRRefT16x_0)</f>
        <v>479937.70999999996</v>
      </c>
      <c r="U34" s="4"/>
      <c r="V34" s="12">
        <f t="shared" ref="V34:V49" si="10">IF(T$12=0,0,T34/T$12)</f>
        <v>0.46668150971303868</v>
      </c>
      <c r="W34" s="4"/>
      <c r="X34" s="4">
        <f t="shared" ref="X34:X49" si="11">+P34-T34</f>
        <v>87644.199999999953</v>
      </c>
      <c r="Y34" s="4"/>
      <c r="Z34" s="12">
        <f t="shared" ref="Z34:Z49" si="12">IF(T34=0,0,X34/T34)</f>
        <v>0.18261578153548294</v>
      </c>
    </row>
    <row r="35" spans="1:26" s="24" customFormat="1" hidden="1" outlineLevel="1" x14ac:dyDescent="0.25">
      <c r="A35" s="44"/>
      <c r="B35" s="11" t="str">
        <f>CONCATENATE("          ", "5040", " - ", "PURCHASES @ COST-LOGO CLOTHING")</f>
        <v xml:space="preserve">          5040 - PURCHASES @ COST-LOGO CLOTHING</v>
      </c>
      <c r="C35" s="11"/>
      <c r="D35" s="2">
        <v>81094.739999999991</v>
      </c>
      <c r="E35" s="2"/>
      <c r="F35" s="19">
        <f t="shared" si="5"/>
        <v>0.27814907123053723</v>
      </c>
      <c r="G35" s="2"/>
      <c r="H35" s="2">
        <v>84003.12</v>
      </c>
      <c r="I35" s="2"/>
      <c r="J35" s="19">
        <f t="shared" si="6"/>
        <v>0.41463480125712598</v>
      </c>
      <c r="K35" s="2"/>
      <c r="L35" s="2">
        <f t="shared" si="7"/>
        <v>-2908.3800000000047</v>
      </c>
      <c r="M35" s="2"/>
      <c r="N35" s="19">
        <f t="shared" si="8"/>
        <v>-3.4622285457968763E-2</v>
      </c>
      <c r="O35" s="11"/>
      <c r="P35" s="2">
        <v>492920.12</v>
      </c>
      <c r="Q35" s="2"/>
      <c r="R35" s="19">
        <f t="shared" si="9"/>
        <v>0.40420554064864156</v>
      </c>
      <c r="S35" s="2"/>
      <c r="T35" s="2">
        <v>443736.03</v>
      </c>
      <c r="U35" s="2"/>
      <c r="V35" s="19">
        <f t="shared" si="10"/>
        <v>0.43147974430779829</v>
      </c>
      <c r="W35" s="2"/>
      <c r="X35" s="2">
        <f t="shared" si="11"/>
        <v>49184.089999999967</v>
      </c>
      <c r="Y35" s="2"/>
      <c r="Z35" s="19">
        <f t="shared" si="12"/>
        <v>0.11084087537358633</v>
      </c>
    </row>
    <row r="36" spans="1:26" s="24" customFormat="1" hidden="1" outlineLevel="1" x14ac:dyDescent="0.25">
      <c r="A36" s="44"/>
      <c r="B36" s="11" t="str">
        <f>CONCATENATE("          ", "5041", " - ", "PURCHASES @ COST-LOGO GIFTS")</f>
        <v xml:space="preserve">          5041 - PURCHASES @ COST-LOGO GIFTS</v>
      </c>
      <c r="C36" s="11"/>
      <c r="D36" s="2">
        <v>15680.369999999999</v>
      </c>
      <c r="E36" s="2"/>
      <c r="F36" s="19">
        <f t="shared" si="5"/>
        <v>5.3782530803492053E-2</v>
      </c>
      <c r="G36" s="2"/>
      <c r="H36" s="2">
        <v>9674.0499999999993</v>
      </c>
      <c r="I36" s="2"/>
      <c r="J36" s="19">
        <f t="shared" si="6"/>
        <v>4.7750581158193882E-2</v>
      </c>
      <c r="K36" s="2"/>
      <c r="L36" s="2">
        <f t="shared" si="7"/>
        <v>6006.32</v>
      </c>
      <c r="M36" s="2"/>
      <c r="N36" s="19">
        <f t="shared" si="8"/>
        <v>0.62086923263783012</v>
      </c>
      <c r="O36" s="11"/>
      <c r="P36" s="2">
        <v>74082.19</v>
      </c>
      <c r="Q36" s="2"/>
      <c r="R36" s="19">
        <f t="shared" si="9"/>
        <v>6.0749055366994119E-2</v>
      </c>
      <c r="S36" s="2"/>
      <c r="T36" s="2">
        <v>82796.51999999999</v>
      </c>
      <c r="U36" s="2"/>
      <c r="V36" s="19">
        <f t="shared" si="10"/>
        <v>8.050962478565353E-2</v>
      </c>
      <c r="W36" s="2"/>
      <c r="X36" s="2">
        <f t="shared" si="11"/>
        <v>-8714.3299999999872</v>
      </c>
      <c r="Y36" s="2"/>
      <c r="Z36" s="19">
        <f t="shared" si="12"/>
        <v>-0.10524995494979726</v>
      </c>
    </row>
    <row r="37" spans="1:26" s="24" customFormat="1" hidden="1" outlineLevel="1" x14ac:dyDescent="0.25">
      <c r="A37" s="44"/>
      <c r="B37" s="11" t="str">
        <f>CONCATENATE("          ", "5042", " - ", "PURCHASES @ COST-EVERYDAY GIFT")</f>
        <v xml:space="preserve">          5042 - PURCHASES @ COST-EVERYDAY GIFT</v>
      </c>
      <c r="C37" s="11"/>
      <c r="D37" s="2">
        <v>26888.44</v>
      </c>
      <c r="E37" s="2"/>
      <c r="F37" s="19">
        <f t="shared" si="5"/>
        <v>9.2225397267911902E-2</v>
      </c>
      <c r="G37" s="2"/>
      <c r="H37" s="2">
        <v>12022.07</v>
      </c>
      <c r="I37" s="2"/>
      <c r="J37" s="19">
        <f t="shared" si="6"/>
        <v>5.9340279327116149E-2</v>
      </c>
      <c r="K37" s="2"/>
      <c r="L37" s="2">
        <f t="shared" si="7"/>
        <v>14866.369999999999</v>
      </c>
      <c r="M37" s="2"/>
      <c r="N37" s="19">
        <f t="shared" si="8"/>
        <v>1.2365898717941253</v>
      </c>
      <c r="O37" s="11"/>
      <c r="P37" s="2">
        <v>66696.37000000001</v>
      </c>
      <c r="Q37" s="2"/>
      <c r="R37" s="19">
        <f t="shared" si="9"/>
        <v>5.4692517512070396E-2</v>
      </c>
      <c r="S37" s="2"/>
      <c r="T37" s="2">
        <v>65403.299999999996</v>
      </c>
      <c r="U37" s="2"/>
      <c r="V37" s="19">
        <f t="shared" si="10"/>
        <v>6.3596817145739143E-2</v>
      </c>
      <c r="W37" s="2"/>
      <c r="X37" s="2">
        <f t="shared" si="11"/>
        <v>1293.0700000000143</v>
      </c>
      <c r="Y37" s="2"/>
      <c r="Z37" s="19">
        <f t="shared" si="12"/>
        <v>1.977071493334456E-2</v>
      </c>
    </row>
    <row r="38" spans="1:26" s="24" customFormat="1" hidden="1" outlineLevel="1" x14ac:dyDescent="0.25">
      <c r="A38" s="44"/>
      <c r="B38" s="11" t="str">
        <f>CONCATENATE("          ", "5043", " - ", "PURCHASES @ COST-CARDS")</f>
        <v xml:space="preserve">          5043 - PURCHASES @ COST-CARDS</v>
      </c>
      <c r="C38" s="11"/>
      <c r="D38" s="2">
        <v>2095.2600000000002</v>
      </c>
      <c r="E38" s="2"/>
      <c r="F38" s="19">
        <f t="shared" si="5"/>
        <v>7.1865896972663768E-3</v>
      </c>
      <c r="G38" s="2"/>
      <c r="H38" s="2">
        <v>310.52999999999997</v>
      </c>
      <c r="I38" s="2"/>
      <c r="J38" s="19">
        <f t="shared" si="6"/>
        <v>1.5327590788815383E-3</v>
      </c>
      <c r="K38" s="2"/>
      <c r="L38" s="2">
        <f t="shared" si="7"/>
        <v>1784.7300000000002</v>
      </c>
      <c r="M38" s="2"/>
      <c r="N38" s="19">
        <f t="shared" si="8"/>
        <v>5.747367404115546</v>
      </c>
      <c r="O38" s="11"/>
      <c r="P38" s="2">
        <v>3435.34</v>
      </c>
      <c r="Q38" s="2"/>
      <c r="R38" s="19">
        <f t="shared" si="9"/>
        <v>2.8170557574560039E-3</v>
      </c>
      <c r="S38" s="2"/>
      <c r="T38" s="2">
        <v>2118.87</v>
      </c>
      <c r="U38" s="2"/>
      <c r="V38" s="19">
        <f t="shared" si="10"/>
        <v>2.0603453945839479E-3</v>
      </c>
      <c r="W38" s="2"/>
      <c r="X38" s="2">
        <f t="shared" si="11"/>
        <v>1316.4700000000003</v>
      </c>
      <c r="Y38" s="2"/>
      <c r="Z38" s="19">
        <f t="shared" si="12"/>
        <v>0.62130758375926809</v>
      </c>
    </row>
    <row r="39" spans="1:26" s="24" customFormat="1" hidden="1" outlineLevel="1" x14ac:dyDescent="0.25">
      <c r="A39" s="44"/>
      <c r="B39" s="11" t="str">
        <f>CONCATENATE("          ", "5044", " - ", "PURCHASES @ COST-ACCESSORIES")</f>
        <v xml:space="preserve">          5044 - PURCHASES @ COST-ACCESSORIES</v>
      </c>
      <c r="C39" s="11"/>
      <c r="D39" s="2">
        <v>822.18</v>
      </c>
      <c r="E39" s="2"/>
      <c r="F39" s="19">
        <f t="shared" si="5"/>
        <v>2.8200177148890678E-3</v>
      </c>
      <c r="G39" s="2"/>
      <c r="H39" s="2">
        <v>881.91</v>
      </c>
      <c r="I39" s="2"/>
      <c r="J39" s="19">
        <f t="shared" si="6"/>
        <v>4.3530594765607755E-3</v>
      </c>
      <c r="K39" s="2"/>
      <c r="L39" s="2">
        <f t="shared" si="7"/>
        <v>-59.730000000000018</v>
      </c>
      <c r="M39" s="2"/>
      <c r="N39" s="19">
        <f t="shared" si="8"/>
        <v>-6.7727999455726801E-2</v>
      </c>
      <c r="O39" s="11"/>
      <c r="P39" s="2">
        <v>22620.74</v>
      </c>
      <c r="Q39" s="2"/>
      <c r="R39" s="19">
        <f t="shared" si="9"/>
        <v>1.854951354303077E-2</v>
      </c>
      <c r="S39" s="2"/>
      <c r="T39" s="2">
        <v>18095.230000000003</v>
      </c>
      <c r="U39" s="2"/>
      <c r="V39" s="19">
        <f t="shared" si="10"/>
        <v>1.7595427654569319E-2</v>
      </c>
      <c r="W39" s="2"/>
      <c r="X39" s="2">
        <f t="shared" si="11"/>
        <v>4525.5099999999984</v>
      </c>
      <c r="Y39" s="2"/>
      <c r="Z39" s="19">
        <f t="shared" si="12"/>
        <v>0.25009408556840657</v>
      </c>
    </row>
    <row r="40" spans="1:26" s="24" customFormat="1" hidden="1" outlineLevel="1" x14ac:dyDescent="0.25">
      <c r="A40" s="44"/>
      <c r="B40" s="11" t="str">
        <f>CONCATENATE("          ", "5045", " - ", "PURCHASES @ COST-SPECIAL ORDER")</f>
        <v xml:space="preserve">          5045 - PURCHASES @ COST-SPECIAL ORDER</v>
      </c>
      <c r="C40" s="11"/>
      <c r="D40" s="2">
        <v>14178.29</v>
      </c>
      <c r="E40" s="2"/>
      <c r="F40" s="19">
        <f t="shared" si="5"/>
        <v>4.8630505445078361E-2</v>
      </c>
      <c r="G40" s="2"/>
      <c r="H40" s="2">
        <v>7043.41</v>
      </c>
      <c r="I40" s="2"/>
      <c r="J40" s="19">
        <f t="shared" si="6"/>
        <v>3.4765886142353451E-2</v>
      </c>
      <c r="K40" s="2"/>
      <c r="L40" s="2">
        <f t="shared" si="7"/>
        <v>7134.880000000001</v>
      </c>
      <c r="M40" s="2"/>
      <c r="N40" s="19">
        <f t="shared" si="8"/>
        <v>1.012986607339343</v>
      </c>
      <c r="O40" s="11"/>
      <c r="P40" s="2">
        <v>43209.689999999995</v>
      </c>
      <c r="Q40" s="2"/>
      <c r="R40" s="19">
        <f t="shared" si="9"/>
        <v>3.5432913770511533E-2</v>
      </c>
      <c r="S40" s="2"/>
      <c r="T40" s="2">
        <v>48807.7</v>
      </c>
      <c r="U40" s="2"/>
      <c r="V40" s="19">
        <f t="shared" si="10"/>
        <v>4.7459598708384634E-2</v>
      </c>
      <c r="W40" s="2"/>
      <c r="X40" s="2">
        <f t="shared" si="11"/>
        <v>-5598.010000000002</v>
      </c>
      <c r="Y40" s="2"/>
      <c r="Z40" s="19">
        <f t="shared" si="12"/>
        <v>-0.11469522227025658</v>
      </c>
    </row>
    <row r="41" spans="1:26" s="24" customFormat="1" hidden="1" outlineLevel="1" x14ac:dyDescent="0.25">
      <c r="A41" s="44"/>
      <c r="B41" s="11" t="str">
        <f>CONCATENATE("          ", "5200", " - ", "PURCHASES OFFSET")</f>
        <v xml:space="preserve">          5200 - PURCHASES OFFSET</v>
      </c>
      <c r="C41" s="11"/>
      <c r="D41" s="2">
        <v>-149206</v>
      </c>
      <c r="E41" s="2"/>
      <c r="F41" s="19">
        <f t="shared" si="5"/>
        <v>-0.51176574858028445</v>
      </c>
      <c r="G41" s="2"/>
      <c r="H41" s="2">
        <v>-117041</v>
      </c>
      <c r="I41" s="2"/>
      <c r="J41" s="19">
        <f t="shared" si="6"/>
        <v>-0.57770796815565051</v>
      </c>
      <c r="K41" s="2"/>
      <c r="L41" s="2">
        <f t="shared" si="7"/>
        <v>-32165</v>
      </c>
      <c r="M41" s="2"/>
      <c r="N41" s="19">
        <f t="shared" si="8"/>
        <v>0.27481822609171147</v>
      </c>
      <c r="O41" s="11"/>
      <c r="P41" s="2">
        <v>-728536</v>
      </c>
      <c r="Q41" s="2"/>
      <c r="R41" s="19">
        <f t="shared" si="9"/>
        <v>-0.59741584044489549</v>
      </c>
      <c r="S41" s="2"/>
      <c r="T41" s="2">
        <v>-680123</v>
      </c>
      <c r="U41" s="2"/>
      <c r="V41" s="19">
        <f t="shared" si="10"/>
        <v>-0.6613375482217495</v>
      </c>
      <c r="W41" s="2"/>
      <c r="X41" s="2">
        <f t="shared" si="11"/>
        <v>-48413</v>
      </c>
      <c r="Y41" s="2"/>
      <c r="Z41" s="19">
        <f t="shared" si="12"/>
        <v>7.1182712538761378E-2</v>
      </c>
    </row>
    <row r="42" spans="1:26" s="24" customFormat="1" hidden="1" outlineLevel="1" x14ac:dyDescent="0.25">
      <c r="A42" s="44"/>
      <c r="B42" s="11" t="str">
        <f>CONCATENATE("          ", "5300", " - ", "COG$ OFFSET")</f>
        <v xml:space="preserve">          5300 - COG$ OFFSET</v>
      </c>
      <c r="C42" s="11"/>
      <c r="D42" s="2">
        <v>138881</v>
      </c>
      <c r="E42" s="2"/>
      <c r="F42" s="19">
        <f t="shared" si="5"/>
        <v>0.47635174811052161</v>
      </c>
      <c r="G42" s="2"/>
      <c r="H42" s="2">
        <v>89296</v>
      </c>
      <c r="I42" s="2"/>
      <c r="J42" s="19">
        <f t="shared" si="6"/>
        <v>0.4407601671587475</v>
      </c>
      <c r="K42" s="2"/>
      <c r="L42" s="2">
        <f t="shared" si="7"/>
        <v>49585</v>
      </c>
      <c r="M42" s="2"/>
      <c r="N42" s="19">
        <f t="shared" si="8"/>
        <v>0.5552880308188497</v>
      </c>
      <c r="O42" s="11"/>
      <c r="P42" s="2">
        <v>567554</v>
      </c>
      <c r="Q42" s="2"/>
      <c r="R42" s="19">
        <f t="shared" si="9"/>
        <v>0.46540699417442954</v>
      </c>
      <c r="S42" s="2"/>
      <c r="T42" s="2">
        <v>479937</v>
      </c>
      <c r="U42" s="2"/>
      <c r="V42" s="19">
        <f t="shared" si="10"/>
        <v>0.46668081932371319</v>
      </c>
      <c r="W42" s="2"/>
      <c r="X42" s="2">
        <f t="shared" si="11"/>
        <v>87617</v>
      </c>
      <c r="Y42" s="2"/>
      <c r="Z42" s="19">
        <f t="shared" si="12"/>
        <v>0.1825593775849747</v>
      </c>
    </row>
    <row r="43" spans="1:26" s="24" customFormat="1" hidden="1" outlineLevel="1" x14ac:dyDescent="0.25">
      <c r="A43" s="44"/>
      <c r="B43" s="11" t="str">
        <f>CONCATENATE("          ", "5500", " - ", "FREIGHT-IN")</f>
        <v xml:space="preserve">          5500 - FREIGHT-IN</v>
      </c>
      <c r="C43" s="11"/>
      <c r="D43" s="2"/>
      <c r="E43" s="2"/>
      <c r="F43" s="19">
        <f t="shared" si="5"/>
        <v>0</v>
      </c>
      <c r="G43" s="2"/>
      <c r="H43" s="2"/>
      <c r="I43" s="2"/>
      <c r="J43" s="19">
        <f t="shared" si="6"/>
        <v>0</v>
      </c>
      <c r="K43" s="2"/>
      <c r="L43" s="2">
        <f t="shared" si="7"/>
        <v>0</v>
      </c>
      <c r="M43" s="2"/>
      <c r="N43" s="19">
        <f t="shared" si="8"/>
        <v>0</v>
      </c>
      <c r="O43" s="11"/>
      <c r="P43" s="2">
        <v>29.23</v>
      </c>
      <c r="Q43" s="2"/>
      <c r="R43" s="19">
        <f t="shared" si="9"/>
        <v>2.3969254801690367E-5</v>
      </c>
      <c r="S43" s="2"/>
      <c r="T43" s="2"/>
      <c r="U43" s="2"/>
      <c r="V43" s="19">
        <f t="shared" si="10"/>
        <v>0</v>
      </c>
      <c r="W43" s="2"/>
      <c r="X43" s="2">
        <f t="shared" si="11"/>
        <v>29.23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"5540", " - ", "FREIGHT-IN-LOGO CLOTHING")</f>
        <v xml:space="preserve">          5540 - FREIGHT-IN-LOGO CLOTHING</v>
      </c>
      <c r="C44" s="11"/>
      <c r="D44" s="2">
        <v>6133.89</v>
      </c>
      <c r="E44" s="2"/>
      <c r="F44" s="19">
        <f t="shared" si="5"/>
        <v>2.1038797418060407E-2</v>
      </c>
      <c r="G44" s="2"/>
      <c r="H44" s="2">
        <v>1855.88</v>
      </c>
      <c r="I44" s="2"/>
      <c r="J44" s="19">
        <f t="shared" si="6"/>
        <v>9.1605220729548513E-3</v>
      </c>
      <c r="K44" s="2"/>
      <c r="L44" s="2">
        <f t="shared" si="7"/>
        <v>4278.01</v>
      </c>
      <c r="M44" s="2"/>
      <c r="N44" s="19">
        <f t="shared" si="8"/>
        <v>2.305111321852706</v>
      </c>
      <c r="O44" s="11"/>
      <c r="P44" s="2">
        <v>20241.329999999998</v>
      </c>
      <c r="Q44" s="2"/>
      <c r="R44" s="19">
        <f t="shared" si="9"/>
        <v>1.6598344040201822E-2</v>
      </c>
      <c r="S44" s="2"/>
      <c r="T44" s="2">
        <v>12187.23</v>
      </c>
      <c r="U44" s="2"/>
      <c r="V44" s="19">
        <f t="shared" si="10"/>
        <v>1.1850610562816655E-2</v>
      </c>
      <c r="W44" s="2"/>
      <c r="X44" s="2">
        <f t="shared" si="11"/>
        <v>8054.0999999999985</v>
      </c>
      <c r="Y44" s="2"/>
      <c r="Z44" s="19">
        <f t="shared" si="12"/>
        <v>0.6608638714457673</v>
      </c>
    </row>
    <row r="45" spans="1:26" s="24" customFormat="1" hidden="1" outlineLevel="1" x14ac:dyDescent="0.25">
      <c r="A45" s="44"/>
      <c r="B45" s="11" t="str">
        <f>CONCATENATE("          ", "5541", " - ", "FREIGHT-IN-LOGO GIFTS")</f>
        <v xml:space="preserve">          5541 - FREIGHT-IN-LOGO GIFTS</v>
      </c>
      <c r="C45" s="11"/>
      <c r="D45" s="2">
        <v>1315.98</v>
      </c>
      <c r="E45" s="2"/>
      <c r="F45" s="19">
        <f t="shared" si="5"/>
        <v>4.5137158681063947E-3</v>
      </c>
      <c r="G45" s="2"/>
      <c r="H45" s="2">
        <v>843.44</v>
      </c>
      <c r="I45" s="2"/>
      <c r="J45" s="19">
        <f t="shared" si="6"/>
        <v>4.1631736627438408E-3</v>
      </c>
      <c r="K45" s="2"/>
      <c r="L45" s="2">
        <f t="shared" si="7"/>
        <v>472.53999999999996</v>
      </c>
      <c r="M45" s="2"/>
      <c r="N45" s="19">
        <f t="shared" si="8"/>
        <v>0.56025324860096737</v>
      </c>
      <c r="O45" s="11"/>
      <c r="P45" s="2">
        <v>2852.83</v>
      </c>
      <c r="Q45" s="2"/>
      <c r="R45" s="19">
        <f t="shared" si="9"/>
        <v>2.3393845082417494E-3</v>
      </c>
      <c r="S45" s="2"/>
      <c r="T45" s="2">
        <v>3968</v>
      </c>
      <c r="U45" s="2"/>
      <c r="V45" s="19">
        <f t="shared" si="10"/>
        <v>3.8584011882319843E-3</v>
      </c>
      <c r="W45" s="2"/>
      <c r="X45" s="2">
        <f t="shared" si="11"/>
        <v>-1115.17</v>
      </c>
      <c r="Y45" s="2"/>
      <c r="Z45" s="19">
        <f t="shared" si="12"/>
        <v>-0.28104082661290325</v>
      </c>
    </row>
    <row r="46" spans="1:26" s="24" customFormat="1" hidden="1" outlineLevel="1" x14ac:dyDescent="0.25">
      <c r="A46" s="44"/>
      <c r="B46" s="11" t="str">
        <f>CONCATENATE("          ", "5542", " - ", "FREIGHT-IN-EVERYDAY GIFTS")</f>
        <v xml:space="preserve">          5542 - FREIGHT-IN-EVERYDAY GIFTS</v>
      </c>
      <c r="C46" s="11"/>
      <c r="D46" s="2">
        <v>745.78</v>
      </c>
      <c r="E46" s="2"/>
      <c r="F46" s="19">
        <f t="shared" si="5"/>
        <v>2.5579712610498541E-3</v>
      </c>
      <c r="G46" s="2"/>
      <c r="H46" s="2">
        <v>336.12</v>
      </c>
      <c r="I46" s="2"/>
      <c r="J46" s="19">
        <f t="shared" si="6"/>
        <v>1.6590699178619223E-3</v>
      </c>
      <c r="K46" s="2"/>
      <c r="L46" s="2">
        <f t="shared" si="7"/>
        <v>409.65999999999997</v>
      </c>
      <c r="M46" s="2"/>
      <c r="N46" s="19">
        <f t="shared" si="8"/>
        <v>1.2187909080090442</v>
      </c>
      <c r="O46" s="11"/>
      <c r="P46" s="2">
        <v>1513.51</v>
      </c>
      <c r="Q46" s="2"/>
      <c r="R46" s="19">
        <f t="shared" si="9"/>
        <v>1.2411121051969342E-3</v>
      </c>
      <c r="S46" s="2"/>
      <c r="T46" s="2">
        <v>1100.31</v>
      </c>
      <c r="U46" s="2"/>
      <c r="V46" s="19">
        <f t="shared" si="10"/>
        <v>1.0699187024756892E-3</v>
      </c>
      <c r="W46" s="2"/>
      <c r="X46" s="2">
        <f t="shared" si="11"/>
        <v>413.20000000000005</v>
      </c>
      <c r="Y46" s="2"/>
      <c r="Z46" s="19">
        <f t="shared" si="12"/>
        <v>0.37553053230453243</v>
      </c>
    </row>
    <row r="47" spans="1:26" s="24" customFormat="1" hidden="1" outlineLevel="1" x14ac:dyDescent="0.25">
      <c r="A47" s="44"/>
      <c r="B47" s="11" t="str">
        <f>CONCATENATE("          ", "5543", " - ", "FREIGHT-IN-CARDS")</f>
        <v xml:space="preserve">          5543 - FREIGHT-IN-CARDS</v>
      </c>
      <c r="C47" s="11"/>
      <c r="D47" s="2">
        <v>39.01</v>
      </c>
      <c r="E47" s="2"/>
      <c r="F47" s="19">
        <f t="shared" si="5"/>
        <v>1.3380146811868757E-4</v>
      </c>
      <c r="G47" s="2"/>
      <c r="H47" s="2">
        <v>12.47</v>
      </c>
      <c r="I47" s="2"/>
      <c r="J47" s="19">
        <f t="shared" si="6"/>
        <v>6.1551237283524258E-5</v>
      </c>
      <c r="K47" s="2"/>
      <c r="L47" s="2">
        <f t="shared" si="7"/>
        <v>26.54</v>
      </c>
      <c r="M47" s="2"/>
      <c r="N47" s="19">
        <f t="shared" si="8"/>
        <v>2.1283079390537289</v>
      </c>
      <c r="O47" s="11"/>
      <c r="P47" s="2">
        <v>43.59</v>
      </c>
      <c r="Q47" s="2"/>
      <c r="R47" s="19">
        <f t="shared" si="9"/>
        <v>3.5744776490102057E-5</v>
      </c>
      <c r="S47" s="2"/>
      <c r="T47" s="2">
        <v>12.47</v>
      </c>
      <c r="U47" s="2"/>
      <c r="V47" s="19">
        <f t="shared" si="10"/>
        <v>1.212557026644477E-5</v>
      </c>
      <c r="W47" s="2"/>
      <c r="X47" s="2">
        <f t="shared" si="11"/>
        <v>31.120000000000005</v>
      </c>
      <c r="Y47" s="2"/>
      <c r="Z47" s="19">
        <f t="shared" si="12"/>
        <v>2.4955894145950284</v>
      </c>
    </row>
    <row r="48" spans="1:26" s="24" customFormat="1" hidden="1" outlineLevel="1" x14ac:dyDescent="0.25">
      <c r="A48" s="44"/>
      <c r="B48" s="11" t="str">
        <f>CONCATENATE("          ", "5544", " - ", "FREIGHT-IN-ACCESSORIES")</f>
        <v xml:space="preserve">          5544 - FREIGHT-IN-ACCESSORIES</v>
      </c>
      <c r="C48" s="11"/>
      <c r="D48" s="2">
        <v>54.82</v>
      </c>
      <c r="E48" s="2"/>
      <c r="F48" s="19">
        <f t="shared" si="5"/>
        <v>1.8802862041185473E-4</v>
      </c>
      <c r="G48" s="2"/>
      <c r="H48" s="2">
        <v>12.48</v>
      </c>
      <c r="I48" s="2"/>
      <c r="J48" s="19">
        <f t="shared" si="6"/>
        <v>6.1600596736037096E-5</v>
      </c>
      <c r="K48" s="2"/>
      <c r="L48" s="2">
        <f t="shared" si="7"/>
        <v>42.34</v>
      </c>
      <c r="M48" s="2"/>
      <c r="N48" s="19">
        <f t="shared" si="8"/>
        <v>3.3926282051282053</v>
      </c>
      <c r="O48" s="11"/>
      <c r="P48" s="2">
        <v>413.91</v>
      </c>
      <c r="Q48" s="2"/>
      <c r="R48" s="19">
        <f t="shared" si="9"/>
        <v>3.3941547228763806E-4</v>
      </c>
      <c r="S48" s="2"/>
      <c r="T48" s="2">
        <v>590.45000000000005</v>
      </c>
      <c r="U48" s="2"/>
      <c r="V48" s="19">
        <f t="shared" si="10"/>
        <v>5.741413764091672E-4</v>
      </c>
      <c r="W48" s="2"/>
      <c r="X48" s="2">
        <f t="shared" si="11"/>
        <v>-176.54000000000002</v>
      </c>
      <c r="Y48" s="2"/>
      <c r="Z48" s="19">
        <f t="shared" si="12"/>
        <v>-0.29899229401304089</v>
      </c>
    </row>
    <row r="49" spans="1:26" s="24" customFormat="1" hidden="1" outlineLevel="1" x14ac:dyDescent="0.25">
      <c r="A49" s="44"/>
      <c r="B49" s="11" t="str">
        <f>CONCATENATE("          ", "5545", " - ", "FREIGHT-IN-SPECIAL ORDERS")</f>
        <v xml:space="preserve">          5545 - FREIGHT-IN-SPECIAL ORDERS</v>
      </c>
      <c r="C49" s="11"/>
      <c r="D49" s="2">
        <v>158.08000000000001</v>
      </c>
      <c r="E49" s="2"/>
      <c r="F49" s="19">
        <f t="shared" si="5"/>
        <v>5.4220292438354604E-4</v>
      </c>
      <c r="G49" s="2"/>
      <c r="H49" s="2">
        <v>46.54</v>
      </c>
      <c r="I49" s="2"/>
      <c r="J49" s="19">
        <f t="shared" si="6"/>
        <v>2.2971889199480502E-4</v>
      </c>
      <c r="K49" s="2"/>
      <c r="L49" s="2">
        <f t="shared" si="7"/>
        <v>111.54000000000002</v>
      </c>
      <c r="M49" s="2"/>
      <c r="N49" s="19">
        <f t="shared" si="8"/>
        <v>2.3966480446927378</v>
      </c>
      <c r="O49" s="11"/>
      <c r="P49" s="2">
        <v>505.06</v>
      </c>
      <c r="Q49" s="2"/>
      <c r="R49" s="19">
        <f t="shared" si="9"/>
        <v>4.1416051420259105E-4</v>
      </c>
      <c r="S49" s="2"/>
      <c r="T49" s="2">
        <v>1307.5999999999999</v>
      </c>
      <c r="U49" s="2"/>
      <c r="V49" s="19">
        <f t="shared" si="10"/>
        <v>1.2714832141462052E-3</v>
      </c>
      <c r="W49" s="2"/>
      <c r="X49" s="2">
        <f t="shared" si="11"/>
        <v>-802.54</v>
      </c>
      <c r="Y49" s="2"/>
      <c r="Z49" s="19">
        <f t="shared" si="12"/>
        <v>-0.61375038237993274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9" t="s">
        <v>6</v>
      </c>
      <c r="C51" s="29"/>
      <c r="D51" s="21">
        <f>D12-D34</f>
        <v>152669.51999999999</v>
      </c>
      <c r="E51" s="14"/>
      <c r="F51" s="20">
        <f>IF(D$12=0,0,D51/D$12)</f>
        <v>0.52364537075045714</v>
      </c>
      <c r="G51" s="14"/>
      <c r="H51" s="21">
        <f>H12-H34</f>
        <v>113298.42000000001</v>
      </c>
      <c r="I51" s="14"/>
      <c r="J51" s="20">
        <f>IF(H$12=0,0,H51/H$12)</f>
        <v>0.5592347981770962</v>
      </c>
      <c r="K51" s="15"/>
      <c r="L51" s="21">
        <f>+D51-H51</f>
        <v>39371.099999999977</v>
      </c>
      <c r="M51" s="15"/>
      <c r="N51" s="20">
        <f>IF(H51=0,0,L51/H51)</f>
        <v>0.34749910899022224</v>
      </c>
      <c r="O51" s="28"/>
      <c r="P51" s="21">
        <f>P12-P34</f>
        <v>651896.97000000044</v>
      </c>
      <c r="Q51" s="14"/>
      <c r="R51" s="20">
        <f>IF(P$12=0,0,P51/P$12)</f>
        <v>0.53457011900033913</v>
      </c>
      <c r="S51" s="14"/>
      <c r="T51" s="21">
        <f>T12-T34</f>
        <v>548467.53000000026</v>
      </c>
      <c r="U51" s="14"/>
      <c r="V51" s="20">
        <f>IF(T$12=0,0,T51/T$12)</f>
        <v>0.53331849028696132</v>
      </c>
      <c r="W51" s="15"/>
      <c r="X51" s="21">
        <f>+P51-T51</f>
        <v>103429.44000000018</v>
      </c>
      <c r="Y51" s="15"/>
      <c r="Z51" s="20">
        <f>IF(T51=0,0,X51/T51)</f>
        <v>0.18857896656161235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8" t="s">
        <v>9</v>
      </c>
      <c r="C53" s="10"/>
      <c r="D53" s="22">
        <f>SUM(OSRRefD22x_0)</f>
        <v>72189.81</v>
      </c>
      <c r="E53" s="22"/>
      <c r="F53" s="33">
        <f t="shared" ref="F53:F62" si="13">IF(D$12=0,0,D53/D$12)</f>
        <v>0.24760580777259966</v>
      </c>
      <c r="G53" s="22"/>
      <c r="H53" s="22">
        <f>SUM(OSRRefH22x_0)</f>
        <v>46034.530000000006</v>
      </c>
      <c r="I53" s="22"/>
      <c r="J53" s="33">
        <f t="shared" ref="J53:J62" si="14">IF(H$12=0,0,H53/H$12)</f>
        <v>0.22722391974863801</v>
      </c>
      <c r="K53" s="4"/>
      <c r="L53" s="22">
        <f t="shared" ref="L53:L62" si="15">+D53-H53</f>
        <v>26155.279999999992</v>
      </c>
      <c r="M53" s="4"/>
      <c r="N53" s="33">
        <f t="shared" ref="N53:N62" si="16">IF(H53=0,0,L53/H53)</f>
        <v>0.56816654802384181</v>
      </c>
      <c r="O53" s="10"/>
      <c r="P53" s="22">
        <f>SUM(OSRRefP22x_0)</f>
        <v>304634.81</v>
      </c>
      <c r="Q53" s="22"/>
      <c r="R53" s="33">
        <f t="shared" ref="R53:R62" si="17">IF(P$12=0,0,P53/P$12)</f>
        <v>0.24980736853761659</v>
      </c>
      <c r="S53" s="22"/>
      <c r="T53" s="22">
        <f>SUM(OSRRefT22x_0)</f>
        <v>233925.71999999997</v>
      </c>
      <c r="U53" s="22"/>
      <c r="V53" s="33">
        <f t="shared" ref="V53:V62" si="18">IF(T$12=0,0,T53/T$12)</f>
        <v>0.2274645352837758</v>
      </c>
      <c r="W53" s="4"/>
      <c r="X53" s="22">
        <f t="shared" ref="X53:X62" si="19">+P53-T53</f>
        <v>70709.090000000026</v>
      </c>
      <c r="Y53" s="4"/>
      <c r="Z53" s="33">
        <f t="shared" ref="Z53:Z62" si="20">IF(T53=0,0,X53/T53)</f>
        <v>0.30227155013138374</v>
      </c>
    </row>
    <row r="54" spans="1:26" s="25" customFormat="1" outlineLevel="1" collapsed="1" x14ac:dyDescent="0.25">
      <c r="A54" s="27"/>
      <c r="B54" s="13" t="str">
        <f>CONCATENATE("     ","*Benefits                                         ")</f>
        <v xml:space="preserve">     *Benefits                                         </v>
      </c>
      <c r="C54" s="13"/>
      <c r="D54" s="1">
        <f>SUM(OSRRefD22_0x_0)</f>
        <v>4537.38</v>
      </c>
      <c r="E54" s="1"/>
      <c r="F54" s="5">
        <f t="shared" si="13"/>
        <v>1.5562884014672408E-2</v>
      </c>
      <c r="G54" s="1"/>
      <c r="H54" s="1">
        <f>SUM(OSRRefH22_0x_0)</f>
        <v>4594.67</v>
      </c>
      <c r="I54" s="1"/>
      <c r="J54" s="5">
        <f t="shared" si="14"/>
        <v>2.267903956772176E-2</v>
      </c>
      <c r="K54" s="1"/>
      <c r="L54" s="1">
        <f t="shared" si="15"/>
        <v>-57.289999999999964</v>
      </c>
      <c r="M54" s="1"/>
      <c r="N54" s="5">
        <f t="shared" si="16"/>
        <v>-1.2468795365064294E-2</v>
      </c>
      <c r="O54" s="13"/>
      <c r="P54" s="1">
        <f>SUM(OSRRefP22_0x_0)</f>
        <v>36089.83</v>
      </c>
      <c r="Q54" s="1"/>
      <c r="R54" s="5">
        <f t="shared" si="17"/>
        <v>2.9594469073543933E-2</v>
      </c>
      <c r="S54" s="1"/>
      <c r="T54" s="1">
        <f>SUM(OSRRefT22_0x_0)</f>
        <v>27004.449999999997</v>
      </c>
      <c r="U54" s="1"/>
      <c r="V54" s="5">
        <f t="shared" si="18"/>
        <v>2.6258569044241734E-2</v>
      </c>
      <c r="W54" s="1"/>
      <c r="X54" s="1">
        <f t="shared" si="19"/>
        <v>9085.3800000000047</v>
      </c>
      <c r="Y54" s="1"/>
      <c r="Z54" s="5">
        <f t="shared" si="20"/>
        <v>0.33644010524191403</v>
      </c>
    </row>
    <row r="55" spans="1:26" s="24" customFormat="1" hidden="1" outlineLevel="2" x14ac:dyDescent="0.25">
      <c r="A55" s="26"/>
      <c r="B55" s="11" t="str">
        <f>CONCATENATE("          ", "6111", " - ", "F.I.C.A.")</f>
        <v xml:space="preserve">          6111 - F.I.C.A.</v>
      </c>
      <c r="C55" s="11"/>
      <c r="D55" s="6">
        <v>842.65</v>
      </c>
      <c r="E55" s="2"/>
      <c r="F55" s="7">
        <f t="shared" si="13"/>
        <v>2.8902283288954646E-3</v>
      </c>
      <c r="G55" s="2"/>
      <c r="H55" s="6">
        <v>920.47</v>
      </c>
      <c r="I55" s="2"/>
      <c r="J55" s="7">
        <f t="shared" si="14"/>
        <v>4.5433895254503257E-3</v>
      </c>
      <c r="K55" s="2"/>
      <c r="L55" s="6">
        <f t="shared" si="15"/>
        <v>-77.82000000000005</v>
      </c>
      <c r="M55" s="2"/>
      <c r="N55" s="7">
        <f t="shared" si="16"/>
        <v>-8.454376568492189E-2</v>
      </c>
      <c r="O55" s="11"/>
      <c r="P55" s="6">
        <v>7863.95</v>
      </c>
      <c r="Q55" s="2"/>
      <c r="R55" s="7">
        <f t="shared" si="17"/>
        <v>6.4486151658485445E-3</v>
      </c>
      <c r="S55" s="2"/>
      <c r="T55" s="6">
        <v>6600.97</v>
      </c>
      <c r="U55" s="2"/>
      <c r="V55" s="7">
        <f t="shared" si="18"/>
        <v>6.4186467972489119E-3</v>
      </c>
      <c r="W55" s="2"/>
      <c r="X55" s="6">
        <f t="shared" si="19"/>
        <v>1262.9799999999996</v>
      </c>
      <c r="Y55" s="2"/>
      <c r="Z55" s="7">
        <f t="shared" si="20"/>
        <v>0.19133248598312058</v>
      </c>
    </row>
    <row r="56" spans="1:26" s="24" customFormat="1" hidden="1" outlineLevel="2" x14ac:dyDescent="0.25">
      <c r="A56" s="26"/>
      <c r="B56" s="11" t="str">
        <f>CONCATENATE("          ", "6112", " - ", "COMPENSATION INSURANCE")</f>
        <v xml:space="preserve">          6112 - COMPENSATION INSURANCE</v>
      </c>
      <c r="C56" s="11"/>
      <c r="D56" s="6">
        <v>458.03</v>
      </c>
      <c r="E56" s="2"/>
      <c r="F56" s="7">
        <f t="shared" si="13"/>
        <v>1.5710096498949618E-3</v>
      </c>
      <c r="G56" s="2"/>
      <c r="H56" s="6">
        <v>239.32</v>
      </c>
      <c r="I56" s="2"/>
      <c r="J56" s="7">
        <f t="shared" si="14"/>
        <v>1.181270417537532E-3</v>
      </c>
      <c r="K56" s="2"/>
      <c r="L56" s="6">
        <f t="shared" si="15"/>
        <v>218.70999999999998</v>
      </c>
      <c r="M56" s="2"/>
      <c r="N56" s="7">
        <f t="shared" si="16"/>
        <v>0.91388099615577467</v>
      </c>
      <c r="O56" s="11"/>
      <c r="P56" s="6">
        <v>2113.23</v>
      </c>
      <c r="Q56" s="2"/>
      <c r="R56" s="7">
        <f t="shared" si="17"/>
        <v>1.7328959399444453E-3</v>
      </c>
      <c r="S56" s="2"/>
      <c r="T56" s="6">
        <v>1309.46</v>
      </c>
      <c r="U56" s="2"/>
      <c r="V56" s="7">
        <f t="shared" si="18"/>
        <v>1.2732918397031891E-3</v>
      </c>
      <c r="W56" s="2"/>
      <c r="X56" s="6">
        <f t="shared" si="19"/>
        <v>803.77</v>
      </c>
      <c r="Y56" s="2"/>
      <c r="Z56" s="7">
        <f t="shared" si="20"/>
        <v>0.61381790967268945</v>
      </c>
    </row>
    <row r="57" spans="1:26" s="24" customFormat="1" hidden="1" outlineLevel="2" x14ac:dyDescent="0.25">
      <c r="A57" s="26"/>
      <c r="B57" s="11" t="str">
        <f>CONCATENATE("          ", "6113", " - ", "GROUP INSURANCE")</f>
        <v xml:space="preserve">          6113 - GROUP INSURANCE</v>
      </c>
      <c r="C57" s="11"/>
      <c r="D57" s="6">
        <v>1382.14</v>
      </c>
      <c r="E57" s="2"/>
      <c r="F57" s="7">
        <f t="shared" si="13"/>
        <v>4.740639865305379E-3</v>
      </c>
      <c r="G57" s="2"/>
      <c r="H57" s="6">
        <v>1774.1</v>
      </c>
      <c r="I57" s="2"/>
      <c r="J57" s="7">
        <f t="shared" si="14"/>
        <v>8.7568604703047604E-3</v>
      </c>
      <c r="K57" s="2"/>
      <c r="L57" s="6">
        <f t="shared" si="15"/>
        <v>-391.95999999999981</v>
      </c>
      <c r="M57" s="2"/>
      <c r="N57" s="7">
        <f t="shared" si="16"/>
        <v>-0.22093455836762294</v>
      </c>
      <c r="O57" s="11"/>
      <c r="P57" s="6">
        <v>12429.17</v>
      </c>
      <c r="Q57" s="2"/>
      <c r="R57" s="7">
        <f t="shared" si="17"/>
        <v>1.019219783453732E-2</v>
      </c>
      <c r="S57" s="2"/>
      <c r="T57" s="6">
        <v>7538.7</v>
      </c>
      <c r="U57" s="2"/>
      <c r="V57" s="7">
        <f t="shared" si="18"/>
        <v>7.3304760679749146E-3</v>
      </c>
      <c r="W57" s="2"/>
      <c r="X57" s="6">
        <f t="shared" si="19"/>
        <v>4890.47</v>
      </c>
      <c r="Y57" s="2"/>
      <c r="Z57" s="7">
        <f t="shared" si="20"/>
        <v>0.64871529574064501</v>
      </c>
    </row>
    <row r="58" spans="1:26" s="24" customFormat="1" hidden="1" outlineLevel="2" x14ac:dyDescent="0.25">
      <c r="A58" s="26"/>
      <c r="B58" s="11" t="str">
        <f>CONCATENATE("          ", "6114", " - ", "STATE UNEMPLOYMENT INSURANCE")</f>
        <v xml:space="preserve">          6114 - STATE UNEMPLOYMENT INSURANCE</v>
      </c>
      <c r="C58" s="11"/>
      <c r="D58" s="6">
        <v>62.68</v>
      </c>
      <c r="E58" s="2"/>
      <c r="F58" s="7">
        <f t="shared" si="13"/>
        <v>2.1498784982515603E-4</v>
      </c>
      <c r="G58" s="2"/>
      <c r="H58" s="6">
        <v>52.29</v>
      </c>
      <c r="I58" s="2"/>
      <c r="J58" s="7">
        <f t="shared" si="14"/>
        <v>2.5810057718969392E-4</v>
      </c>
      <c r="K58" s="2"/>
      <c r="L58" s="6">
        <f t="shared" si="15"/>
        <v>10.39</v>
      </c>
      <c r="M58" s="2"/>
      <c r="N58" s="7">
        <f t="shared" si="16"/>
        <v>0.19869956014534329</v>
      </c>
      <c r="O58" s="11"/>
      <c r="P58" s="6">
        <v>341.77</v>
      </c>
      <c r="Q58" s="2"/>
      <c r="R58" s="7">
        <f t="shared" si="17"/>
        <v>2.8025905622900159E-4</v>
      </c>
      <c r="S58" s="2"/>
      <c r="T58" s="6">
        <v>286.10000000000002</v>
      </c>
      <c r="U58" s="2"/>
      <c r="V58" s="7">
        <f t="shared" si="18"/>
        <v>2.7819772680271441E-4</v>
      </c>
      <c r="W58" s="2"/>
      <c r="X58" s="6">
        <f t="shared" si="19"/>
        <v>55.669999999999959</v>
      </c>
      <c r="Y58" s="2"/>
      <c r="Z58" s="7">
        <f t="shared" si="20"/>
        <v>0.19458231387626687</v>
      </c>
    </row>
    <row r="59" spans="1:26" s="24" customFormat="1" hidden="1" outlineLevel="2" x14ac:dyDescent="0.25">
      <c r="A59" s="26"/>
      <c r="B59" s="11" t="str">
        <f>CONCATENATE("          ", "6115", " - ", "P.E.R.S.")</f>
        <v xml:space="preserve">          6115 - P.E.R.S.</v>
      </c>
      <c r="C59" s="11"/>
      <c r="D59" s="6">
        <v>621.85</v>
      </c>
      <c r="E59" s="2"/>
      <c r="F59" s="7">
        <f t="shared" si="13"/>
        <v>2.132900357590512E-3</v>
      </c>
      <c r="G59" s="2"/>
      <c r="H59" s="6">
        <v>616.73</v>
      </c>
      <c r="I59" s="2"/>
      <c r="J59" s="7">
        <f t="shared" si="14"/>
        <v>3.0441455148250128E-3</v>
      </c>
      <c r="K59" s="2"/>
      <c r="L59" s="6">
        <f t="shared" si="15"/>
        <v>5.1200000000000045</v>
      </c>
      <c r="M59" s="2"/>
      <c r="N59" s="7">
        <f t="shared" si="16"/>
        <v>8.3018500802620344E-3</v>
      </c>
      <c r="O59" s="11"/>
      <c r="P59" s="6">
        <v>4599.29</v>
      </c>
      <c r="Q59" s="2"/>
      <c r="R59" s="7">
        <f t="shared" si="17"/>
        <v>3.7715208319146934E-3</v>
      </c>
      <c r="S59" s="2"/>
      <c r="T59" s="6">
        <v>3924.93</v>
      </c>
      <c r="U59" s="2"/>
      <c r="V59" s="7">
        <f t="shared" si="18"/>
        <v>3.816520810415162E-3</v>
      </c>
      <c r="W59" s="2"/>
      <c r="X59" s="6">
        <f t="shared" si="19"/>
        <v>674.36000000000013</v>
      </c>
      <c r="Y59" s="2"/>
      <c r="Z59" s="7">
        <f t="shared" si="20"/>
        <v>0.17181452917631657</v>
      </c>
    </row>
    <row r="60" spans="1:26" s="24" customFormat="1" hidden="1" outlineLevel="2" x14ac:dyDescent="0.25">
      <c r="A60" s="26"/>
      <c r="B60" s="11" t="str">
        <f>CONCATENATE("          ", "6118", " - ", "VACATION")</f>
        <v xml:space="preserve">          6118 - VACATION</v>
      </c>
      <c r="C60" s="11"/>
      <c r="D60" s="6">
        <v>622.44000000000005</v>
      </c>
      <c r="E60" s="2"/>
      <c r="F60" s="7">
        <f t="shared" si="13"/>
        <v>2.1349240147602129E-3</v>
      </c>
      <c r="G60" s="2"/>
      <c r="H60" s="6">
        <v>548.74</v>
      </c>
      <c r="I60" s="2"/>
      <c r="J60" s="7">
        <f t="shared" si="14"/>
        <v>2.7085505971901442E-3</v>
      </c>
      <c r="K60" s="2"/>
      <c r="L60" s="6">
        <f t="shared" si="15"/>
        <v>73.700000000000045</v>
      </c>
      <c r="M60" s="2"/>
      <c r="N60" s="7">
        <f t="shared" si="16"/>
        <v>0.1343076867004411</v>
      </c>
      <c r="O60" s="11"/>
      <c r="P60" s="6">
        <v>4025.45</v>
      </c>
      <c r="Q60" s="2"/>
      <c r="R60" s="7">
        <f t="shared" si="17"/>
        <v>3.3009591769231779E-3</v>
      </c>
      <c r="S60" s="2"/>
      <c r="T60" s="6">
        <v>3523.98</v>
      </c>
      <c r="U60" s="2"/>
      <c r="V60" s="7">
        <f t="shared" si="18"/>
        <v>3.42664531736536E-3</v>
      </c>
      <c r="W60" s="2"/>
      <c r="X60" s="6">
        <f t="shared" si="19"/>
        <v>501.4699999999998</v>
      </c>
      <c r="Y60" s="2"/>
      <c r="Z60" s="7">
        <f t="shared" si="20"/>
        <v>0.14230216970584389</v>
      </c>
    </row>
    <row r="61" spans="1:26" s="24" customFormat="1" hidden="1" outlineLevel="2" x14ac:dyDescent="0.25">
      <c r="A61" s="26"/>
      <c r="B61" s="11" t="str">
        <f>CONCATENATE("          ", "6119", " - ", "SICK LEAVE")</f>
        <v xml:space="preserve">          6119 - SICK LEAVE</v>
      </c>
      <c r="C61" s="11"/>
      <c r="D61" s="6">
        <v>373.16</v>
      </c>
      <c r="E61" s="2"/>
      <c r="F61" s="7">
        <f t="shared" si="13"/>
        <v>1.2799117109246207E-3</v>
      </c>
      <c r="G61" s="2"/>
      <c r="H61" s="6">
        <v>339.1</v>
      </c>
      <c r="I61" s="2"/>
      <c r="J61" s="7">
        <f t="shared" si="14"/>
        <v>1.6737790347107517E-3</v>
      </c>
      <c r="K61" s="2"/>
      <c r="L61" s="6">
        <f t="shared" si="15"/>
        <v>34.06</v>
      </c>
      <c r="M61" s="2"/>
      <c r="N61" s="7">
        <f t="shared" si="16"/>
        <v>0.1004423473901504</v>
      </c>
      <c r="O61" s="11"/>
      <c r="P61" s="6">
        <v>3917.91</v>
      </c>
      <c r="Q61" s="2"/>
      <c r="R61" s="7">
        <f t="shared" si="17"/>
        <v>3.2127739678443623E-3</v>
      </c>
      <c r="S61" s="2"/>
      <c r="T61" s="6">
        <v>3193.69</v>
      </c>
      <c r="U61" s="2"/>
      <c r="V61" s="7">
        <f t="shared" si="18"/>
        <v>3.1054781478943062E-3</v>
      </c>
      <c r="W61" s="2"/>
      <c r="X61" s="6">
        <f t="shared" si="19"/>
        <v>724.2199999999998</v>
      </c>
      <c r="Y61" s="2"/>
      <c r="Z61" s="7">
        <f t="shared" si="20"/>
        <v>0.22676590401698343</v>
      </c>
    </row>
    <row r="62" spans="1:26" s="24" customFormat="1" hidden="1" outlineLevel="2" x14ac:dyDescent="0.25">
      <c r="A62" s="26"/>
      <c r="B62" s="11" t="str">
        <f>CONCATENATE("          ", "6156", " - ", "EMPLOYEE MEALS")</f>
        <v xml:space="preserve">          6156 - EMPLOYEE MEALS</v>
      </c>
      <c r="C62" s="11"/>
      <c r="D62" s="6">
        <v>174.43</v>
      </c>
      <c r="E62" s="2"/>
      <c r="F62" s="7">
        <f t="shared" si="13"/>
        <v>5.9828223747610031E-4</v>
      </c>
      <c r="G62" s="2"/>
      <c r="H62" s="6">
        <v>103.92</v>
      </c>
      <c r="I62" s="2"/>
      <c r="J62" s="7">
        <f t="shared" si="14"/>
        <v>5.1294343051353972E-4</v>
      </c>
      <c r="K62" s="2"/>
      <c r="L62" s="6">
        <f t="shared" si="15"/>
        <v>70.510000000000005</v>
      </c>
      <c r="M62" s="2"/>
      <c r="N62" s="7">
        <f t="shared" si="16"/>
        <v>0.67850269438029254</v>
      </c>
      <c r="O62" s="11"/>
      <c r="P62" s="6">
        <v>799.06</v>
      </c>
      <c r="Q62" s="2"/>
      <c r="R62" s="7">
        <f t="shared" si="17"/>
        <v>6.5524710030238464E-4</v>
      </c>
      <c r="S62" s="2"/>
      <c r="T62" s="6">
        <v>626.62</v>
      </c>
      <c r="U62" s="2"/>
      <c r="V62" s="7">
        <f t="shared" si="18"/>
        <v>6.0931233683717901E-4</v>
      </c>
      <c r="W62" s="2"/>
      <c r="X62" s="6">
        <f t="shared" si="19"/>
        <v>172.43999999999994</v>
      </c>
      <c r="Y62" s="2"/>
      <c r="Z62" s="7">
        <f t="shared" si="20"/>
        <v>0.27519070569084925</v>
      </c>
    </row>
    <row r="63" spans="1:26" s="25" customFormat="1" outlineLevel="1" collapsed="1" x14ac:dyDescent="0.25">
      <c r="A63" s="27"/>
      <c r="B63" s="13" t="str">
        <f>CONCATENATE("     ","*Payroll                                          ")</f>
        <v xml:space="preserve">     *Payroll                                          </v>
      </c>
      <c r="C63" s="13"/>
      <c r="D63" s="1">
        <f>SUM(OSRRefD22_1x_0)</f>
        <v>20918.82</v>
      </c>
      <c r="E63" s="1"/>
      <c r="F63" s="5">
        <f t="shared" ref="F63:F69" si="21">IF(D$12=0,0,D63/D$12)</f>
        <v>7.1750034024879866E-2</v>
      </c>
      <c r="G63" s="1"/>
      <c r="H63" s="1">
        <f>SUM(OSRRefH22_1x_0)</f>
        <v>18152.77</v>
      </c>
      <c r="I63" s="1"/>
      <c r="J63" s="5">
        <f t="shared" ref="J63:J69" si="22">IF(H$12=0,0,H63/H$12)</f>
        <v>8.9601078879169252E-2</v>
      </c>
      <c r="K63" s="1"/>
      <c r="L63" s="1">
        <f t="shared" ref="L63:L69" si="23">+D63-H63</f>
        <v>2766.0499999999993</v>
      </c>
      <c r="M63" s="1"/>
      <c r="N63" s="5">
        <f t="shared" ref="N63:N69" si="24">IF(H63=0,0,L63/H63)</f>
        <v>0.15237619382606618</v>
      </c>
      <c r="O63" s="13"/>
      <c r="P63" s="1">
        <f>SUM(OSRRefP22_1x_0)</f>
        <v>128348.77</v>
      </c>
      <c r="Q63" s="1"/>
      <c r="R63" s="5">
        <f t="shared" ref="R63:R69" si="25">IF(P$12=0,0,P63/P$12)</f>
        <v>0.10524886663063814</v>
      </c>
      <c r="S63" s="1"/>
      <c r="T63" s="1">
        <f>SUM(OSRRefT22_1x_0)</f>
        <v>97409.37</v>
      </c>
      <c r="U63" s="1"/>
      <c r="V63" s="5">
        <f t="shared" ref="V63:V69" si="26">IF(T$12=0,0,T63/T$12)</f>
        <v>9.4718858103056705E-2</v>
      </c>
      <c r="W63" s="1"/>
      <c r="X63" s="1">
        <f t="shared" ref="X63:X69" si="27">+P63-T63</f>
        <v>30939.400000000009</v>
      </c>
      <c r="Y63" s="1"/>
      <c r="Z63" s="5">
        <f t="shared" ref="Z63:Z69" si="28">IF(T63=0,0,X63/T63)</f>
        <v>0.31762242174443805</v>
      </c>
    </row>
    <row r="64" spans="1:26" s="24" customFormat="1" hidden="1" outlineLevel="2" x14ac:dyDescent="0.25">
      <c r="A64" s="26"/>
      <c r="B64" s="11" t="str">
        <f>CONCATENATE("          ", "6002", " - ", "STAFF SALARIES")</f>
        <v xml:space="preserve">          6002 - STAFF SALARIES</v>
      </c>
      <c r="C64" s="11"/>
      <c r="D64" s="6">
        <v>7177.71</v>
      </c>
      <c r="E64" s="2"/>
      <c r="F64" s="7">
        <f t="shared" si="21"/>
        <v>2.4619024243275698E-2</v>
      </c>
      <c r="G64" s="2"/>
      <c r="H64" s="6">
        <v>5810.85</v>
      </c>
      <c r="I64" s="2"/>
      <c r="J64" s="7">
        <f t="shared" si="22"/>
        <v>2.8682037463429583E-2</v>
      </c>
      <c r="K64" s="2"/>
      <c r="L64" s="6">
        <f t="shared" si="23"/>
        <v>1366.8599999999997</v>
      </c>
      <c r="M64" s="2"/>
      <c r="N64" s="7">
        <f t="shared" si="24"/>
        <v>0.2352254833630191</v>
      </c>
      <c r="O64" s="11"/>
      <c r="P64" s="6">
        <v>45204.32</v>
      </c>
      <c r="Q64" s="2"/>
      <c r="R64" s="7">
        <f t="shared" si="25"/>
        <v>3.7068555053614366E-2</v>
      </c>
      <c r="S64" s="2"/>
      <c r="T64" s="6">
        <v>34780.129999999997</v>
      </c>
      <c r="U64" s="2"/>
      <c r="V64" s="7">
        <f t="shared" si="26"/>
        <v>3.3819479566245682E-2</v>
      </c>
      <c r="W64" s="2"/>
      <c r="X64" s="6">
        <f t="shared" si="27"/>
        <v>10424.190000000002</v>
      </c>
      <c r="Y64" s="2"/>
      <c r="Z64" s="7">
        <f t="shared" si="28"/>
        <v>0.29971682106996161</v>
      </c>
    </row>
    <row r="65" spans="1:26" s="24" customFormat="1" hidden="1" outlineLevel="2" x14ac:dyDescent="0.25">
      <c r="A65" s="26"/>
      <c r="B65" s="11" t="str">
        <f>CONCATENATE("          ", "6004", " - ", "STAFF HOURLY")</f>
        <v xml:space="preserve">          6004 - STAFF HOURLY</v>
      </c>
      <c r="C65" s="11"/>
      <c r="D65" s="6">
        <v>-912.61</v>
      </c>
      <c r="E65" s="2"/>
      <c r="F65" s="7">
        <f t="shared" si="21"/>
        <v>-3.1301860502382841E-3</v>
      </c>
      <c r="G65" s="2"/>
      <c r="H65" s="6"/>
      <c r="I65" s="2"/>
      <c r="J65" s="7">
        <f t="shared" si="22"/>
        <v>0</v>
      </c>
      <c r="K65" s="2"/>
      <c r="L65" s="6">
        <f t="shared" si="23"/>
        <v>-912.61</v>
      </c>
      <c r="M65" s="2"/>
      <c r="N65" s="7">
        <f t="shared" si="24"/>
        <v>0</v>
      </c>
      <c r="O65" s="11"/>
      <c r="P65" s="6">
        <v>-912.61</v>
      </c>
      <c r="Q65" s="2"/>
      <c r="R65" s="7">
        <f t="shared" si="25"/>
        <v>-7.4836064401541727E-4</v>
      </c>
      <c r="S65" s="2"/>
      <c r="T65" s="6"/>
      <c r="U65" s="2"/>
      <c r="V65" s="7">
        <f t="shared" si="26"/>
        <v>0</v>
      </c>
      <c r="W65" s="2"/>
      <c r="X65" s="6">
        <f t="shared" si="27"/>
        <v>-912.61</v>
      </c>
      <c r="Y65" s="2"/>
      <c r="Z65" s="7">
        <f t="shared" si="28"/>
        <v>0</v>
      </c>
    </row>
    <row r="66" spans="1:26" s="24" customFormat="1" hidden="1" outlineLevel="2" x14ac:dyDescent="0.25">
      <c r="A66" s="26"/>
      <c r="B66" s="11" t="str">
        <f>CONCATENATE("          ", "6005", " - ", "TEMPORARY WAGES-HOURLY")</f>
        <v xml:space="preserve">          6005 - TEMPORARY WAGES-HOURLY</v>
      </c>
      <c r="C66" s="11"/>
      <c r="D66" s="6">
        <v>2924.66</v>
      </c>
      <c r="E66" s="2"/>
      <c r="F66" s="7">
        <f t="shared" si="21"/>
        <v>1.0031371488028731E-2</v>
      </c>
      <c r="G66" s="2"/>
      <c r="H66" s="6">
        <v>4433.33</v>
      </c>
      <c r="I66" s="2"/>
      <c r="J66" s="7">
        <f t="shared" si="22"/>
        <v>2.1882674160879436E-2</v>
      </c>
      <c r="K66" s="2"/>
      <c r="L66" s="6">
        <f t="shared" si="23"/>
        <v>-1508.67</v>
      </c>
      <c r="M66" s="2"/>
      <c r="N66" s="7">
        <f t="shared" si="24"/>
        <v>-0.34030175962538323</v>
      </c>
      <c r="O66" s="11"/>
      <c r="P66" s="6">
        <v>18661.080000000002</v>
      </c>
      <c r="Q66" s="2"/>
      <c r="R66" s="7">
        <f t="shared" si="25"/>
        <v>1.5302503639915433E-2</v>
      </c>
      <c r="S66" s="2"/>
      <c r="T66" s="6">
        <v>20554.609999999997</v>
      </c>
      <c r="U66" s="2"/>
      <c r="V66" s="7">
        <f t="shared" si="26"/>
        <v>1.9986877935394411E-2</v>
      </c>
      <c r="W66" s="2"/>
      <c r="X66" s="6">
        <f t="shared" si="27"/>
        <v>-1893.5299999999952</v>
      </c>
      <c r="Y66" s="2"/>
      <c r="Z66" s="7">
        <f t="shared" si="28"/>
        <v>-9.2121913283686505E-2</v>
      </c>
    </row>
    <row r="67" spans="1:26" s="24" customFormat="1" hidden="1" outlineLevel="2" x14ac:dyDescent="0.25">
      <c r="A67" s="26"/>
      <c r="B67" s="11" t="str">
        <f>CONCATENATE("          ", "6006", " - ", "TEMPORARY PART TIME")</f>
        <v xml:space="preserve">          6006 - TEMPORARY PART TIME</v>
      </c>
      <c r="C67" s="11"/>
      <c r="D67" s="6"/>
      <c r="E67" s="2"/>
      <c r="F67" s="7">
        <f t="shared" si="21"/>
        <v>0</v>
      </c>
      <c r="G67" s="2"/>
      <c r="H67" s="6">
        <v>225.28</v>
      </c>
      <c r="I67" s="2"/>
      <c r="J67" s="7">
        <f t="shared" si="22"/>
        <v>1.1119697462094902E-3</v>
      </c>
      <c r="K67" s="2"/>
      <c r="L67" s="6">
        <f t="shared" si="23"/>
        <v>-225.28</v>
      </c>
      <c r="M67" s="2"/>
      <c r="N67" s="7">
        <f t="shared" si="24"/>
        <v>-1</v>
      </c>
      <c r="O67" s="11"/>
      <c r="P67" s="6">
        <v>66.5</v>
      </c>
      <c r="Q67" s="2"/>
      <c r="R67" s="7">
        <f t="shared" si="25"/>
        <v>5.4531489713048559E-5</v>
      </c>
      <c r="S67" s="2"/>
      <c r="T67" s="6">
        <v>5587.91</v>
      </c>
      <c r="U67" s="2"/>
      <c r="V67" s="7">
        <f t="shared" si="26"/>
        <v>5.4335681914650675E-3</v>
      </c>
      <c r="W67" s="2"/>
      <c r="X67" s="6">
        <f t="shared" si="27"/>
        <v>-5521.41</v>
      </c>
      <c r="Y67" s="2"/>
      <c r="Z67" s="7">
        <f t="shared" si="28"/>
        <v>-0.98809930725441175</v>
      </c>
    </row>
    <row r="68" spans="1:26" s="24" customFormat="1" hidden="1" outlineLevel="2" x14ac:dyDescent="0.25">
      <c r="A68" s="26"/>
      <c r="B68" s="11" t="str">
        <f>CONCATENATE("          ", "6007", " - ", "STUDENT HOURLY")</f>
        <v xml:space="preserve">          6007 - STUDENT HOURLY</v>
      </c>
      <c r="C68" s="11"/>
      <c r="D68" s="6">
        <v>11729.06</v>
      </c>
      <c r="E68" s="2"/>
      <c r="F68" s="7">
        <f t="shared" si="21"/>
        <v>4.0229824343813725E-2</v>
      </c>
      <c r="G68" s="2"/>
      <c r="H68" s="6">
        <v>7543.06</v>
      </c>
      <c r="I68" s="2"/>
      <c r="J68" s="7">
        <f t="shared" si="22"/>
        <v>3.7232131187158013E-2</v>
      </c>
      <c r="K68" s="2"/>
      <c r="L68" s="6">
        <f t="shared" si="23"/>
        <v>4185.9999999999991</v>
      </c>
      <c r="M68" s="2"/>
      <c r="N68" s="7">
        <f t="shared" si="24"/>
        <v>0.55494719649585167</v>
      </c>
      <c r="O68" s="11"/>
      <c r="P68" s="6">
        <v>65134.48</v>
      </c>
      <c r="Q68" s="2"/>
      <c r="R68" s="7">
        <f t="shared" si="25"/>
        <v>5.3411732723079211E-2</v>
      </c>
      <c r="S68" s="2"/>
      <c r="T68" s="6">
        <v>36346.47</v>
      </c>
      <c r="U68" s="2"/>
      <c r="V68" s="7">
        <f t="shared" si="26"/>
        <v>3.5342556208678974E-2</v>
      </c>
      <c r="W68" s="2"/>
      <c r="X68" s="6">
        <f t="shared" si="27"/>
        <v>28788.010000000002</v>
      </c>
      <c r="Y68" s="2"/>
      <c r="Z68" s="7">
        <f t="shared" si="28"/>
        <v>0.7920441792559223</v>
      </c>
    </row>
    <row r="69" spans="1:26" s="24" customFormat="1" hidden="1" outlineLevel="2" x14ac:dyDescent="0.25">
      <c r="A69" s="26"/>
      <c r="B69" s="11" t="str">
        <f>CONCATENATE("          ", "6008", " - ", "STUDENT HOURLY-FICA EXEMPT")</f>
        <v xml:space="preserve">          6008 - STUDENT HOURLY-FICA EXEMPT</v>
      </c>
      <c r="C69" s="11"/>
      <c r="D69" s="6"/>
      <c r="E69" s="2"/>
      <c r="F69" s="7">
        <f t="shared" si="21"/>
        <v>0</v>
      </c>
      <c r="G69" s="2"/>
      <c r="H69" s="6">
        <v>140.25</v>
      </c>
      <c r="I69" s="2"/>
      <c r="J69" s="7">
        <f t="shared" si="22"/>
        <v>6.9226632149272456E-4</v>
      </c>
      <c r="K69" s="2"/>
      <c r="L69" s="6">
        <f t="shared" si="23"/>
        <v>-140.25</v>
      </c>
      <c r="M69" s="2"/>
      <c r="N69" s="7">
        <f t="shared" si="24"/>
        <v>-1</v>
      </c>
      <c r="O69" s="11"/>
      <c r="P69" s="6">
        <v>195</v>
      </c>
      <c r="Q69" s="2"/>
      <c r="R69" s="7">
        <f t="shared" si="25"/>
        <v>1.5990436833149578E-4</v>
      </c>
      <c r="S69" s="2"/>
      <c r="T69" s="6">
        <v>140.25</v>
      </c>
      <c r="U69" s="2"/>
      <c r="V69" s="7">
        <f t="shared" si="26"/>
        <v>1.3637620127256446E-4</v>
      </c>
      <c r="W69" s="2"/>
      <c r="X69" s="6">
        <f t="shared" si="27"/>
        <v>54.75</v>
      </c>
      <c r="Y69" s="2"/>
      <c r="Z69" s="7">
        <f t="shared" si="28"/>
        <v>0.39037433155080214</v>
      </c>
    </row>
    <row r="70" spans="1:26" s="25" customFormat="1" outlineLevel="1" collapsed="1" x14ac:dyDescent="0.25">
      <c r="A70" s="27"/>
      <c r="B70" s="13" t="str">
        <f>CONCATENATE("     ","Advertising/Promo                                 ")</f>
        <v xml:space="preserve">     Advertising/Promo                                 </v>
      </c>
      <c r="C70" s="13"/>
      <c r="D70" s="1">
        <f>SUM(OSRRefD22_2x_0)</f>
        <v>3744.83</v>
      </c>
      <c r="E70" s="1"/>
      <c r="F70" s="5">
        <f t="shared" ref="F70:F74" si="29">IF(D$12=0,0,D70/D$12)</f>
        <v>1.284449504883119E-2</v>
      </c>
      <c r="G70" s="1"/>
      <c r="H70" s="1">
        <f>SUM(OSRRefH22_2x_0)</f>
        <v>481.63</v>
      </c>
      <c r="I70" s="1"/>
      <c r="J70" s="5">
        <f t="shared" ref="J70:J74" si="30">IF(H$12=0,0,H70/H$12)</f>
        <v>2.3772993113764062E-3</v>
      </c>
      <c r="K70" s="1"/>
      <c r="L70" s="1">
        <f t="shared" ref="L70:L74" si="31">+D70-H70</f>
        <v>3263.2</v>
      </c>
      <c r="M70" s="1"/>
      <c r="N70" s="5">
        <f t="shared" ref="N70:N74" si="32">IF(H70=0,0,L70/H70)</f>
        <v>6.7753254573012471</v>
      </c>
      <c r="O70" s="13"/>
      <c r="P70" s="1">
        <f>SUM(OSRRefP22_2x_0)</f>
        <v>9307.31</v>
      </c>
      <c r="Q70" s="1"/>
      <c r="R70" s="5">
        <f t="shared" ref="R70:R74" si="33">IF(P$12=0,0,P70/P$12)</f>
        <v>7.6322026995662255E-3</v>
      </c>
      <c r="S70" s="1"/>
      <c r="T70" s="1">
        <f>SUM(OSRRefT22_2x_0)</f>
        <v>2098.54</v>
      </c>
      <c r="U70" s="1"/>
      <c r="V70" s="5">
        <f t="shared" ref="V70:V74" si="34">IF(T$12=0,0,T70/T$12)</f>
        <v>2.0405769227702492E-3</v>
      </c>
      <c r="W70" s="1"/>
      <c r="X70" s="1">
        <f t="shared" ref="X70:X74" si="35">+P70-T70</f>
        <v>7208.7699999999995</v>
      </c>
      <c r="Y70" s="1"/>
      <c r="Z70" s="5">
        <f t="shared" ref="Z70:Z74" si="36">IF(T70=0,0,X70/T70)</f>
        <v>3.4351358563572769</v>
      </c>
    </row>
    <row r="71" spans="1:26" s="24" customFormat="1" hidden="1" outlineLevel="2" x14ac:dyDescent="0.25">
      <c r="A71" s="26"/>
      <c r="B71" s="11" t="str">
        <f>CONCATENATE("          ", "6362", " - ", "ADVERTISING EXPENSE")</f>
        <v xml:space="preserve">          6362 - ADVERTISING EXPENSE</v>
      </c>
      <c r="C71" s="11"/>
      <c r="D71" s="6">
        <v>3744.83</v>
      </c>
      <c r="E71" s="2"/>
      <c r="F71" s="7">
        <f t="shared" si="29"/>
        <v>1.284449504883119E-2</v>
      </c>
      <c r="G71" s="2"/>
      <c r="H71" s="6">
        <v>481.63</v>
      </c>
      <c r="I71" s="2"/>
      <c r="J71" s="7">
        <f t="shared" si="30"/>
        <v>2.3772993113764062E-3</v>
      </c>
      <c r="K71" s="2"/>
      <c r="L71" s="6">
        <f t="shared" si="31"/>
        <v>3263.2</v>
      </c>
      <c r="M71" s="2"/>
      <c r="N71" s="7">
        <f t="shared" si="32"/>
        <v>6.7753254573012471</v>
      </c>
      <c r="O71" s="11"/>
      <c r="P71" s="6">
        <v>9307.31</v>
      </c>
      <c r="Q71" s="2"/>
      <c r="R71" s="7">
        <f t="shared" si="33"/>
        <v>7.6322026995662255E-3</v>
      </c>
      <c r="S71" s="2"/>
      <c r="T71" s="6">
        <v>2098.54</v>
      </c>
      <c r="U71" s="2"/>
      <c r="V71" s="7">
        <f t="shared" si="34"/>
        <v>2.0405769227702492E-3</v>
      </c>
      <c r="W71" s="2"/>
      <c r="X71" s="6">
        <f t="shared" si="35"/>
        <v>7208.7699999999995</v>
      </c>
      <c r="Y71" s="2"/>
      <c r="Z71" s="7">
        <f t="shared" si="36"/>
        <v>3.4351358563572769</v>
      </c>
    </row>
    <row r="72" spans="1:26" s="25" customFormat="1" outlineLevel="1" collapsed="1" x14ac:dyDescent="0.25">
      <c r="A72" s="27"/>
      <c r="B72" s="13" t="str">
        <f>CONCATENATE("     ","Discounts and Markdowns                           ")</f>
        <v xml:space="preserve">     Discounts and Markdowns                           </v>
      </c>
      <c r="C72" s="13"/>
      <c r="D72" s="1">
        <f>SUM(OSRRefD22_3x_0)</f>
        <v>38451.550000000003</v>
      </c>
      <c r="E72" s="1"/>
      <c r="F72" s="5">
        <f t="shared" si="29"/>
        <v>0.13188602515865475</v>
      </c>
      <c r="G72" s="1"/>
      <c r="H72" s="1">
        <f>SUM(OSRRefH22_3x_0)</f>
        <v>19187.98</v>
      </c>
      <c r="I72" s="1"/>
      <c r="J72" s="5">
        <f t="shared" si="30"/>
        <v>9.4710818762752016E-2</v>
      </c>
      <c r="K72" s="1"/>
      <c r="L72" s="1">
        <f t="shared" si="31"/>
        <v>19263.570000000003</v>
      </c>
      <c r="M72" s="1"/>
      <c r="N72" s="5">
        <f t="shared" si="32"/>
        <v>1.0039394454236457</v>
      </c>
      <c r="O72" s="13"/>
      <c r="P72" s="1">
        <f>SUM(OSRRefP22_3x_0)</f>
        <v>102856.39</v>
      </c>
      <c r="Q72" s="1"/>
      <c r="R72" s="5">
        <f t="shared" si="33"/>
        <v>8.434454395798964E-2</v>
      </c>
      <c r="S72" s="1"/>
      <c r="T72" s="1">
        <f>SUM(OSRRefT22_3x_0)</f>
        <v>71109.639999999985</v>
      </c>
      <c r="U72" s="1"/>
      <c r="V72" s="5">
        <f t="shared" si="34"/>
        <v>6.9145544221458813E-2</v>
      </c>
      <c r="W72" s="1"/>
      <c r="X72" s="1">
        <f t="shared" si="35"/>
        <v>31746.750000000015</v>
      </c>
      <c r="Y72" s="1"/>
      <c r="Z72" s="5">
        <f t="shared" si="36"/>
        <v>0.44644790776609222</v>
      </c>
    </row>
    <row r="73" spans="1:26" s="24" customFormat="1" hidden="1" outlineLevel="2" x14ac:dyDescent="0.25">
      <c r="A73" s="26"/>
      <c r="B73" s="11" t="str">
        <f>CONCATENATE("          ", "6382", " - ", "DISCOUNTS/MARK DOWNS")</f>
        <v xml:space="preserve">          6382 - DISCOUNTS/MARK DOWNS</v>
      </c>
      <c r="C73" s="11"/>
      <c r="D73" s="6">
        <v>38451.550000000003</v>
      </c>
      <c r="E73" s="2"/>
      <c r="F73" s="7">
        <f t="shared" si="29"/>
        <v>0.13188602515865475</v>
      </c>
      <c r="G73" s="2"/>
      <c r="H73" s="6">
        <v>19155.53</v>
      </c>
      <c r="I73" s="2"/>
      <c r="J73" s="7">
        <f t="shared" si="30"/>
        <v>9.4550647339347815E-2</v>
      </c>
      <c r="K73" s="2"/>
      <c r="L73" s="6">
        <f t="shared" si="31"/>
        <v>19296.020000000004</v>
      </c>
      <c r="M73" s="2"/>
      <c r="N73" s="7">
        <f t="shared" si="32"/>
        <v>1.0073341745177504</v>
      </c>
      <c r="O73" s="11"/>
      <c r="P73" s="6">
        <v>102863.86</v>
      </c>
      <c r="Q73" s="2"/>
      <c r="R73" s="7">
        <f t="shared" si="33"/>
        <v>8.4350669525330338E-2</v>
      </c>
      <c r="S73" s="2"/>
      <c r="T73" s="6">
        <v>71111.079999999987</v>
      </c>
      <c r="U73" s="2"/>
      <c r="V73" s="7">
        <f t="shared" si="34"/>
        <v>6.9146944447696479E-2</v>
      </c>
      <c r="W73" s="2"/>
      <c r="X73" s="6">
        <f t="shared" si="35"/>
        <v>31752.780000000013</v>
      </c>
      <c r="Y73" s="2"/>
      <c r="Z73" s="7">
        <f t="shared" si="36"/>
        <v>0.44652366410410332</v>
      </c>
    </row>
    <row r="74" spans="1:26" s="24" customFormat="1" hidden="1" outlineLevel="2" x14ac:dyDescent="0.25">
      <c r="A74" s="26"/>
      <c r="B74" s="11" t="str">
        <f>CONCATENATE("          ", "9175", " - ", "EARNED DISCOUNTS")</f>
        <v xml:space="preserve">          9175 - EARNED DISCOUNTS</v>
      </c>
      <c r="C74" s="11"/>
      <c r="D74" s="6"/>
      <c r="E74" s="2"/>
      <c r="F74" s="7">
        <f t="shared" si="29"/>
        <v>0</v>
      </c>
      <c r="G74" s="2"/>
      <c r="H74" s="6">
        <v>32.450000000000003</v>
      </c>
      <c r="I74" s="2"/>
      <c r="J74" s="7">
        <f t="shared" si="30"/>
        <v>1.6017142340419904E-4</v>
      </c>
      <c r="K74" s="2"/>
      <c r="L74" s="6">
        <f t="shared" si="31"/>
        <v>-32.450000000000003</v>
      </c>
      <c r="M74" s="2"/>
      <c r="N74" s="7">
        <f t="shared" si="32"/>
        <v>-1</v>
      </c>
      <c r="O74" s="11"/>
      <c r="P74" s="6">
        <v>-7.47</v>
      </c>
      <c r="Q74" s="2"/>
      <c r="R74" s="7">
        <f t="shared" si="33"/>
        <v>-6.1255673406988386E-6</v>
      </c>
      <c r="S74" s="2"/>
      <c r="T74" s="6">
        <v>-1.44</v>
      </c>
      <c r="U74" s="2"/>
      <c r="V74" s="7">
        <f t="shared" si="34"/>
        <v>-1.4002262376648329E-6</v>
      </c>
      <c r="W74" s="2"/>
      <c r="X74" s="6">
        <f t="shared" si="35"/>
        <v>-6.0299999999999994</v>
      </c>
      <c r="Y74" s="2"/>
      <c r="Z74" s="7">
        <f t="shared" si="36"/>
        <v>4.1875</v>
      </c>
    </row>
    <row r="75" spans="1:26" s="25" customFormat="1" outlineLevel="1" collapsed="1" x14ac:dyDescent="0.25">
      <c r="A75" s="27"/>
      <c r="B75" s="13" t="str">
        <f>CONCATENATE("     ","Employees' Appreciation                           ")</f>
        <v xml:space="preserve">     Employees' Appreciation                           </v>
      </c>
      <c r="C75" s="13"/>
      <c r="D75" s="1">
        <f>SUM(OSRRefD22_4x_0)</f>
        <v>136.5</v>
      </c>
      <c r="E75" s="1"/>
      <c r="F75" s="5">
        <f t="shared" ref="F75:F79" si="37">IF(D$12=0,0,D75/D$12)</f>
        <v>4.6818509095618695E-4</v>
      </c>
      <c r="G75" s="1"/>
      <c r="H75" s="1">
        <f>SUM(OSRRefH22_4x_0)</f>
        <v>0</v>
      </c>
      <c r="I75" s="1"/>
      <c r="J75" s="5">
        <f t="shared" ref="J75:J79" si="38">IF(H$12=0,0,H75/H$12)</f>
        <v>0</v>
      </c>
      <c r="K75" s="1"/>
      <c r="L75" s="1">
        <f t="shared" ref="L75:L79" si="39">+D75-H75</f>
        <v>136.5</v>
      </c>
      <c r="M75" s="1"/>
      <c r="N75" s="5">
        <f t="shared" ref="N75:N79" si="40">IF(H75=0,0,L75/H75)</f>
        <v>0</v>
      </c>
      <c r="O75" s="13"/>
      <c r="P75" s="1">
        <f>SUM(OSRRefP22_4x_0)</f>
        <v>209.48</v>
      </c>
      <c r="Q75" s="1"/>
      <c r="R75" s="5">
        <f t="shared" ref="R75:R79" si="41">IF(P$12=0,0,P75/P$12)</f>
        <v>1.7177829270811145E-4</v>
      </c>
      <c r="S75" s="1"/>
      <c r="T75" s="1">
        <f>SUM(OSRRefT22_4x_0)</f>
        <v>88.76</v>
      </c>
      <c r="U75" s="1"/>
      <c r="V75" s="5">
        <f t="shared" ref="V75:V79" si="42">IF(T$12=0,0,T75/T$12)</f>
        <v>8.6308389482729571E-5</v>
      </c>
      <c r="W75" s="1"/>
      <c r="X75" s="1">
        <f t="shared" ref="X75:X79" si="43">+P75-T75</f>
        <v>120.71999999999998</v>
      </c>
      <c r="Y75" s="1"/>
      <c r="Z75" s="5">
        <f t="shared" ref="Z75:Z79" si="44">IF(T75=0,0,X75/T75)</f>
        <v>1.3600721045515995</v>
      </c>
    </row>
    <row r="76" spans="1:26" s="24" customFormat="1" hidden="1" outlineLevel="2" x14ac:dyDescent="0.25">
      <c r="A76" s="26"/>
      <c r="B76" s="11" t="str">
        <f>CONCATENATE("          ", "6277", " - ", "EMPLOYEE APPRECIATION")</f>
        <v xml:space="preserve">          6277 - EMPLOYEE APPRECIATION</v>
      </c>
      <c r="C76" s="11"/>
      <c r="D76" s="6">
        <v>136.5</v>
      </c>
      <c r="E76" s="2"/>
      <c r="F76" s="7">
        <f t="shared" si="37"/>
        <v>4.6818509095618695E-4</v>
      </c>
      <c r="G76" s="2"/>
      <c r="H76" s="6"/>
      <c r="I76" s="2"/>
      <c r="J76" s="7">
        <f t="shared" si="38"/>
        <v>0</v>
      </c>
      <c r="K76" s="2"/>
      <c r="L76" s="6">
        <f t="shared" si="39"/>
        <v>136.5</v>
      </c>
      <c r="M76" s="2"/>
      <c r="N76" s="7">
        <f t="shared" si="40"/>
        <v>0</v>
      </c>
      <c r="O76" s="11"/>
      <c r="P76" s="6">
        <v>209.48</v>
      </c>
      <c r="Q76" s="2"/>
      <c r="R76" s="7">
        <f t="shared" si="41"/>
        <v>1.7177829270811145E-4</v>
      </c>
      <c r="S76" s="2"/>
      <c r="T76" s="6">
        <v>88.76</v>
      </c>
      <c r="U76" s="2"/>
      <c r="V76" s="7">
        <f t="shared" si="42"/>
        <v>8.6308389482729571E-5</v>
      </c>
      <c r="W76" s="2"/>
      <c r="X76" s="6">
        <f t="shared" si="43"/>
        <v>120.71999999999998</v>
      </c>
      <c r="Y76" s="2"/>
      <c r="Z76" s="7">
        <f t="shared" si="44"/>
        <v>1.3600721045515995</v>
      </c>
    </row>
    <row r="77" spans="1:26" s="25" customFormat="1" outlineLevel="1" collapsed="1" x14ac:dyDescent="0.25">
      <c r="A77" s="27"/>
      <c r="B77" s="13" t="str">
        <f>CONCATENATE("     ","Freight out/Postage                               ")</f>
        <v xml:space="preserve">     Freight out/Postage                               </v>
      </c>
      <c r="C77" s="13"/>
      <c r="D77" s="1">
        <f>SUM(OSRRefD22_5x_0)</f>
        <v>0</v>
      </c>
      <c r="E77" s="1"/>
      <c r="F77" s="5">
        <f t="shared" si="37"/>
        <v>0</v>
      </c>
      <c r="G77" s="1"/>
      <c r="H77" s="1">
        <f>SUM(OSRRefH22_5x_0)</f>
        <v>12.56</v>
      </c>
      <c r="I77" s="1"/>
      <c r="J77" s="5">
        <f t="shared" si="38"/>
        <v>6.1995472356139898E-5</v>
      </c>
      <c r="K77" s="1"/>
      <c r="L77" s="1">
        <f t="shared" si="39"/>
        <v>-12.56</v>
      </c>
      <c r="M77" s="1"/>
      <c r="N77" s="5">
        <f t="shared" si="40"/>
        <v>-1</v>
      </c>
      <c r="O77" s="13"/>
      <c r="P77" s="1">
        <f>SUM(OSRRefP22_5x_0)</f>
        <v>70.5</v>
      </c>
      <c r="Q77" s="1"/>
      <c r="R77" s="5">
        <f t="shared" si="41"/>
        <v>5.7811579319848474E-5</v>
      </c>
      <c r="S77" s="1"/>
      <c r="T77" s="1">
        <f>SUM(OSRRefT22_5x_0)</f>
        <v>23.6</v>
      </c>
      <c r="U77" s="1"/>
      <c r="V77" s="5">
        <f t="shared" si="42"/>
        <v>2.2948152228395875E-5</v>
      </c>
      <c r="W77" s="1"/>
      <c r="X77" s="1">
        <f t="shared" si="43"/>
        <v>46.9</v>
      </c>
      <c r="Y77" s="1"/>
      <c r="Z77" s="5">
        <f t="shared" si="44"/>
        <v>1.9872881355932202</v>
      </c>
    </row>
    <row r="78" spans="1:26" s="24" customFormat="1" hidden="1" outlineLevel="2" x14ac:dyDescent="0.25">
      <c r="A78" s="26"/>
      <c r="B78" s="11" t="str">
        <f>CONCATENATE("          ", "6305", " - ", "FREIGHT OUT")</f>
        <v xml:space="preserve">          6305 - FREIGHT OUT</v>
      </c>
      <c r="C78" s="11"/>
      <c r="D78" s="6"/>
      <c r="E78" s="2"/>
      <c r="F78" s="7">
        <f t="shared" si="37"/>
        <v>0</v>
      </c>
      <c r="G78" s="2"/>
      <c r="H78" s="6">
        <v>12.56</v>
      </c>
      <c r="I78" s="2"/>
      <c r="J78" s="7">
        <f t="shared" si="38"/>
        <v>6.1995472356139898E-5</v>
      </c>
      <c r="K78" s="2"/>
      <c r="L78" s="6">
        <f t="shared" si="39"/>
        <v>-12.56</v>
      </c>
      <c r="M78" s="2"/>
      <c r="N78" s="7">
        <f t="shared" si="40"/>
        <v>-1</v>
      </c>
      <c r="O78" s="11"/>
      <c r="P78" s="6">
        <v>70</v>
      </c>
      <c r="Q78" s="2"/>
      <c r="R78" s="7">
        <f t="shared" si="41"/>
        <v>5.7401568118998488E-5</v>
      </c>
      <c r="S78" s="2"/>
      <c r="T78" s="6">
        <v>23.6</v>
      </c>
      <c r="U78" s="2"/>
      <c r="V78" s="7">
        <f t="shared" si="42"/>
        <v>2.2948152228395875E-5</v>
      </c>
      <c r="W78" s="2"/>
      <c r="X78" s="6">
        <f t="shared" si="43"/>
        <v>46.4</v>
      </c>
      <c r="Y78" s="2"/>
      <c r="Z78" s="7">
        <f t="shared" si="44"/>
        <v>1.9661016949152541</v>
      </c>
    </row>
    <row r="79" spans="1:26" s="24" customFormat="1" hidden="1" outlineLevel="2" x14ac:dyDescent="0.25">
      <c r="A79" s="26"/>
      <c r="B79" s="11" t="str">
        <f>CONCATENATE("          ", "6307", " - ", "POSTAGE")</f>
        <v xml:space="preserve">          6307 - POSTAGE</v>
      </c>
      <c r="C79" s="11"/>
      <c r="D79" s="6"/>
      <c r="E79" s="2"/>
      <c r="F79" s="7">
        <f t="shared" si="37"/>
        <v>0</v>
      </c>
      <c r="G79" s="2"/>
      <c r="H79" s="6"/>
      <c r="I79" s="2"/>
      <c r="J79" s="7">
        <f t="shared" si="38"/>
        <v>0</v>
      </c>
      <c r="K79" s="2"/>
      <c r="L79" s="6">
        <f t="shared" si="39"/>
        <v>0</v>
      </c>
      <c r="M79" s="2"/>
      <c r="N79" s="7">
        <f t="shared" si="40"/>
        <v>0</v>
      </c>
      <c r="O79" s="11"/>
      <c r="P79" s="6">
        <v>0.5</v>
      </c>
      <c r="Q79" s="2"/>
      <c r="R79" s="7">
        <f t="shared" si="41"/>
        <v>4.1001120084998916E-7</v>
      </c>
      <c r="S79" s="2"/>
      <c r="T79" s="6"/>
      <c r="U79" s="2"/>
      <c r="V79" s="7">
        <f t="shared" si="42"/>
        <v>0</v>
      </c>
      <c r="W79" s="2"/>
      <c r="X79" s="6">
        <f t="shared" si="43"/>
        <v>0.5</v>
      </c>
      <c r="Y79" s="2"/>
      <c r="Z79" s="7">
        <f t="shared" si="44"/>
        <v>0</v>
      </c>
    </row>
    <row r="80" spans="1:26" s="25" customFormat="1" outlineLevel="1" collapsed="1" x14ac:dyDescent="0.25">
      <c r="A80" s="27"/>
      <c r="B80" s="13" t="str">
        <f>CONCATENATE("     ","General                                           ")</f>
        <v xml:space="preserve">     General                                           </v>
      </c>
      <c r="C80" s="13"/>
      <c r="D80" s="1">
        <f>SUM(OSRRefD22_6x_0)</f>
        <v>0</v>
      </c>
      <c r="E80" s="1"/>
      <c r="F80" s="5">
        <f t="shared" ref="F80:F86" si="45">IF(D$12=0,0,D80/D$12)</f>
        <v>0</v>
      </c>
      <c r="G80" s="1"/>
      <c r="H80" s="1">
        <f>SUM(OSRRefH22_6x_0)</f>
        <v>0</v>
      </c>
      <c r="I80" s="1"/>
      <c r="J80" s="5">
        <f t="shared" ref="J80:J86" si="46">IF(H$12=0,0,H80/H$12)</f>
        <v>0</v>
      </c>
      <c r="K80" s="1"/>
      <c r="L80" s="1">
        <f t="shared" ref="L80:L86" si="47">+D80-H80</f>
        <v>0</v>
      </c>
      <c r="M80" s="1"/>
      <c r="N80" s="5">
        <f t="shared" ref="N80:N86" si="48">IF(H80=0,0,L80/H80)</f>
        <v>0</v>
      </c>
      <c r="O80" s="13"/>
      <c r="P80" s="1">
        <f>SUM(OSRRefP22_6x_0)</f>
        <v>0</v>
      </c>
      <c r="Q80" s="1"/>
      <c r="R80" s="5">
        <f t="shared" ref="R80:R86" si="49">IF(P$12=0,0,P80/P$12)</f>
        <v>0</v>
      </c>
      <c r="S80" s="1"/>
      <c r="T80" s="1">
        <f>SUM(OSRRefT22_6x_0)</f>
        <v>33.06</v>
      </c>
      <c r="U80" s="1"/>
      <c r="V80" s="5">
        <f t="shared" ref="V80:V86" si="50">IF(T$12=0,0,T80/T$12)</f>
        <v>3.2146860706388459E-5</v>
      </c>
      <c r="W80" s="1"/>
      <c r="X80" s="1">
        <f t="shared" ref="X80:X86" si="51">+P80-T80</f>
        <v>-33.06</v>
      </c>
      <c r="Y80" s="1"/>
      <c r="Z80" s="5">
        <f t="shared" ref="Z80:Z86" si="52">IF(T80=0,0,X80/T80)</f>
        <v>-1</v>
      </c>
    </row>
    <row r="81" spans="1:26" s="24" customFormat="1" hidden="1" outlineLevel="2" x14ac:dyDescent="0.25">
      <c r="A81" s="26"/>
      <c r="B81" s="11" t="str">
        <f>CONCATENATE("          ", "6279", " - ", "GENERAL EXPENSE")</f>
        <v xml:space="preserve">          6279 - GENERAL EXPENSE</v>
      </c>
      <c r="C81" s="11"/>
      <c r="D81" s="6"/>
      <c r="E81" s="2"/>
      <c r="F81" s="7">
        <f t="shared" si="45"/>
        <v>0</v>
      </c>
      <c r="G81" s="2"/>
      <c r="H81" s="6"/>
      <c r="I81" s="2"/>
      <c r="J81" s="7">
        <f t="shared" si="46"/>
        <v>0</v>
      </c>
      <c r="K81" s="2"/>
      <c r="L81" s="6">
        <f t="shared" si="47"/>
        <v>0</v>
      </c>
      <c r="M81" s="2"/>
      <c r="N81" s="7">
        <f t="shared" si="48"/>
        <v>0</v>
      </c>
      <c r="O81" s="11"/>
      <c r="P81" s="6"/>
      <c r="Q81" s="2"/>
      <c r="R81" s="7">
        <f t="shared" si="49"/>
        <v>0</v>
      </c>
      <c r="S81" s="2"/>
      <c r="T81" s="6">
        <v>33.06</v>
      </c>
      <c r="U81" s="2"/>
      <c r="V81" s="7">
        <f t="shared" si="50"/>
        <v>3.2146860706388459E-5</v>
      </c>
      <c r="W81" s="2"/>
      <c r="X81" s="6">
        <f t="shared" si="51"/>
        <v>-33.06</v>
      </c>
      <c r="Y81" s="2"/>
      <c r="Z81" s="7">
        <f t="shared" si="52"/>
        <v>-1</v>
      </c>
    </row>
    <row r="82" spans="1:26" s="25" customFormat="1" outlineLevel="1" collapsed="1" x14ac:dyDescent="0.25">
      <c r="A82" s="27"/>
      <c r="B82" s="13" t="str">
        <f>CONCATENATE("     ","Inventory Adjustment                              ")</f>
        <v xml:space="preserve">     Inventory Adjustment                              </v>
      </c>
      <c r="C82" s="13"/>
      <c r="D82" s="1">
        <f>SUM(OSRRefD22_7x_0)</f>
        <v>2850</v>
      </c>
      <c r="E82" s="1"/>
      <c r="F82" s="5">
        <f t="shared" si="45"/>
        <v>9.7752931078764309E-3</v>
      </c>
      <c r="G82" s="1"/>
      <c r="H82" s="1">
        <f>SUM(OSRRefH22_7x_0)</f>
        <v>1000</v>
      </c>
      <c r="I82" s="1"/>
      <c r="J82" s="5">
        <f t="shared" si="46"/>
        <v>4.9359452512850238E-3</v>
      </c>
      <c r="K82" s="1"/>
      <c r="L82" s="1">
        <f t="shared" si="47"/>
        <v>1850</v>
      </c>
      <c r="M82" s="1"/>
      <c r="N82" s="5">
        <f t="shared" si="48"/>
        <v>1.85</v>
      </c>
      <c r="O82" s="13"/>
      <c r="P82" s="1">
        <f>SUM(OSRRefP22_7x_0)</f>
        <v>14250</v>
      </c>
      <c r="Q82" s="1"/>
      <c r="R82" s="5">
        <f t="shared" si="49"/>
        <v>1.1685319224224692E-2</v>
      </c>
      <c r="S82" s="1"/>
      <c r="T82" s="1">
        <f>SUM(OSRRefT22_7x_0)</f>
        <v>5000</v>
      </c>
      <c r="U82" s="1"/>
      <c r="V82" s="5">
        <f t="shared" si="50"/>
        <v>4.8618966585584483E-3</v>
      </c>
      <c r="W82" s="1"/>
      <c r="X82" s="1">
        <f t="shared" si="51"/>
        <v>9250</v>
      </c>
      <c r="Y82" s="1"/>
      <c r="Z82" s="5">
        <f t="shared" si="52"/>
        <v>1.85</v>
      </c>
    </row>
    <row r="83" spans="1:26" s="24" customFormat="1" hidden="1" outlineLevel="2" x14ac:dyDescent="0.25">
      <c r="A83" s="26"/>
      <c r="B83" s="11" t="str">
        <f>CONCATENATE("          ", "6408", " - ", "INVENTORY ADJUSTMENT")</f>
        <v xml:space="preserve">          6408 - INVENTORY ADJUSTMENT</v>
      </c>
      <c r="C83" s="11"/>
      <c r="D83" s="6">
        <v>2850</v>
      </c>
      <c r="E83" s="2"/>
      <c r="F83" s="7">
        <f t="shared" si="45"/>
        <v>9.7752931078764309E-3</v>
      </c>
      <c r="G83" s="2"/>
      <c r="H83" s="6">
        <v>1000</v>
      </c>
      <c r="I83" s="2"/>
      <c r="J83" s="7">
        <f t="shared" si="46"/>
        <v>4.9359452512850238E-3</v>
      </c>
      <c r="K83" s="2"/>
      <c r="L83" s="6">
        <f t="shared" si="47"/>
        <v>1850</v>
      </c>
      <c r="M83" s="2"/>
      <c r="N83" s="7">
        <f t="shared" si="48"/>
        <v>1.85</v>
      </c>
      <c r="O83" s="11"/>
      <c r="P83" s="6">
        <v>14250</v>
      </c>
      <c r="Q83" s="2"/>
      <c r="R83" s="7">
        <f t="shared" si="49"/>
        <v>1.1685319224224692E-2</v>
      </c>
      <c r="S83" s="2"/>
      <c r="T83" s="6">
        <v>5000</v>
      </c>
      <c r="U83" s="2"/>
      <c r="V83" s="7">
        <f t="shared" si="50"/>
        <v>4.8618966585584483E-3</v>
      </c>
      <c r="W83" s="2"/>
      <c r="X83" s="6">
        <f t="shared" si="51"/>
        <v>9250</v>
      </c>
      <c r="Y83" s="2"/>
      <c r="Z83" s="7">
        <f t="shared" si="52"/>
        <v>1.85</v>
      </c>
    </row>
    <row r="84" spans="1:26" s="25" customFormat="1" outlineLevel="1" collapsed="1" x14ac:dyDescent="0.25">
      <c r="A84" s="27"/>
      <c r="B84" s="13" t="str">
        <f>CONCATENATE("     ","Repair and Maintenance                            ")</f>
        <v xml:space="preserve">     Repair and Maintenance                            </v>
      </c>
      <c r="C84" s="13"/>
      <c r="D84" s="1">
        <f>SUM(OSRRefD22_8x_0)</f>
        <v>0</v>
      </c>
      <c r="E84" s="1"/>
      <c r="F84" s="5">
        <f t="shared" si="45"/>
        <v>0</v>
      </c>
      <c r="G84" s="1"/>
      <c r="H84" s="1">
        <f>SUM(OSRRefH22_8x_0)</f>
        <v>0</v>
      </c>
      <c r="I84" s="1"/>
      <c r="J84" s="5">
        <f t="shared" si="46"/>
        <v>0</v>
      </c>
      <c r="K84" s="1"/>
      <c r="L84" s="1">
        <f t="shared" si="47"/>
        <v>0</v>
      </c>
      <c r="M84" s="1"/>
      <c r="N84" s="5">
        <f t="shared" si="48"/>
        <v>0</v>
      </c>
      <c r="O84" s="13"/>
      <c r="P84" s="1">
        <f>SUM(OSRRefP22_8x_0)</f>
        <v>0</v>
      </c>
      <c r="Q84" s="1"/>
      <c r="R84" s="5">
        <f t="shared" si="49"/>
        <v>0</v>
      </c>
      <c r="S84" s="1"/>
      <c r="T84" s="1">
        <f>SUM(OSRRefT22_8x_0)</f>
        <v>208.67000000000002</v>
      </c>
      <c r="U84" s="1"/>
      <c r="V84" s="5">
        <f t="shared" si="50"/>
        <v>2.0290639514827829E-4</v>
      </c>
      <c r="W84" s="1"/>
      <c r="X84" s="1">
        <f t="shared" si="51"/>
        <v>-208.67000000000002</v>
      </c>
      <c r="Y84" s="1"/>
      <c r="Z84" s="5">
        <f t="shared" si="52"/>
        <v>-1</v>
      </c>
    </row>
    <row r="85" spans="1:26" s="24" customFormat="1" hidden="1" outlineLevel="2" x14ac:dyDescent="0.25">
      <c r="A85" s="26"/>
      <c r="B85" s="11" t="str">
        <f>CONCATENATE("          ", "6371", " - ", "COMPUTER SOFTWARE MAINTENANCE")</f>
        <v xml:space="preserve">          6371 - COMPUTER SOFTWARE MAINTENANCE</v>
      </c>
      <c r="C85" s="11"/>
      <c r="D85" s="6"/>
      <c r="E85" s="2"/>
      <c r="F85" s="7">
        <f t="shared" si="45"/>
        <v>0</v>
      </c>
      <c r="G85" s="2"/>
      <c r="H85" s="6"/>
      <c r="I85" s="2"/>
      <c r="J85" s="7">
        <f t="shared" si="46"/>
        <v>0</v>
      </c>
      <c r="K85" s="2"/>
      <c r="L85" s="6">
        <f t="shared" si="47"/>
        <v>0</v>
      </c>
      <c r="M85" s="2"/>
      <c r="N85" s="7">
        <f t="shared" si="48"/>
        <v>0</v>
      </c>
      <c r="O85" s="11"/>
      <c r="P85" s="6"/>
      <c r="Q85" s="2"/>
      <c r="R85" s="7">
        <f t="shared" si="49"/>
        <v>0</v>
      </c>
      <c r="S85" s="2"/>
      <c r="T85" s="6">
        <v>186.58</v>
      </c>
      <c r="U85" s="2"/>
      <c r="V85" s="7">
        <f t="shared" si="50"/>
        <v>1.8142653571076705E-4</v>
      </c>
      <c r="W85" s="2"/>
      <c r="X85" s="6">
        <f t="shared" si="51"/>
        <v>-186.58</v>
      </c>
      <c r="Y85" s="2"/>
      <c r="Z85" s="7">
        <f t="shared" si="52"/>
        <v>-1</v>
      </c>
    </row>
    <row r="86" spans="1:26" s="24" customFormat="1" hidden="1" outlineLevel="2" x14ac:dyDescent="0.25">
      <c r="A86" s="26"/>
      <c r="B86" s="11" t="str">
        <f>CONCATENATE("          ", "6375", " - ", "OUTSIDE REPAIRS &amp; MAINTENANCE")</f>
        <v xml:space="preserve">          6375 - OUTSIDE REPAIRS &amp; MAINTENANCE</v>
      </c>
      <c r="C86" s="11"/>
      <c r="D86" s="6"/>
      <c r="E86" s="2"/>
      <c r="F86" s="7">
        <f t="shared" si="45"/>
        <v>0</v>
      </c>
      <c r="G86" s="2"/>
      <c r="H86" s="6"/>
      <c r="I86" s="2"/>
      <c r="J86" s="7">
        <f t="shared" si="46"/>
        <v>0</v>
      </c>
      <c r="K86" s="2"/>
      <c r="L86" s="6">
        <f t="shared" si="47"/>
        <v>0</v>
      </c>
      <c r="M86" s="2"/>
      <c r="N86" s="7">
        <f t="shared" si="48"/>
        <v>0</v>
      </c>
      <c r="O86" s="11"/>
      <c r="P86" s="6"/>
      <c r="Q86" s="2"/>
      <c r="R86" s="7">
        <f t="shared" si="49"/>
        <v>0</v>
      </c>
      <c r="S86" s="2"/>
      <c r="T86" s="6">
        <v>22.09</v>
      </c>
      <c r="U86" s="2"/>
      <c r="V86" s="7">
        <f t="shared" si="50"/>
        <v>2.1479859437511225E-5</v>
      </c>
      <c r="W86" s="2"/>
      <c r="X86" s="6">
        <f t="shared" si="51"/>
        <v>-22.09</v>
      </c>
      <c r="Y86" s="2"/>
      <c r="Z86" s="7">
        <f t="shared" si="52"/>
        <v>-1</v>
      </c>
    </row>
    <row r="87" spans="1:26" s="25" customFormat="1" outlineLevel="1" collapsed="1" x14ac:dyDescent="0.25">
      <c r="A87" s="27"/>
      <c r="B87" s="13" t="str">
        <f>CONCATENATE("     ","Royalty &amp; Commissions                             ")</f>
        <v xml:space="preserve">     Royalty &amp; Commissions                             </v>
      </c>
      <c r="C87" s="13"/>
      <c r="D87" s="1">
        <f>SUM(OSRRefD22_9x_0)</f>
        <v>803.23</v>
      </c>
      <c r="E87" s="1"/>
      <c r="F87" s="5">
        <f t="shared" ref="F87:F89" si="53">IF(D$12=0,0,D87/D$12)</f>
        <v>2.7550205905402057E-3</v>
      </c>
      <c r="G87" s="1"/>
      <c r="H87" s="1">
        <f>SUM(OSRRefH22_9x_0)</f>
        <v>1589.82</v>
      </c>
      <c r="I87" s="1"/>
      <c r="J87" s="5">
        <f t="shared" ref="J87:J89" si="54">IF(H$12=0,0,H87/H$12)</f>
        <v>7.8472644793979567E-3</v>
      </c>
      <c r="K87" s="1"/>
      <c r="L87" s="1">
        <f t="shared" ref="L87:L89" si="55">+D87-H87</f>
        <v>-786.58999999999992</v>
      </c>
      <c r="M87" s="1"/>
      <c r="N87" s="5">
        <f t="shared" ref="N87:N89" si="56">IF(H87=0,0,L87/H87)</f>
        <v>-0.49476670314878413</v>
      </c>
      <c r="O87" s="13"/>
      <c r="P87" s="1">
        <f>SUM(OSRRefP22_9x_0)</f>
        <v>6668.07</v>
      </c>
      <c r="Q87" s="1"/>
      <c r="R87" s="5">
        <f t="shared" ref="R87:R89" si="57">IF(P$12=0,0,P87/P$12)</f>
        <v>5.4679667761035741E-3</v>
      </c>
      <c r="S87" s="1"/>
      <c r="T87" s="1">
        <f>SUM(OSRRefT22_9x_0)</f>
        <v>25733.21</v>
      </c>
      <c r="U87" s="1"/>
      <c r="V87" s="5">
        <f t="shared" ref="V87:V89" si="58">IF(T$12=0,0,T87/T$12)</f>
        <v>2.5022441542596568E-2</v>
      </c>
      <c r="W87" s="1"/>
      <c r="X87" s="1">
        <f t="shared" ref="X87:X89" si="59">+P87-T87</f>
        <v>-19065.14</v>
      </c>
      <c r="Y87" s="1"/>
      <c r="Z87" s="5">
        <f t="shared" ref="Z87:Z89" si="60">IF(T87=0,0,X87/T87)</f>
        <v>-0.74087686689690091</v>
      </c>
    </row>
    <row r="88" spans="1:26" s="24" customFormat="1" hidden="1" outlineLevel="2" x14ac:dyDescent="0.25">
      <c r="A88" s="26"/>
      <c r="B88" s="11" t="str">
        <f>CONCATENATE("          ", "6253", " - ", "ROYALTY DUE ATHLETICS-LRG")</f>
        <v xml:space="preserve">          6253 - ROYALTY DUE ATHLETICS-LRG</v>
      </c>
      <c r="C88" s="11"/>
      <c r="D88" s="6"/>
      <c r="E88" s="2"/>
      <c r="F88" s="7">
        <f t="shared" si="53"/>
        <v>0</v>
      </c>
      <c r="G88" s="2"/>
      <c r="H88" s="6"/>
      <c r="I88" s="2"/>
      <c r="J88" s="7">
        <f t="shared" si="54"/>
        <v>0</v>
      </c>
      <c r="K88" s="2"/>
      <c r="L88" s="6">
        <f t="shared" si="55"/>
        <v>0</v>
      </c>
      <c r="M88" s="2"/>
      <c r="N88" s="7">
        <f t="shared" si="56"/>
        <v>0</v>
      </c>
      <c r="O88" s="11"/>
      <c r="P88" s="6">
        <v>4366.95</v>
      </c>
      <c r="Q88" s="2"/>
      <c r="R88" s="7">
        <f t="shared" si="57"/>
        <v>3.5809968271037205E-3</v>
      </c>
      <c r="S88" s="2"/>
      <c r="T88" s="6">
        <v>22994.42</v>
      </c>
      <c r="U88" s="2"/>
      <c r="V88" s="7">
        <f t="shared" si="58"/>
        <v>2.2359298752697907E-2</v>
      </c>
      <c r="W88" s="2"/>
      <c r="X88" s="6">
        <f t="shared" si="59"/>
        <v>-18627.469999999998</v>
      </c>
      <c r="Y88" s="2"/>
      <c r="Z88" s="7">
        <f t="shared" si="60"/>
        <v>-0.81008653403738817</v>
      </c>
    </row>
    <row r="89" spans="1:26" s="24" customFormat="1" hidden="1" outlineLevel="2" x14ac:dyDescent="0.25">
      <c r="A89" s="26"/>
      <c r="B89" s="11" t="str">
        <f>CONCATENATE("          ", "6254", " - ", "ROYALTY &amp; COMMISSIONS")</f>
        <v xml:space="preserve">          6254 - ROYALTY &amp; COMMISSIONS</v>
      </c>
      <c r="C89" s="11"/>
      <c r="D89" s="6">
        <v>803.23</v>
      </c>
      <c r="E89" s="2"/>
      <c r="F89" s="7">
        <f t="shared" si="53"/>
        <v>2.7550205905402057E-3</v>
      </c>
      <c r="G89" s="2"/>
      <c r="H89" s="6">
        <v>1589.82</v>
      </c>
      <c r="I89" s="2"/>
      <c r="J89" s="7">
        <f t="shared" si="54"/>
        <v>7.8472644793979567E-3</v>
      </c>
      <c r="K89" s="2"/>
      <c r="L89" s="6">
        <f t="shared" si="55"/>
        <v>-786.58999999999992</v>
      </c>
      <c r="M89" s="2"/>
      <c r="N89" s="7">
        <f t="shared" si="56"/>
        <v>-0.49476670314878413</v>
      </c>
      <c r="O89" s="11"/>
      <c r="P89" s="6">
        <v>2301.12</v>
      </c>
      <c r="Q89" s="2"/>
      <c r="R89" s="7">
        <f t="shared" si="57"/>
        <v>1.886969948999854E-3</v>
      </c>
      <c r="S89" s="2"/>
      <c r="T89" s="6">
        <v>2738.79</v>
      </c>
      <c r="U89" s="2"/>
      <c r="V89" s="7">
        <f t="shared" si="58"/>
        <v>2.6631427898986585E-3</v>
      </c>
      <c r="W89" s="2"/>
      <c r="X89" s="6">
        <f t="shared" si="59"/>
        <v>-437.67000000000007</v>
      </c>
      <c r="Y89" s="2"/>
      <c r="Z89" s="7">
        <f t="shared" si="60"/>
        <v>-0.15980414708685226</v>
      </c>
    </row>
    <row r="90" spans="1:26" s="25" customFormat="1" outlineLevel="1" collapsed="1" x14ac:dyDescent="0.25">
      <c r="A90" s="27"/>
      <c r="B90" s="13" t="str">
        <f>CONCATENATE("     ","Subscriptions &amp; Dues                              ")</f>
        <v xml:space="preserve">     Subscriptions &amp; Dues                              </v>
      </c>
      <c r="C90" s="13"/>
      <c r="D90" s="1">
        <f>SUM(OSRRefD22_10x_0)</f>
        <v>0</v>
      </c>
      <c r="E90" s="1"/>
      <c r="F90" s="5">
        <f t="shared" ref="F90:F92" si="61">IF(D$12=0,0,D90/D$12)</f>
        <v>0</v>
      </c>
      <c r="G90" s="1"/>
      <c r="H90" s="1">
        <f>SUM(OSRRefH22_10x_0)</f>
        <v>51.48</v>
      </c>
      <c r="I90" s="1"/>
      <c r="J90" s="5">
        <f t="shared" ref="J90:J92" si="62">IF(H$12=0,0,H90/H$12)</f>
        <v>2.5410246153615302E-4</v>
      </c>
      <c r="K90" s="1"/>
      <c r="L90" s="1">
        <f t="shared" ref="L90:L92" si="63">+D90-H90</f>
        <v>-51.48</v>
      </c>
      <c r="M90" s="1"/>
      <c r="N90" s="5">
        <f t="shared" ref="N90:N92" si="64">IF(H90=0,0,L90/H90)</f>
        <v>-1</v>
      </c>
      <c r="O90" s="13"/>
      <c r="P90" s="1">
        <f>SUM(OSRRefP22_10x_0)</f>
        <v>296.64</v>
      </c>
      <c r="Q90" s="1"/>
      <c r="R90" s="5">
        <f t="shared" ref="R90:R92" si="65">IF(P$12=0,0,P90/P$12)</f>
        <v>2.4325144524028157E-4</v>
      </c>
      <c r="S90" s="1"/>
      <c r="T90" s="1">
        <f>SUM(OSRRefT22_10x_0)</f>
        <v>334.98</v>
      </c>
      <c r="U90" s="1"/>
      <c r="V90" s="5">
        <f t="shared" ref="V90:V92" si="66">IF(T$12=0,0,T90/T$12)</f>
        <v>3.2572762853678181E-4</v>
      </c>
      <c r="W90" s="1"/>
      <c r="X90" s="1">
        <f t="shared" ref="X90:X92" si="67">+P90-T90</f>
        <v>-38.340000000000032</v>
      </c>
      <c r="Y90" s="1"/>
      <c r="Z90" s="5">
        <f t="shared" ref="Z90:Z92" si="68">IF(T90=0,0,X90/T90)</f>
        <v>-0.11445459430413765</v>
      </c>
    </row>
    <row r="91" spans="1:26" s="24" customFormat="1" hidden="1" outlineLevel="2" x14ac:dyDescent="0.25">
      <c r="A91" s="26"/>
      <c r="B91" s="11" t="str">
        <f>CONCATENATE("          ", "6258", " - ", "MEMBERSHIP DUES")</f>
        <v xml:space="preserve">          6258 - MEMBERSHIP DUES</v>
      </c>
      <c r="C91" s="11"/>
      <c r="D91" s="6"/>
      <c r="E91" s="2"/>
      <c r="F91" s="7">
        <f t="shared" si="61"/>
        <v>0</v>
      </c>
      <c r="G91" s="2"/>
      <c r="H91" s="6">
        <v>51.48</v>
      </c>
      <c r="I91" s="2"/>
      <c r="J91" s="7">
        <f t="shared" si="62"/>
        <v>2.5410246153615302E-4</v>
      </c>
      <c r="K91" s="2"/>
      <c r="L91" s="6">
        <f t="shared" si="63"/>
        <v>-51.48</v>
      </c>
      <c r="M91" s="2"/>
      <c r="N91" s="7">
        <f t="shared" si="64"/>
        <v>-1</v>
      </c>
      <c r="O91" s="11"/>
      <c r="P91" s="6"/>
      <c r="Q91" s="2"/>
      <c r="R91" s="7">
        <f t="shared" si="65"/>
        <v>0</v>
      </c>
      <c r="S91" s="2"/>
      <c r="T91" s="6">
        <v>51.48</v>
      </c>
      <c r="U91" s="2"/>
      <c r="V91" s="7">
        <f t="shared" si="66"/>
        <v>5.0058087996517781E-5</v>
      </c>
      <c r="W91" s="2"/>
      <c r="X91" s="6">
        <f t="shared" si="67"/>
        <v>-51.48</v>
      </c>
      <c r="Y91" s="2"/>
      <c r="Z91" s="7">
        <f t="shared" si="68"/>
        <v>-1</v>
      </c>
    </row>
    <row r="92" spans="1:26" s="24" customFormat="1" hidden="1" outlineLevel="2" x14ac:dyDescent="0.25">
      <c r="A92" s="26"/>
      <c r="B92" s="11" t="str">
        <f>CONCATENATE("          ", "6275", " - ", "SUBSCRIPTIONS")</f>
        <v xml:space="preserve">          6275 - SUBSCRIPTIONS</v>
      </c>
      <c r="C92" s="11"/>
      <c r="D92" s="6"/>
      <c r="E92" s="2"/>
      <c r="F92" s="7">
        <f t="shared" si="61"/>
        <v>0</v>
      </c>
      <c r="G92" s="2"/>
      <c r="H92" s="6"/>
      <c r="I92" s="2"/>
      <c r="J92" s="7">
        <f t="shared" si="62"/>
        <v>0</v>
      </c>
      <c r="K92" s="2"/>
      <c r="L92" s="6">
        <f t="shared" si="63"/>
        <v>0</v>
      </c>
      <c r="M92" s="2"/>
      <c r="N92" s="7">
        <f t="shared" si="64"/>
        <v>0</v>
      </c>
      <c r="O92" s="11"/>
      <c r="P92" s="6">
        <v>296.64</v>
      </c>
      <c r="Q92" s="2"/>
      <c r="R92" s="7">
        <f t="shared" si="65"/>
        <v>2.4325144524028157E-4</v>
      </c>
      <c r="S92" s="2"/>
      <c r="T92" s="6">
        <v>283.5</v>
      </c>
      <c r="U92" s="2"/>
      <c r="V92" s="7">
        <f t="shared" si="66"/>
        <v>2.75669540540264E-4</v>
      </c>
      <c r="W92" s="2"/>
      <c r="X92" s="6">
        <f t="shared" si="67"/>
        <v>13.139999999999986</v>
      </c>
      <c r="Y92" s="2"/>
      <c r="Z92" s="7">
        <f t="shared" si="68"/>
        <v>4.63492063492063E-2</v>
      </c>
    </row>
    <row r="93" spans="1:26" s="25" customFormat="1" outlineLevel="1" collapsed="1" x14ac:dyDescent="0.25">
      <c r="A93" s="27"/>
      <c r="B93" s="13" t="str">
        <f>CONCATENATE("     ","Supplies                                          ")</f>
        <v xml:space="preserve">     Supplies                                          </v>
      </c>
      <c r="C93" s="13"/>
      <c r="D93" s="1">
        <f>SUM(OSRRefD22_11x_0)</f>
        <v>-252.70999999999992</v>
      </c>
      <c r="E93" s="1"/>
      <c r="F93" s="5">
        <f t="shared" ref="F93:F98" si="69">IF(D$12=0,0,D93/D$12)</f>
        <v>-8.6677695483910599E-4</v>
      </c>
      <c r="G93" s="1"/>
      <c r="H93" s="1">
        <f>SUM(OSRRefH22_11x_0)</f>
        <v>264.36</v>
      </c>
      <c r="I93" s="1"/>
      <c r="J93" s="5">
        <f t="shared" ref="J93:J98" si="70">IF(H$12=0,0,H93/H$12)</f>
        <v>1.304866486629709E-3</v>
      </c>
      <c r="K93" s="1"/>
      <c r="L93" s="1">
        <f t="shared" ref="L93:L98" si="71">+D93-H93</f>
        <v>-517.06999999999994</v>
      </c>
      <c r="M93" s="1"/>
      <c r="N93" s="5">
        <f t="shared" ref="N93:N98" si="72">IF(H93=0,0,L93/H93)</f>
        <v>-1.9559313057951275</v>
      </c>
      <c r="O93" s="13"/>
      <c r="P93" s="1">
        <f>SUM(OSRRefP22_11x_0)</f>
        <v>1680.5899999999997</v>
      </c>
      <c r="Q93" s="1"/>
      <c r="R93" s="5">
        <f t="shared" ref="R93:R98" si="73">IF(P$12=0,0,P93/P$12)</f>
        <v>1.3781214480729665E-3</v>
      </c>
      <c r="S93" s="1"/>
      <c r="T93" s="1">
        <f>SUM(OSRRefT22_11x_0)</f>
        <v>1188.6099999999999</v>
      </c>
      <c r="U93" s="1"/>
      <c r="V93" s="5">
        <f t="shared" ref="V93:V98" si="74">IF(T$12=0,0,T93/T$12)</f>
        <v>1.1557797974658312E-3</v>
      </c>
      <c r="W93" s="1"/>
      <c r="X93" s="1">
        <f t="shared" ref="X93:X98" si="75">+P93-T93</f>
        <v>491.97999999999979</v>
      </c>
      <c r="Y93" s="1"/>
      <c r="Z93" s="5">
        <f t="shared" ref="Z93:Z98" si="76">IF(T93=0,0,X93/T93)</f>
        <v>0.4139120485272712</v>
      </c>
    </row>
    <row r="94" spans="1:26" s="24" customFormat="1" hidden="1" outlineLevel="2" x14ac:dyDescent="0.25">
      <c r="A94" s="26"/>
      <c r="B94" s="11" t="str">
        <f>CONCATENATE("          ", "6234", " - ", "EXPENDABLE SUPPLIES &amp; EQUIPMEN")</f>
        <v xml:space="preserve">          6234 - EXPENDABLE SUPPLIES &amp; EQUIPMEN</v>
      </c>
      <c r="C94" s="11"/>
      <c r="D94" s="6">
        <v>36.31</v>
      </c>
      <c r="E94" s="2"/>
      <c r="F94" s="7">
        <f t="shared" si="69"/>
        <v>1.24540664121752E-4</v>
      </c>
      <c r="G94" s="2"/>
      <c r="H94" s="6">
        <v>7.72</v>
      </c>
      <c r="I94" s="2"/>
      <c r="J94" s="7">
        <f t="shared" si="70"/>
        <v>3.8105497339920381E-5</v>
      </c>
      <c r="K94" s="2"/>
      <c r="L94" s="6">
        <f t="shared" si="71"/>
        <v>28.590000000000003</v>
      </c>
      <c r="M94" s="2"/>
      <c r="N94" s="7">
        <f t="shared" si="72"/>
        <v>3.7033678756476691</v>
      </c>
      <c r="O94" s="11"/>
      <c r="P94" s="6">
        <v>20.36</v>
      </c>
      <c r="Q94" s="2"/>
      <c r="R94" s="7">
        <f t="shared" si="73"/>
        <v>1.6695656098611558E-5</v>
      </c>
      <c r="S94" s="2"/>
      <c r="T94" s="6">
        <v>157.72</v>
      </c>
      <c r="U94" s="2"/>
      <c r="V94" s="7">
        <f t="shared" si="74"/>
        <v>1.533636681975677E-4</v>
      </c>
      <c r="W94" s="2"/>
      <c r="X94" s="6">
        <f t="shared" si="75"/>
        <v>-137.36000000000001</v>
      </c>
      <c r="Y94" s="2"/>
      <c r="Z94" s="7">
        <f t="shared" si="76"/>
        <v>-0.87091047425817913</v>
      </c>
    </row>
    <row r="95" spans="1:26" s="24" customFormat="1" hidden="1" outlineLevel="2" x14ac:dyDescent="0.25">
      <c r="A95" s="26"/>
      <c r="B95" s="11" t="str">
        <f>CONCATENATE("          ", "6241", " - ", "OFFICE EXPENSE")</f>
        <v xml:space="preserve">          6241 - OFFICE EXPENSE</v>
      </c>
      <c r="C95" s="11"/>
      <c r="D95" s="6">
        <v>299.10000000000002</v>
      </c>
      <c r="E95" s="2"/>
      <c r="F95" s="7">
        <f t="shared" si="69"/>
        <v>1.0258912872160844E-3</v>
      </c>
      <c r="G95" s="2"/>
      <c r="H95" s="6">
        <v>157.63999999999999</v>
      </c>
      <c r="I95" s="2"/>
      <c r="J95" s="7">
        <f t="shared" si="70"/>
        <v>7.7810240941257114E-4</v>
      </c>
      <c r="K95" s="2"/>
      <c r="L95" s="6">
        <f t="shared" si="71"/>
        <v>141.46000000000004</v>
      </c>
      <c r="M95" s="2"/>
      <c r="N95" s="7">
        <f t="shared" si="72"/>
        <v>0.8973610758690691</v>
      </c>
      <c r="O95" s="11"/>
      <c r="P95" s="6">
        <v>1955.56</v>
      </c>
      <c r="Q95" s="2"/>
      <c r="R95" s="7">
        <f t="shared" si="73"/>
        <v>1.6036030078684096E-3</v>
      </c>
      <c r="S95" s="2"/>
      <c r="T95" s="6">
        <v>473.55</v>
      </c>
      <c r="U95" s="2"/>
      <c r="V95" s="7">
        <f t="shared" si="74"/>
        <v>4.6047023253207063E-4</v>
      </c>
      <c r="W95" s="2"/>
      <c r="X95" s="6">
        <f t="shared" si="75"/>
        <v>1482.01</v>
      </c>
      <c r="Y95" s="2"/>
      <c r="Z95" s="7">
        <f t="shared" si="76"/>
        <v>3.1295744905501004</v>
      </c>
    </row>
    <row r="96" spans="1:26" s="24" customFormat="1" hidden="1" outlineLevel="2" x14ac:dyDescent="0.25">
      <c r="A96" s="26"/>
      <c r="B96" s="11" t="str">
        <f>CONCATENATE("          ", "6245", " - ", "PRINTING")</f>
        <v xml:space="preserve">          6245 - PRINTING</v>
      </c>
      <c r="C96" s="11"/>
      <c r="D96" s="6">
        <v>-617.17999999999995</v>
      </c>
      <c r="E96" s="2"/>
      <c r="F96" s="7">
        <f t="shared" si="69"/>
        <v>-2.1168825966032191E-3</v>
      </c>
      <c r="G96" s="2"/>
      <c r="H96" s="6"/>
      <c r="I96" s="2"/>
      <c r="J96" s="7">
        <f t="shared" si="70"/>
        <v>0</v>
      </c>
      <c r="K96" s="2"/>
      <c r="L96" s="6">
        <f t="shared" si="71"/>
        <v>-617.17999999999995</v>
      </c>
      <c r="M96" s="2"/>
      <c r="N96" s="7">
        <f t="shared" si="72"/>
        <v>0</v>
      </c>
      <c r="O96" s="11"/>
      <c r="P96" s="6">
        <v>-617.17999999999995</v>
      </c>
      <c r="Q96" s="2"/>
      <c r="R96" s="7">
        <f t="shared" si="73"/>
        <v>-5.0610142588119263E-4</v>
      </c>
      <c r="S96" s="2"/>
      <c r="T96" s="6">
        <v>220.5</v>
      </c>
      <c r="U96" s="2"/>
      <c r="V96" s="7">
        <f t="shared" si="74"/>
        <v>2.1440964264242757E-4</v>
      </c>
      <c r="W96" s="2"/>
      <c r="X96" s="6">
        <f t="shared" si="75"/>
        <v>-837.68</v>
      </c>
      <c r="Y96" s="2"/>
      <c r="Z96" s="7">
        <f t="shared" si="76"/>
        <v>-3.7990022675736959</v>
      </c>
    </row>
    <row r="97" spans="1:26" s="24" customFormat="1" hidden="1" outlineLevel="2" x14ac:dyDescent="0.25">
      <c r="A97" s="26"/>
      <c r="B97" s="11" t="str">
        <f>CONCATENATE("          ", "6247", " - ", "STORE SUPPLIES")</f>
        <v xml:space="preserve">          6247 - STORE SUPPLIES</v>
      </c>
      <c r="C97" s="11"/>
      <c r="D97" s="6">
        <v>29.06</v>
      </c>
      <c r="E97" s="2"/>
      <c r="F97" s="7">
        <f t="shared" si="69"/>
        <v>9.9673690426276866E-5</v>
      </c>
      <c r="G97" s="2"/>
      <c r="H97" s="6"/>
      <c r="I97" s="2"/>
      <c r="J97" s="7">
        <f t="shared" si="70"/>
        <v>0</v>
      </c>
      <c r="K97" s="2"/>
      <c r="L97" s="6">
        <f t="shared" si="71"/>
        <v>29.06</v>
      </c>
      <c r="M97" s="2"/>
      <c r="N97" s="7">
        <f t="shared" si="72"/>
        <v>0</v>
      </c>
      <c r="O97" s="11"/>
      <c r="P97" s="6">
        <v>321.85000000000002</v>
      </c>
      <c r="Q97" s="2"/>
      <c r="R97" s="7">
        <f t="shared" si="73"/>
        <v>2.6392420998713805E-4</v>
      </c>
      <c r="S97" s="2"/>
      <c r="T97" s="6">
        <v>237.84</v>
      </c>
      <c r="U97" s="2"/>
      <c r="V97" s="7">
        <f t="shared" si="74"/>
        <v>2.3127070025430826E-4</v>
      </c>
      <c r="W97" s="2"/>
      <c r="X97" s="6">
        <f t="shared" si="75"/>
        <v>84.010000000000019</v>
      </c>
      <c r="Y97" s="2"/>
      <c r="Z97" s="7">
        <f t="shared" si="76"/>
        <v>0.35322065253952245</v>
      </c>
    </row>
    <row r="98" spans="1:26" s="24" customFormat="1" hidden="1" outlineLevel="2" x14ac:dyDescent="0.25">
      <c r="A98" s="26"/>
      <c r="B98" s="11" t="str">
        <f>CONCATENATE("          ", "6248", " - ", "UNIFORMS")</f>
        <v xml:space="preserve">          6248 - UNIFORMS</v>
      </c>
      <c r="C98" s="11"/>
      <c r="D98" s="6"/>
      <c r="E98" s="2"/>
      <c r="F98" s="7">
        <f t="shared" si="69"/>
        <v>0</v>
      </c>
      <c r="G98" s="2"/>
      <c r="H98" s="6">
        <v>99</v>
      </c>
      <c r="I98" s="2"/>
      <c r="J98" s="7">
        <f t="shared" si="70"/>
        <v>4.8865857987721742E-4</v>
      </c>
      <c r="K98" s="2"/>
      <c r="L98" s="6">
        <f t="shared" si="71"/>
        <v>-99</v>
      </c>
      <c r="M98" s="2"/>
      <c r="N98" s="7">
        <f t="shared" si="72"/>
        <v>-1</v>
      </c>
      <c r="O98" s="11"/>
      <c r="P98" s="6"/>
      <c r="Q98" s="2"/>
      <c r="R98" s="7">
        <f t="shared" si="73"/>
        <v>0</v>
      </c>
      <c r="S98" s="2"/>
      <c r="T98" s="6">
        <v>99</v>
      </c>
      <c r="U98" s="2"/>
      <c r="V98" s="7">
        <f t="shared" si="74"/>
        <v>9.6265553839457274E-5</v>
      </c>
      <c r="W98" s="2"/>
      <c r="X98" s="6">
        <f t="shared" si="75"/>
        <v>-99</v>
      </c>
      <c r="Y98" s="2"/>
      <c r="Z98" s="7">
        <f t="shared" si="76"/>
        <v>-1</v>
      </c>
    </row>
    <row r="99" spans="1:26" s="25" customFormat="1" outlineLevel="1" collapsed="1" x14ac:dyDescent="0.25">
      <c r="A99" s="27"/>
      <c r="B99" s="13" t="str">
        <f>CONCATENATE("     ","Telephone/Data Lines                              ")</f>
        <v xml:space="preserve">     Telephone/Data Lines                              </v>
      </c>
      <c r="C99" s="13"/>
      <c r="D99" s="1">
        <f>SUM(OSRRefD22_12x_0)</f>
        <v>569.95000000000005</v>
      </c>
      <c r="E99" s="1"/>
      <c r="F99" s="5">
        <f t="shared" ref="F99:F105" si="77">IF(D$12=0,0,D99/D$12)</f>
        <v>1.9548871252049729E-3</v>
      </c>
      <c r="G99" s="1"/>
      <c r="H99" s="1">
        <f>SUM(OSRRefH22_12x_0)</f>
        <v>659.26</v>
      </c>
      <c r="I99" s="1"/>
      <c r="J99" s="5">
        <f t="shared" ref="J99:J105" si="78">IF(H$12=0,0,H99/H$12)</f>
        <v>3.2540712663621648E-3</v>
      </c>
      <c r="K99" s="1"/>
      <c r="L99" s="1">
        <f t="shared" ref="L99:L105" si="79">+D99-H99</f>
        <v>-89.309999999999945</v>
      </c>
      <c r="M99" s="1"/>
      <c r="N99" s="5">
        <f t="shared" ref="N99:N105" si="80">IF(H99=0,0,L99/H99)</f>
        <v>-0.13547007250553644</v>
      </c>
      <c r="O99" s="13"/>
      <c r="P99" s="1">
        <f>SUM(OSRRefP22_12x_0)</f>
        <v>3173.87</v>
      </c>
      <c r="Q99" s="1"/>
      <c r="R99" s="5">
        <f t="shared" ref="R99:R105" si="81">IF(P$12=0,0,P99/P$12)</f>
        <v>2.6026445000835101E-3</v>
      </c>
      <c r="S99" s="1"/>
      <c r="T99" s="1">
        <f>SUM(OSRRefT22_12x_0)</f>
        <v>2872.48</v>
      </c>
      <c r="U99" s="1"/>
      <c r="V99" s="5">
        <f t="shared" ref="V99:V105" si="82">IF(T$12=0,0,T99/T$12)</f>
        <v>2.7931401827551942E-3</v>
      </c>
      <c r="W99" s="1"/>
      <c r="X99" s="1">
        <f t="shared" ref="X99:X105" si="83">+P99-T99</f>
        <v>301.38999999999987</v>
      </c>
      <c r="Y99" s="1"/>
      <c r="Z99" s="5">
        <f t="shared" ref="Z99:Z105" si="84">IF(T99=0,0,X99/T99)</f>
        <v>0.10492327187656654</v>
      </c>
    </row>
    <row r="100" spans="1:26" s="24" customFormat="1" hidden="1" outlineLevel="2" x14ac:dyDescent="0.25">
      <c r="A100" s="26"/>
      <c r="B100" s="11" t="str">
        <f>CONCATENATE("          ", "6309", " - ", "TELEPHONE")</f>
        <v xml:space="preserve">          6309 - TELEPHONE</v>
      </c>
      <c r="C100" s="11"/>
      <c r="D100" s="6">
        <v>569.95000000000005</v>
      </c>
      <c r="E100" s="2"/>
      <c r="F100" s="7">
        <f t="shared" si="77"/>
        <v>1.9548871252049729E-3</v>
      </c>
      <c r="G100" s="2"/>
      <c r="H100" s="6">
        <v>659.26</v>
      </c>
      <c r="I100" s="2"/>
      <c r="J100" s="7">
        <f t="shared" si="78"/>
        <v>3.2540712663621648E-3</v>
      </c>
      <c r="K100" s="2"/>
      <c r="L100" s="6">
        <f t="shared" si="79"/>
        <v>-89.309999999999945</v>
      </c>
      <c r="M100" s="2"/>
      <c r="N100" s="7">
        <f t="shared" si="80"/>
        <v>-0.13547007250553644</v>
      </c>
      <c r="O100" s="11"/>
      <c r="P100" s="6">
        <v>3173.87</v>
      </c>
      <c r="Q100" s="2"/>
      <c r="R100" s="7">
        <f t="shared" si="81"/>
        <v>2.6026445000835101E-3</v>
      </c>
      <c r="S100" s="2"/>
      <c r="T100" s="6">
        <v>2872.48</v>
      </c>
      <c r="U100" s="2"/>
      <c r="V100" s="7">
        <f t="shared" si="82"/>
        <v>2.7931401827551942E-3</v>
      </c>
      <c r="W100" s="2"/>
      <c r="X100" s="6">
        <f t="shared" si="83"/>
        <v>301.38999999999987</v>
      </c>
      <c r="Y100" s="2"/>
      <c r="Z100" s="7">
        <f t="shared" si="84"/>
        <v>0.10492327187656654</v>
      </c>
    </row>
    <row r="101" spans="1:26" s="25" customFormat="1" outlineLevel="1" collapsed="1" x14ac:dyDescent="0.25">
      <c r="A101" s="27"/>
      <c r="B101" s="13" t="str">
        <f>CONCATENATE("     ","Training                                          ")</f>
        <v xml:space="preserve">     Training                                          </v>
      </c>
      <c r="C101" s="13"/>
      <c r="D101" s="1">
        <f>SUM(OSRRefD22_13x_0)</f>
        <v>233.12</v>
      </c>
      <c r="E101" s="1"/>
      <c r="F101" s="5">
        <f t="shared" si="77"/>
        <v>7.9958467695022937E-4</v>
      </c>
      <c r="G101" s="1"/>
      <c r="H101" s="1">
        <f>SUM(OSRRefH22_13x_0)</f>
        <v>0</v>
      </c>
      <c r="I101" s="1"/>
      <c r="J101" s="5">
        <f t="shared" si="78"/>
        <v>0</v>
      </c>
      <c r="K101" s="1"/>
      <c r="L101" s="1">
        <f t="shared" si="79"/>
        <v>233.12</v>
      </c>
      <c r="M101" s="1"/>
      <c r="N101" s="5">
        <f t="shared" si="80"/>
        <v>0</v>
      </c>
      <c r="O101" s="13"/>
      <c r="P101" s="1">
        <f>SUM(OSRRefP22_13x_0)</f>
        <v>1379.18</v>
      </c>
      <c r="Q101" s="1"/>
      <c r="R101" s="5">
        <f t="shared" si="81"/>
        <v>1.1309584959765763E-3</v>
      </c>
      <c r="S101" s="1"/>
      <c r="T101" s="1">
        <f>SUM(OSRRefT22_13x_0)</f>
        <v>741</v>
      </c>
      <c r="U101" s="1"/>
      <c r="V101" s="5">
        <f t="shared" si="82"/>
        <v>7.20533084798362E-4</v>
      </c>
      <c r="W101" s="1"/>
      <c r="X101" s="1">
        <f t="shared" si="83"/>
        <v>638.18000000000006</v>
      </c>
      <c r="Y101" s="1"/>
      <c r="Z101" s="5">
        <f t="shared" si="84"/>
        <v>0.86124156545209185</v>
      </c>
    </row>
    <row r="102" spans="1:26" s="24" customFormat="1" hidden="1" outlineLevel="2" x14ac:dyDescent="0.25">
      <c r="A102" s="26"/>
      <c r="B102" s="11" t="str">
        <f>CONCATENATE("          ", "6376", " - ", "TRAINING")</f>
        <v xml:space="preserve">          6376 - TRAINING</v>
      </c>
      <c r="C102" s="11"/>
      <c r="D102" s="6">
        <v>233.12</v>
      </c>
      <c r="E102" s="2"/>
      <c r="F102" s="7">
        <f t="shared" si="77"/>
        <v>7.9958467695022937E-4</v>
      </c>
      <c r="G102" s="2"/>
      <c r="H102" s="6"/>
      <c r="I102" s="2"/>
      <c r="J102" s="7">
        <f t="shared" si="78"/>
        <v>0</v>
      </c>
      <c r="K102" s="2"/>
      <c r="L102" s="6">
        <f t="shared" si="79"/>
        <v>233.12</v>
      </c>
      <c r="M102" s="2"/>
      <c r="N102" s="7">
        <f t="shared" si="80"/>
        <v>0</v>
      </c>
      <c r="O102" s="11"/>
      <c r="P102" s="6">
        <v>1379.18</v>
      </c>
      <c r="Q102" s="2"/>
      <c r="R102" s="7">
        <f t="shared" si="81"/>
        <v>1.1309584959765763E-3</v>
      </c>
      <c r="S102" s="2"/>
      <c r="T102" s="6">
        <v>741</v>
      </c>
      <c r="U102" s="2"/>
      <c r="V102" s="7">
        <f t="shared" si="82"/>
        <v>7.20533084798362E-4</v>
      </c>
      <c r="W102" s="2"/>
      <c r="X102" s="6">
        <f t="shared" si="83"/>
        <v>638.18000000000006</v>
      </c>
      <c r="Y102" s="2"/>
      <c r="Z102" s="7">
        <f t="shared" si="84"/>
        <v>0.86124156545209185</v>
      </c>
    </row>
    <row r="103" spans="1:26" s="25" customFormat="1" outlineLevel="1" collapsed="1" x14ac:dyDescent="0.25">
      <c r="A103" s="27"/>
      <c r="B103" s="13" t="str">
        <f>CONCATENATE("     ","Travel                                            ")</f>
        <v xml:space="preserve">     Travel                                            </v>
      </c>
      <c r="C103" s="13"/>
      <c r="D103" s="1">
        <f>SUM(OSRRefD22_14x_0)</f>
        <v>197.14</v>
      </c>
      <c r="E103" s="1"/>
      <c r="F103" s="5">
        <f t="shared" si="77"/>
        <v>6.7617588887254718E-4</v>
      </c>
      <c r="G103" s="1"/>
      <c r="H103" s="1">
        <f>SUM(OSRRefH22_14x_0)</f>
        <v>40</v>
      </c>
      <c r="I103" s="1"/>
      <c r="J103" s="5">
        <f t="shared" si="78"/>
        <v>1.9743781005140094E-4</v>
      </c>
      <c r="K103" s="1"/>
      <c r="L103" s="1">
        <f t="shared" si="79"/>
        <v>157.13999999999999</v>
      </c>
      <c r="M103" s="1"/>
      <c r="N103" s="5">
        <f t="shared" si="80"/>
        <v>3.9284999999999997</v>
      </c>
      <c r="O103" s="13"/>
      <c r="P103" s="1">
        <f>SUM(OSRRefP22_14x_0)</f>
        <v>304.18</v>
      </c>
      <c r="Q103" s="1"/>
      <c r="R103" s="5">
        <f t="shared" si="81"/>
        <v>2.4943441414909944E-4</v>
      </c>
      <c r="S103" s="1"/>
      <c r="T103" s="1">
        <f>SUM(OSRRefT22_14x_0)</f>
        <v>79.349999999999994</v>
      </c>
      <c r="U103" s="1"/>
      <c r="V103" s="5">
        <f t="shared" si="82"/>
        <v>7.7158299971322571E-5</v>
      </c>
      <c r="W103" s="1"/>
      <c r="X103" s="1">
        <f t="shared" si="83"/>
        <v>224.83</v>
      </c>
      <c r="Y103" s="1"/>
      <c r="Z103" s="5">
        <f t="shared" si="84"/>
        <v>2.8333963453056086</v>
      </c>
    </row>
    <row r="104" spans="1:26" s="24" customFormat="1" hidden="1" outlineLevel="2" x14ac:dyDescent="0.25">
      <c r="A104" s="26"/>
      <c r="B104" s="11" t="str">
        <f>CONCATENATE("          ", "6292", " - ", "TRAVEL/CONFERENCE")</f>
        <v xml:space="preserve">          6292 - TRAVEL/CONFERENCE</v>
      </c>
      <c r="C104" s="11"/>
      <c r="D104" s="6"/>
      <c r="E104" s="2"/>
      <c r="F104" s="7">
        <f t="shared" si="77"/>
        <v>0</v>
      </c>
      <c r="G104" s="2"/>
      <c r="H104" s="6"/>
      <c r="I104" s="2"/>
      <c r="J104" s="7">
        <f t="shared" si="78"/>
        <v>0</v>
      </c>
      <c r="K104" s="2"/>
      <c r="L104" s="6">
        <f t="shared" si="79"/>
        <v>0</v>
      </c>
      <c r="M104" s="2"/>
      <c r="N104" s="7">
        <f t="shared" si="80"/>
        <v>0</v>
      </c>
      <c r="O104" s="11"/>
      <c r="P104" s="6">
        <v>107.04</v>
      </c>
      <c r="Q104" s="2"/>
      <c r="R104" s="7">
        <f t="shared" si="81"/>
        <v>8.7775197877965687E-5</v>
      </c>
      <c r="S104" s="2"/>
      <c r="T104" s="6"/>
      <c r="U104" s="2"/>
      <c r="V104" s="7">
        <f t="shared" si="82"/>
        <v>0</v>
      </c>
      <c r="W104" s="2"/>
      <c r="X104" s="6">
        <f t="shared" si="83"/>
        <v>107.04</v>
      </c>
      <c r="Y104" s="2"/>
      <c r="Z104" s="7">
        <f t="shared" si="84"/>
        <v>0</v>
      </c>
    </row>
    <row r="105" spans="1:26" s="24" customFormat="1" hidden="1" outlineLevel="2" x14ac:dyDescent="0.25">
      <c r="A105" s="26"/>
      <c r="B105" s="11" t="str">
        <f>CONCATENATE("          ", "6294", " - ", "TRAVEL OPERATIONAL")</f>
        <v xml:space="preserve">          6294 - TRAVEL OPERATIONAL</v>
      </c>
      <c r="C105" s="11"/>
      <c r="D105" s="6">
        <v>197.14</v>
      </c>
      <c r="E105" s="2"/>
      <c r="F105" s="7">
        <f t="shared" si="77"/>
        <v>6.7617588887254718E-4</v>
      </c>
      <c r="G105" s="2"/>
      <c r="H105" s="6">
        <v>40</v>
      </c>
      <c r="I105" s="2"/>
      <c r="J105" s="7">
        <f t="shared" si="78"/>
        <v>1.9743781005140094E-4</v>
      </c>
      <c r="K105" s="2"/>
      <c r="L105" s="6">
        <f t="shared" si="79"/>
        <v>157.13999999999999</v>
      </c>
      <c r="M105" s="2"/>
      <c r="N105" s="7">
        <f t="shared" si="80"/>
        <v>3.9284999999999997</v>
      </c>
      <c r="O105" s="11"/>
      <c r="P105" s="6">
        <v>197.14</v>
      </c>
      <c r="Q105" s="2"/>
      <c r="R105" s="7">
        <f t="shared" si="81"/>
        <v>1.6165921627113371E-4</v>
      </c>
      <c r="S105" s="2"/>
      <c r="T105" s="6">
        <v>79.349999999999994</v>
      </c>
      <c r="U105" s="2"/>
      <c r="V105" s="7">
        <f t="shared" si="82"/>
        <v>7.7158299971322571E-5</v>
      </c>
      <c r="W105" s="2"/>
      <c r="X105" s="6">
        <f t="shared" si="83"/>
        <v>117.78999999999999</v>
      </c>
      <c r="Y105" s="2"/>
      <c r="Z105" s="7">
        <f t="shared" si="84"/>
        <v>1.4844360428481411</v>
      </c>
    </row>
    <row r="106" spans="1:26" s="53" customFormat="1" x14ac:dyDescent="0.25">
      <c r="A106" s="37"/>
      <c r="B106" s="37"/>
      <c r="C106" s="37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7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collapsed="1" x14ac:dyDescent="0.25">
      <c r="A107" s="10"/>
      <c r="B107" s="28" t="s">
        <v>0</v>
      </c>
      <c r="C107" s="10"/>
      <c r="D107" s="4">
        <f>SUM(OSRRefD25x_0)</f>
        <v>433.18</v>
      </c>
      <c r="E107" s="4"/>
      <c r="F107" s="12">
        <f t="shared" ref="F107:F108" si="85">IF(D$12=0,0,D107/D$12)</f>
        <v>1.4857759538490921E-3</v>
      </c>
      <c r="G107" s="4"/>
      <c r="H107" s="4">
        <f>SUM(OSRRefH25x_0)</f>
        <v>0</v>
      </c>
      <c r="I107" s="4"/>
      <c r="J107" s="12">
        <f t="shared" ref="J107:J108" si="86">IF(H$12=0,0,H107/H$12)</f>
        <v>0</v>
      </c>
      <c r="K107" s="4"/>
      <c r="L107" s="4">
        <f t="shared" ref="L107:L108" si="87">+D107-H107</f>
        <v>433.18</v>
      </c>
      <c r="M107" s="4"/>
      <c r="N107" s="12">
        <f t="shared" ref="N107:N108" si="88">IF(H107=0,0,L107/H107)</f>
        <v>0</v>
      </c>
      <c r="O107" s="10"/>
      <c r="P107" s="4">
        <f>SUM(OSRRefP25x_0)</f>
        <v>14830.16</v>
      </c>
      <c r="Q107" s="4"/>
      <c r="R107" s="12">
        <f t="shared" ref="R107:R108" si="89">IF(P$12=0,0,P107/P$12)</f>
        <v>1.2161063420794951E-2</v>
      </c>
      <c r="S107" s="4"/>
      <c r="T107" s="4">
        <f>SUM(OSRRefT25x_0)</f>
        <v>45451.3</v>
      </c>
      <c r="U107" s="4"/>
      <c r="V107" s="12">
        <f t="shared" ref="V107:V108" si="90">IF(T$12=0,0,T107/T$12)</f>
        <v>4.4195904719427519E-2</v>
      </c>
      <c r="W107" s="4"/>
      <c r="X107" s="4">
        <f t="shared" ref="X107:X108" si="91">+P107-T107</f>
        <v>-30621.140000000003</v>
      </c>
      <c r="Y107" s="4"/>
      <c r="Z107" s="12">
        <f t="shared" ref="Z107:Z108" si="92">IF(T107=0,0,X107/T107)</f>
        <v>-0.67371318312127493</v>
      </c>
    </row>
    <row r="108" spans="1:26" s="24" customFormat="1" hidden="1" outlineLevel="1" x14ac:dyDescent="0.25">
      <c r="A108" s="44"/>
      <c r="B108" s="11" t="str">
        <f>CONCATENATE("          ", "9150", " - ", "MISC. INCOME")</f>
        <v xml:space="preserve">          9150 - MISC. INCOME</v>
      </c>
      <c r="C108" s="11"/>
      <c r="D108" s="2">
        <f>--433.18</f>
        <v>433.18</v>
      </c>
      <c r="E108" s="2"/>
      <c r="F108" s="19">
        <f t="shared" si="85"/>
        <v>1.4857759538490921E-3</v>
      </c>
      <c r="G108" s="2"/>
      <c r="H108" s="2">
        <f>0</f>
        <v>0</v>
      </c>
      <c r="I108" s="2"/>
      <c r="J108" s="19">
        <f t="shared" si="86"/>
        <v>0</v>
      </c>
      <c r="K108" s="2"/>
      <c r="L108" s="2">
        <f t="shared" si="87"/>
        <v>433.18</v>
      </c>
      <c r="M108" s="2"/>
      <c r="N108" s="19">
        <f t="shared" si="88"/>
        <v>0</v>
      </c>
      <c r="O108" s="11"/>
      <c r="P108" s="2">
        <f>--14830.16</f>
        <v>14830.16</v>
      </c>
      <c r="Q108" s="2"/>
      <c r="R108" s="19">
        <f t="shared" si="89"/>
        <v>1.2161063420794951E-2</v>
      </c>
      <c r="S108" s="2"/>
      <c r="T108" s="2">
        <f>--45451.3</f>
        <v>45451.3</v>
      </c>
      <c r="U108" s="2"/>
      <c r="V108" s="19">
        <f t="shared" si="90"/>
        <v>4.4195904719427519E-2</v>
      </c>
      <c r="W108" s="2"/>
      <c r="X108" s="2">
        <f t="shared" si="91"/>
        <v>-30621.140000000003</v>
      </c>
      <c r="Y108" s="2"/>
      <c r="Z108" s="19">
        <f t="shared" si="92"/>
        <v>-0.67371318312127493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10"/>
      <c r="B110" s="29" t="s">
        <v>3</v>
      </c>
      <c r="C110" s="29"/>
      <c r="D110" s="21">
        <f>+D51-D53+D107</f>
        <v>80912.889999999985</v>
      </c>
      <c r="E110" s="14"/>
      <c r="F110" s="20">
        <f>IF(D$12=0,0,D110/D$12)</f>
        <v>0.27752533893170656</v>
      </c>
      <c r="G110" s="14"/>
      <c r="H110" s="21">
        <f>+H51-H53+H107</f>
        <v>67263.890000000014</v>
      </c>
      <c r="I110" s="14"/>
      <c r="J110" s="20">
        <f>IF(H$12=0,0,H110/H$12)</f>
        <v>0.33201087842845828</v>
      </c>
      <c r="K110" s="15"/>
      <c r="L110" s="21">
        <f>+D110-H110</f>
        <v>13648.999999999971</v>
      </c>
      <c r="M110" s="15"/>
      <c r="N110" s="20">
        <f>IF(H110=0,0,L110/H110)</f>
        <v>0.20291719673066735</v>
      </c>
      <c r="O110" s="28"/>
      <c r="P110" s="21">
        <f>+P51-P53+P107</f>
        <v>362092.32000000041</v>
      </c>
      <c r="Q110" s="14"/>
      <c r="R110" s="20">
        <f>IF(P$12=0,0,P110/P$12)</f>
        <v>0.29692381388351746</v>
      </c>
      <c r="S110" s="14"/>
      <c r="T110" s="21">
        <f>+T51-T53+T107</f>
        <v>359993.11000000028</v>
      </c>
      <c r="U110" s="14"/>
      <c r="V110" s="20">
        <f>IF(T$12=0,0,T110/T$12)</f>
        <v>0.35004985972261304</v>
      </c>
      <c r="W110" s="15"/>
      <c r="X110" s="21">
        <f>+P110-T110</f>
        <v>2099.2100000001374</v>
      </c>
      <c r="Y110" s="15"/>
      <c r="Z110" s="20">
        <f>IF(T110=0,0,X110/T110)</f>
        <v>5.8312504925445265E-3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51"/>
      <c r="B112" s="10" t="s">
        <v>13</v>
      </c>
      <c r="C112" s="10"/>
      <c r="D112" s="4">
        <v>35727.009999999995</v>
      </c>
      <c r="E112" s="4"/>
      <c r="F112" s="12">
        <f>IF(D$12=0,0,D112/D$12)</f>
        <v>0.12254105074316922</v>
      </c>
      <c r="G112" s="4"/>
      <c r="H112" s="4">
        <v>32369.059999999998</v>
      </c>
      <c r="I112" s="4"/>
      <c r="J112" s="12">
        <f>IF(H$12=0,0,H112/H$12)</f>
        <v>0.15977190799556001</v>
      </c>
      <c r="K112" s="4"/>
      <c r="L112" s="4">
        <f>+D112-H112</f>
        <v>3357.9499999999971</v>
      </c>
      <c r="M112" s="4"/>
      <c r="N112" s="12">
        <f>IF(H112=0,0,L112/H112)</f>
        <v>0.10373949691464619</v>
      </c>
      <c r="O112" s="10"/>
      <c r="P112" s="4">
        <v>129134.56</v>
      </c>
      <c r="Q112" s="4"/>
      <c r="R112" s="12">
        <f>IF(P$12=0,0,P112/P$12)</f>
        <v>0.10589323203366996</v>
      </c>
      <c r="S112" s="4"/>
      <c r="T112" s="4">
        <v>108211.26000000001</v>
      </c>
      <c r="U112" s="4"/>
      <c r="V112" s="12">
        <f>IF(T$12=0,0,T112/T$12)</f>
        <v>0.1052223926824799</v>
      </c>
      <c r="W112" s="4"/>
      <c r="X112" s="4">
        <f>+P112-T112</f>
        <v>20923.299999999988</v>
      </c>
      <c r="Y112" s="4"/>
      <c r="Z112" s="12">
        <f>IF(T112=0,0,X112/T112)</f>
        <v>0.19335603337397592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9" t="s">
        <v>4</v>
      </c>
      <c r="C114" s="29"/>
      <c r="D114" s="31">
        <f>+D110-D112</f>
        <v>45185.87999999999</v>
      </c>
      <c r="E114" s="14"/>
      <c r="F114" s="32">
        <f>IF(D$12=0,0,D114/D$12)</f>
        <v>0.15498428818853732</v>
      </c>
      <c r="G114" s="14"/>
      <c r="H114" s="31">
        <f>+H110-H112</f>
        <v>34894.830000000016</v>
      </c>
      <c r="I114" s="14"/>
      <c r="J114" s="32">
        <f>IF(H$12=0,0,H114/H$12)</f>
        <v>0.17223897043289826</v>
      </c>
      <c r="K114" s="15"/>
      <c r="L114" s="31">
        <f>D114-H114</f>
        <v>10291.049999999974</v>
      </c>
      <c r="M114" s="15"/>
      <c r="N114" s="32">
        <f>IF(H114=0,0,L114/H114)</f>
        <v>0.2949161809930001</v>
      </c>
      <c r="O114" s="28"/>
      <c r="P114" s="31">
        <f>+P110-P112</f>
        <v>232957.76000000042</v>
      </c>
      <c r="Q114" s="14"/>
      <c r="R114" s="32">
        <f>IF(P$12=0,0,P114/P$12)</f>
        <v>0.1910305818498475</v>
      </c>
      <c r="S114" s="14"/>
      <c r="T114" s="31">
        <f>+T110-T112</f>
        <v>251781.85000000027</v>
      </c>
      <c r="U114" s="14"/>
      <c r="V114" s="32">
        <f>IF(T$12=0,0,T114/T$12)</f>
        <v>0.24482746704013314</v>
      </c>
      <c r="W114" s="15"/>
      <c r="X114" s="31">
        <f>P114-T114</f>
        <v>-18824.089999999851</v>
      </c>
      <c r="Y114" s="15"/>
      <c r="Z114" s="32">
        <f>IF(T114=0,0,X114/T114)</f>
        <v>-7.4763490696409737E-2</v>
      </c>
    </row>
    <row r="115" spans="1:26" ht="15.75" thickTop="1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9" t="s">
        <v>5</v>
      </c>
      <c r="C117" s="29"/>
      <c r="D117" s="34">
        <f>SUM(D114:D116)</f>
        <v>45185.87999999999</v>
      </c>
      <c r="E117" s="14"/>
      <c r="F117" s="30">
        <f>IF(D$12=0,0,D117/D$12)</f>
        <v>0.15498428818853732</v>
      </c>
      <c r="G117" s="14"/>
      <c r="H117" s="34">
        <f>SUM(H114:H116)</f>
        <v>34894.830000000016</v>
      </c>
      <c r="I117" s="14"/>
      <c r="J117" s="30">
        <f>IF(H$12=0,0,H117/H$12)</f>
        <v>0.17223897043289826</v>
      </c>
      <c r="K117" s="15"/>
      <c r="L117" s="34">
        <f>+D117-H117</f>
        <v>10291.049999999974</v>
      </c>
      <c r="M117" s="15"/>
      <c r="N117" s="30">
        <f>IF(H117=0,0,L117/H117)</f>
        <v>0.2949161809930001</v>
      </c>
      <c r="O117" s="28"/>
      <c r="P117" s="34">
        <f>SUM(P114:P116)</f>
        <v>232957.76000000042</v>
      </c>
      <c r="Q117" s="14"/>
      <c r="R117" s="30">
        <f>IF(P$12=0,0,P117/P$12)</f>
        <v>0.1910305818498475</v>
      </c>
      <c r="S117" s="14"/>
      <c r="T117" s="34">
        <f>SUM(T114:T116)</f>
        <v>251781.85000000027</v>
      </c>
      <c r="U117" s="14"/>
      <c r="V117" s="30">
        <f>IF(T$12=0,0,T117/T$12)</f>
        <v>0.24482746704013314</v>
      </c>
      <c r="W117" s="15"/>
      <c r="X117" s="34">
        <f>+P117-T117</f>
        <v>-18824.089999999851</v>
      </c>
      <c r="Y117" s="15"/>
      <c r="Z117" s="30">
        <f>IF(T117=0,0,X117/T117)</f>
        <v>-7.4763490696409737E-2</v>
      </c>
    </row>
    <row r="118" spans="1:26" ht="15.75" thickTop="1" x14ac:dyDescent="0.25">
      <c r="A118" s="9"/>
      <c r="C118" s="9"/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A119" s="9"/>
      <c r="B119" s="59">
        <v>43815.49180802083</v>
      </c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25">
      <c r="A120" s="9"/>
      <c r="B120" s="62" t="s">
        <v>313</v>
      </c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25">
      <c r="A121" s="9"/>
      <c r="B121" s="61"/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","326", " - ", "2nd Street Store")</f>
        <v>Department 326 - 2nd Street 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37838.999999999993</v>
      </c>
      <c r="E12" s="4"/>
      <c r="F12" s="12"/>
      <c r="G12" s="4"/>
      <c r="H12" s="4">
        <f>SUM(OSRRefH13x_0)</f>
        <v>41221.43</v>
      </c>
      <c r="I12" s="4"/>
      <c r="J12" s="12"/>
      <c r="K12" s="4"/>
      <c r="L12" s="4">
        <f t="shared" ref="L12:L34" si="0">+D12-H12</f>
        <v>-3382.4300000000076</v>
      </c>
      <c r="M12" s="4"/>
      <c r="N12" s="12">
        <f t="shared" ref="N12:N34" si="1">IF(H12=0,0,L12/H12)</f>
        <v>-8.2055134914048533E-2</v>
      </c>
      <c r="O12" s="10"/>
      <c r="P12" s="4">
        <f>SUM(OSRRefP13x_0)</f>
        <v>232307.43999999997</v>
      </c>
      <c r="Q12" s="4"/>
      <c r="R12" s="12"/>
      <c r="S12" s="4"/>
      <c r="T12" s="4">
        <f>SUM(OSRRefT13x_0)</f>
        <v>208536.89</v>
      </c>
      <c r="U12" s="4"/>
      <c r="V12" s="12"/>
      <c r="W12" s="4"/>
      <c r="X12" s="4">
        <f t="shared" ref="X12:X34" si="2">+P12-T12</f>
        <v>23770.549999999959</v>
      </c>
      <c r="Y12" s="4"/>
      <c r="Z12" s="12">
        <f t="shared" ref="Z12:Z34" si="3">IF(T12=0,0,X12/T12)</f>
        <v>0.1139872662338062</v>
      </c>
    </row>
    <row r="13" spans="1:26" s="24" customFormat="1" hidden="1" outlineLevel="1" x14ac:dyDescent="0.25">
      <c r="A13" s="44"/>
      <c r="B13" s="11" t="str">
        <f>CONCATENATE("          ", "4025", " - ", "TAXABLE SALES-TEST FORMS")</f>
        <v xml:space="preserve">          4025 - TAXABLE SALES-TEST FORMS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--14.49</f>
        <v>14.49</v>
      </c>
      <c r="U13" s="2"/>
      <c r="V13" s="19"/>
      <c r="W13" s="2"/>
      <c r="X13" s="2">
        <f t="shared" si="2"/>
        <v>-14.49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--22.91</f>
        <v>22.91</v>
      </c>
      <c r="E14" s="2"/>
      <c r="F14" s="19"/>
      <c r="G14" s="2"/>
      <c r="H14" s="2">
        <f>--35.93</f>
        <v>35.93</v>
      </c>
      <c r="I14" s="2"/>
      <c r="J14" s="19"/>
      <c r="K14" s="2"/>
      <c r="L14" s="2">
        <f t="shared" si="0"/>
        <v>-13.02</v>
      </c>
      <c r="M14" s="2"/>
      <c r="N14" s="19">
        <f t="shared" si="1"/>
        <v>-0.36237127748399667</v>
      </c>
      <c r="O14" s="11"/>
      <c r="P14" s="2">
        <f>--123.19</f>
        <v>123.19</v>
      </c>
      <c r="Q14" s="2"/>
      <c r="R14" s="19"/>
      <c r="S14" s="2"/>
      <c r="T14" s="2">
        <f>--204.16</f>
        <v>204.16</v>
      </c>
      <c r="U14" s="2"/>
      <c r="V14" s="19"/>
      <c r="W14" s="2"/>
      <c r="X14" s="2">
        <f t="shared" si="2"/>
        <v>-80.97</v>
      </c>
      <c r="Y14" s="2"/>
      <c r="Z14" s="19">
        <f t="shared" si="3"/>
        <v>-0.39660070532915359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ref="D15:D16" si="4"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--47.91</f>
        <v>47.91</v>
      </c>
      <c r="Q15" s="2"/>
      <c r="R15" s="19"/>
      <c r="S15" s="2"/>
      <c r="T15" s="2">
        <f>--294.47</f>
        <v>294.47000000000003</v>
      </c>
      <c r="U15" s="2"/>
      <c r="V15" s="19"/>
      <c r="W15" s="2"/>
      <c r="X15" s="2">
        <f t="shared" si="2"/>
        <v>-246.56000000000003</v>
      </c>
      <c r="Y15" s="2"/>
      <c r="Z15" s="19">
        <f t="shared" si="3"/>
        <v>-0.8373009135056203</v>
      </c>
    </row>
    <row r="16" spans="1:26" s="24" customFormat="1" hidden="1" outlineLevel="1" x14ac:dyDescent="0.25">
      <c r="A16" s="44"/>
      <c r="B16" s="11" t="str">
        <f>CONCATENATE("          ", "4034", " - ", "TAXABLE SALES-SODA")</f>
        <v xml:space="preserve">          4034 - TAXABLE SALES-SODA</v>
      </c>
      <c r="C16" s="11"/>
      <c r="D16" s="2">
        <f t="shared" si="4"/>
        <v>0</v>
      </c>
      <c r="E16" s="2"/>
      <c r="F16" s="19"/>
      <c r="G16" s="2"/>
      <c r="H16" s="2">
        <f>--3.78</f>
        <v>3.78</v>
      </c>
      <c r="I16" s="2"/>
      <c r="J16" s="19"/>
      <c r="K16" s="2"/>
      <c r="L16" s="2">
        <f t="shared" si="0"/>
        <v>-3.78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--55.37</f>
        <v>55.37</v>
      </c>
      <c r="U16" s="2"/>
      <c r="V16" s="19"/>
      <c r="W16" s="2"/>
      <c r="X16" s="2">
        <f t="shared" si="2"/>
        <v>-55.37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--33220.2</f>
        <v>33220.199999999997</v>
      </c>
      <c r="E17" s="2"/>
      <c r="F17" s="19"/>
      <c r="G17" s="2"/>
      <c r="H17" s="2">
        <f>--36487.46</f>
        <v>36487.46</v>
      </c>
      <c r="I17" s="2"/>
      <c r="J17" s="19"/>
      <c r="K17" s="2"/>
      <c r="L17" s="2">
        <f t="shared" si="0"/>
        <v>-3267.260000000002</v>
      </c>
      <c r="M17" s="2"/>
      <c r="N17" s="19">
        <f t="shared" si="1"/>
        <v>-8.9544736739690906E-2</v>
      </c>
      <c r="O17" s="11"/>
      <c r="P17" s="2">
        <f>--196766.57</f>
        <v>196766.57</v>
      </c>
      <c r="Q17" s="2"/>
      <c r="R17" s="19"/>
      <c r="S17" s="2"/>
      <c r="T17" s="2">
        <f>--176544.08</f>
        <v>176544.08</v>
      </c>
      <c r="U17" s="2"/>
      <c r="V17" s="19"/>
      <c r="W17" s="2"/>
      <c r="X17" s="2">
        <f t="shared" si="2"/>
        <v>20222.49000000002</v>
      </c>
      <c r="Y17" s="2"/>
      <c r="Z17" s="19">
        <f t="shared" si="3"/>
        <v>0.11454640676708061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--3871.09</f>
        <v>3871.09</v>
      </c>
      <c r="E18" s="2"/>
      <c r="F18" s="19"/>
      <c r="G18" s="2"/>
      <c r="H18" s="2">
        <f>--3997.21</f>
        <v>3997.21</v>
      </c>
      <c r="I18" s="2"/>
      <c r="J18" s="19"/>
      <c r="K18" s="2"/>
      <c r="L18" s="2">
        <f t="shared" si="0"/>
        <v>-126.11999999999989</v>
      </c>
      <c r="M18" s="2"/>
      <c r="N18" s="19">
        <f t="shared" si="1"/>
        <v>-3.1552007525248831E-2</v>
      </c>
      <c r="O18" s="11"/>
      <c r="P18" s="2">
        <f>--25047.78</f>
        <v>25047.78</v>
      </c>
      <c r="Q18" s="2"/>
      <c r="R18" s="19"/>
      <c r="S18" s="2"/>
      <c r="T18" s="2">
        <f>--24488.28</f>
        <v>24488.28</v>
      </c>
      <c r="U18" s="2"/>
      <c r="V18" s="19"/>
      <c r="W18" s="2"/>
      <c r="X18" s="2">
        <f t="shared" si="2"/>
        <v>559.5</v>
      </c>
      <c r="Y18" s="2"/>
      <c r="Z18" s="19">
        <f t="shared" si="3"/>
        <v>2.2847664270418341E-2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--1692.75</f>
        <v>1692.75</v>
      </c>
      <c r="E19" s="2"/>
      <c r="F19" s="19"/>
      <c r="G19" s="2"/>
      <c r="H19" s="2">
        <f>--1782.53</f>
        <v>1782.53</v>
      </c>
      <c r="I19" s="2"/>
      <c r="J19" s="19"/>
      <c r="K19" s="2"/>
      <c r="L19" s="2">
        <f t="shared" si="0"/>
        <v>-89.779999999999973</v>
      </c>
      <c r="M19" s="2"/>
      <c r="N19" s="19">
        <f t="shared" si="1"/>
        <v>-5.0366613745631193E-2</v>
      </c>
      <c r="O19" s="11"/>
      <c r="P19" s="2">
        <f>--15906.71</f>
        <v>15906.71</v>
      </c>
      <c r="Q19" s="2"/>
      <c r="R19" s="19"/>
      <c r="S19" s="2"/>
      <c r="T19" s="2">
        <f>--11300.5</f>
        <v>11300.5</v>
      </c>
      <c r="U19" s="2"/>
      <c r="V19" s="19"/>
      <c r="W19" s="2"/>
      <c r="X19" s="2">
        <f t="shared" si="2"/>
        <v>4606.2099999999991</v>
      </c>
      <c r="Y19" s="2"/>
      <c r="Z19" s="19">
        <f t="shared" si="3"/>
        <v>0.40761116764744915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--31.98</f>
        <v>31.98</v>
      </c>
      <c r="E20" s="2"/>
      <c r="F20" s="19"/>
      <c r="G20" s="2"/>
      <c r="H20" s="2">
        <f>--21.99</f>
        <v>21.99</v>
      </c>
      <c r="I20" s="2"/>
      <c r="J20" s="19"/>
      <c r="K20" s="2"/>
      <c r="L20" s="2">
        <f t="shared" si="0"/>
        <v>9.990000000000002</v>
      </c>
      <c r="M20" s="2"/>
      <c r="N20" s="19">
        <f t="shared" si="1"/>
        <v>0.45429740791268769</v>
      </c>
      <c r="O20" s="11"/>
      <c r="P20" s="2">
        <f>--31.98</f>
        <v>31.98</v>
      </c>
      <c r="Q20" s="2"/>
      <c r="R20" s="19"/>
      <c r="S20" s="2"/>
      <c r="T20" s="2">
        <f>--327.78</f>
        <v>327.78</v>
      </c>
      <c r="U20" s="2"/>
      <c r="V20" s="19"/>
      <c r="W20" s="2"/>
      <c r="X20" s="2">
        <f t="shared" si="2"/>
        <v>-295.79999999999995</v>
      </c>
      <c r="Y20" s="2"/>
      <c r="Z20" s="19">
        <f t="shared" si="3"/>
        <v>-0.90243455976569642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--724.39</f>
        <v>724.39</v>
      </c>
      <c r="E21" s="2"/>
      <c r="F21" s="19"/>
      <c r="G21" s="2"/>
      <c r="H21" s="2">
        <f>--260.34</f>
        <v>260.33999999999997</v>
      </c>
      <c r="I21" s="2"/>
      <c r="J21" s="19"/>
      <c r="K21" s="2"/>
      <c r="L21" s="2">
        <f t="shared" si="0"/>
        <v>464.05</v>
      </c>
      <c r="M21" s="2"/>
      <c r="N21" s="19">
        <f t="shared" si="1"/>
        <v>1.7824767611584853</v>
      </c>
      <c r="O21" s="11"/>
      <c r="P21" s="2">
        <f>--1937.34</f>
        <v>1937.34</v>
      </c>
      <c r="Q21" s="2"/>
      <c r="R21" s="19"/>
      <c r="S21" s="2"/>
      <c r="T21" s="2">
        <f>--3007.24</f>
        <v>3007.24</v>
      </c>
      <c r="U21" s="2"/>
      <c r="V21" s="19"/>
      <c r="W21" s="2"/>
      <c r="X21" s="2">
        <f t="shared" si="2"/>
        <v>-1069.8999999999999</v>
      </c>
      <c r="Y21" s="2"/>
      <c r="Z21" s="19">
        <f t="shared" si="3"/>
        <v>-0.3557747303175004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>--89.85</f>
        <v>89.85</v>
      </c>
      <c r="E22" s="2"/>
      <c r="F22" s="19"/>
      <c r="G22" s="2"/>
      <c r="H22" s="2">
        <f>--159.65</f>
        <v>159.65</v>
      </c>
      <c r="I22" s="2"/>
      <c r="J22" s="19"/>
      <c r="K22" s="2"/>
      <c r="L22" s="2">
        <f t="shared" si="0"/>
        <v>-69.800000000000011</v>
      </c>
      <c r="M22" s="2"/>
      <c r="N22" s="19">
        <f t="shared" si="1"/>
        <v>-0.43720638897588482</v>
      </c>
      <c r="O22" s="11"/>
      <c r="P22" s="2">
        <f>--457.61</f>
        <v>457.61</v>
      </c>
      <c r="Q22" s="2"/>
      <c r="R22" s="19"/>
      <c r="S22" s="2"/>
      <c r="T22" s="2">
        <f>--666.35</f>
        <v>666.35</v>
      </c>
      <c r="U22" s="2"/>
      <c r="V22" s="19"/>
      <c r="W22" s="2"/>
      <c r="X22" s="2">
        <f t="shared" si="2"/>
        <v>-208.74</v>
      </c>
      <c r="Y22" s="2"/>
      <c r="Z22" s="19">
        <f t="shared" si="3"/>
        <v>-0.31325879792901629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>0</f>
        <v>0</v>
      </c>
      <c r="E23" s="2"/>
      <c r="F23" s="19"/>
      <c r="G23" s="2"/>
      <c r="H23" s="2">
        <f t="shared" ref="H23:H24" si="5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>
        <f>0</f>
        <v>0</v>
      </c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>--0.99</f>
        <v>0.99</v>
      </c>
      <c r="E24" s="2"/>
      <c r="F24" s="19"/>
      <c r="G24" s="2"/>
      <c r="H24" s="2">
        <f t="shared" si="5"/>
        <v>0</v>
      </c>
      <c r="I24" s="2"/>
      <c r="J24" s="19"/>
      <c r="K24" s="2"/>
      <c r="L24" s="2">
        <f t="shared" si="0"/>
        <v>0.99</v>
      </c>
      <c r="M24" s="2"/>
      <c r="N24" s="19">
        <f t="shared" si="1"/>
        <v>0</v>
      </c>
      <c r="O24" s="11"/>
      <c r="P24" s="2">
        <f>--27.72</f>
        <v>27.72</v>
      </c>
      <c r="Q24" s="2"/>
      <c r="R24" s="19"/>
      <c r="S24" s="2"/>
      <c r="T24" s="2">
        <f>--11.88</f>
        <v>11.88</v>
      </c>
      <c r="U24" s="2"/>
      <c r="V24" s="19"/>
      <c r="W24" s="2"/>
      <c r="X24" s="2">
        <f t="shared" si="2"/>
        <v>15.839999999999998</v>
      </c>
      <c r="Y24" s="2"/>
      <c r="Z24" s="19">
        <f t="shared" si="3"/>
        <v>1.333333333333333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--1.5</f>
        <v>1.5</v>
      </c>
      <c r="E25" s="2"/>
      <c r="F25" s="19"/>
      <c r="G25" s="2"/>
      <c r="H25" s="2">
        <f>--3</f>
        <v>3</v>
      </c>
      <c r="I25" s="2"/>
      <c r="J25" s="19"/>
      <c r="K25" s="2"/>
      <c r="L25" s="2">
        <f t="shared" si="0"/>
        <v>-1.5</v>
      </c>
      <c r="M25" s="2"/>
      <c r="N25" s="19">
        <f t="shared" si="1"/>
        <v>-0.5</v>
      </c>
      <c r="O25" s="11"/>
      <c r="P25" s="2">
        <f>--87</f>
        <v>87</v>
      </c>
      <c r="Q25" s="2"/>
      <c r="R25" s="19"/>
      <c r="S25" s="2"/>
      <c r="T25" s="2">
        <f>--58.5</f>
        <v>58.5</v>
      </c>
      <c r="U25" s="2"/>
      <c r="V25" s="19"/>
      <c r="W25" s="2"/>
      <c r="X25" s="2">
        <f t="shared" si="2"/>
        <v>28.5</v>
      </c>
      <c r="Y25" s="2"/>
      <c r="Z25" s="19">
        <f t="shared" si="3"/>
        <v>0.48717948717948717</v>
      </c>
    </row>
    <row r="26" spans="1:26" s="24" customFormat="1" hidden="1" outlineLevel="1" x14ac:dyDescent="0.25">
      <c r="A26" s="44"/>
      <c r="B26" s="11" t="str">
        <f>CONCATENATE("          ", "4142", " - ", "NON-TAXABLE SALES-EVERYDAY GIF")</f>
        <v xml:space="preserve">          4142 - NON-TAXABLE SALES-EVERYDAY GIF</v>
      </c>
      <c r="C26" s="11"/>
      <c r="D26" s="2">
        <f>--1.26</f>
        <v>1.26</v>
      </c>
      <c r="E26" s="2"/>
      <c r="F26" s="19"/>
      <c r="G26" s="2"/>
      <c r="H26" s="2">
        <f t="shared" ref="H26:H28" si="6">0</f>
        <v>0</v>
      </c>
      <c r="I26" s="2"/>
      <c r="J26" s="19"/>
      <c r="K26" s="2"/>
      <c r="L26" s="2">
        <f t="shared" si="0"/>
        <v>1.26</v>
      </c>
      <c r="M26" s="2"/>
      <c r="N26" s="19">
        <f t="shared" si="1"/>
        <v>0</v>
      </c>
      <c r="O26" s="11"/>
      <c r="P26" s="2">
        <f>--158.83</f>
        <v>158.83000000000001</v>
      </c>
      <c r="Q26" s="2"/>
      <c r="R26" s="19"/>
      <c r="S26" s="2"/>
      <c r="T26" s="2">
        <f t="shared" ref="T26:T27" si="7">0</f>
        <v>0</v>
      </c>
      <c r="U26" s="2"/>
      <c r="V26" s="19"/>
      <c r="W26" s="2"/>
      <c r="X26" s="2">
        <f t="shared" si="2"/>
        <v>158.83000000000001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"4226", " - ", "SALES RETURN TAXABLE-WRITING I")</f>
        <v xml:space="preserve">          4226 - SALES RETURN TAXABLE-WRITING I</v>
      </c>
      <c r="C27" s="11"/>
      <c r="D27" s="2">
        <f t="shared" ref="D27:D28" si="8">0</f>
        <v>0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-134.8</f>
        <v>-134.80000000000001</v>
      </c>
      <c r="Q27" s="2"/>
      <c r="R27" s="19"/>
      <c r="S27" s="2"/>
      <c r="T27" s="2">
        <f t="shared" si="7"/>
        <v>0</v>
      </c>
      <c r="U27" s="2"/>
      <c r="V27" s="19"/>
      <c r="W27" s="2"/>
      <c r="X27" s="2">
        <f t="shared" si="2"/>
        <v>-134.80000000000001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"4227", " - ", "SALES RETURN TAXABLE-SCHOOL SU")</f>
        <v xml:space="preserve">          4227 - SALES RETURN TAXABLE-SCHOOL SU</v>
      </c>
      <c r="C28" s="11"/>
      <c r="D28" s="2">
        <f t="shared" si="8"/>
        <v>0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0</f>
        <v>0</v>
      </c>
      <c r="Q28" s="2"/>
      <c r="R28" s="19"/>
      <c r="S28" s="2"/>
      <c r="T28" s="2">
        <f>-4.99</f>
        <v>-4.99</v>
      </c>
      <c r="U28" s="2"/>
      <c r="V28" s="19"/>
      <c r="W28" s="2"/>
      <c r="X28" s="2">
        <f t="shared" si="2"/>
        <v>4.99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"4240", " - ", "SALES RETURN TAXABLE-LOGO CLOT")</f>
        <v xml:space="preserve">          4240 - SALES RETURN TAXABLE-LOGO CLOT</v>
      </c>
      <c r="C29" s="11"/>
      <c r="D29" s="2">
        <f>-1412.86</f>
        <v>-1412.86</v>
      </c>
      <c r="E29" s="2"/>
      <c r="F29" s="19"/>
      <c r="G29" s="2"/>
      <c r="H29" s="2">
        <f>-1398.2</f>
        <v>-1398.2</v>
      </c>
      <c r="I29" s="2"/>
      <c r="J29" s="19"/>
      <c r="K29" s="2"/>
      <c r="L29" s="2">
        <f t="shared" si="0"/>
        <v>-14.659999999999854</v>
      </c>
      <c r="M29" s="2"/>
      <c r="N29" s="19">
        <f t="shared" si="1"/>
        <v>1.0484909168931378E-2</v>
      </c>
      <c r="O29" s="11"/>
      <c r="P29" s="2">
        <f>-6651.1</f>
        <v>-6651.1</v>
      </c>
      <c r="Q29" s="2"/>
      <c r="R29" s="19"/>
      <c r="S29" s="2"/>
      <c r="T29" s="2">
        <f>-7632.87</f>
        <v>-7632.87</v>
      </c>
      <c r="U29" s="2"/>
      <c r="V29" s="19"/>
      <c r="W29" s="2"/>
      <c r="X29" s="2">
        <f t="shared" si="2"/>
        <v>981.76999999999953</v>
      </c>
      <c r="Y29" s="2"/>
      <c r="Z29" s="19">
        <f t="shared" si="3"/>
        <v>-0.12862396451138294</v>
      </c>
    </row>
    <row r="30" spans="1:26" s="24" customFormat="1" hidden="1" outlineLevel="1" x14ac:dyDescent="0.25">
      <c r="A30" s="44"/>
      <c r="B30" s="11" t="str">
        <f>CONCATENATE("          ", "4241", " - ", "SALES RETURN TAXABLE-LOGO GIFT")</f>
        <v xml:space="preserve">          4241 - SALES RETURN TAXABLE-LOGO GIFT</v>
      </c>
      <c r="C30" s="11"/>
      <c r="D30" s="2">
        <f>-135.16</f>
        <v>-135.16</v>
      </c>
      <c r="E30" s="2"/>
      <c r="F30" s="19"/>
      <c r="G30" s="2"/>
      <c r="H30" s="2">
        <f>-74.36</f>
        <v>-74.36</v>
      </c>
      <c r="I30" s="2"/>
      <c r="J30" s="19"/>
      <c r="K30" s="2"/>
      <c r="L30" s="2">
        <f t="shared" si="0"/>
        <v>-60.8</v>
      </c>
      <c r="M30" s="2"/>
      <c r="N30" s="19">
        <f t="shared" si="1"/>
        <v>0.81764389456697151</v>
      </c>
      <c r="O30" s="11"/>
      <c r="P30" s="2">
        <f>-869.41</f>
        <v>-869.41</v>
      </c>
      <c r="Q30" s="2"/>
      <c r="R30" s="19"/>
      <c r="S30" s="2"/>
      <c r="T30" s="2">
        <f>-410.81</f>
        <v>-410.81</v>
      </c>
      <c r="U30" s="2"/>
      <c r="V30" s="19"/>
      <c r="W30" s="2"/>
      <c r="X30" s="2">
        <f t="shared" si="2"/>
        <v>-458.59999999999997</v>
      </c>
      <c r="Y30" s="2"/>
      <c r="Z30" s="19">
        <f t="shared" si="3"/>
        <v>1.1163311506535867</v>
      </c>
    </row>
    <row r="31" spans="1:26" s="24" customFormat="1" hidden="1" outlineLevel="1" x14ac:dyDescent="0.25">
      <c r="A31" s="44"/>
      <c r="B31" s="11" t="str">
        <f>CONCATENATE("          ", "4242", " - ", "SALES RETURN TAXABLE-EVERYDAY")</f>
        <v xml:space="preserve">          4242 - SALES RETURN TAXABLE-EVERYDAY</v>
      </c>
      <c r="C31" s="11"/>
      <c r="D31" s="2">
        <f>-227</f>
        <v>-227</v>
      </c>
      <c r="E31" s="2"/>
      <c r="F31" s="19"/>
      <c r="G31" s="2"/>
      <c r="H31" s="2">
        <f>-37.95</f>
        <v>-37.950000000000003</v>
      </c>
      <c r="I31" s="2"/>
      <c r="J31" s="19"/>
      <c r="K31" s="2"/>
      <c r="L31" s="2">
        <f t="shared" si="0"/>
        <v>-189.05</v>
      </c>
      <c r="M31" s="2"/>
      <c r="N31" s="19">
        <f t="shared" si="1"/>
        <v>4.9815546772068506</v>
      </c>
      <c r="O31" s="11"/>
      <c r="P31" s="2">
        <f>-515.09</f>
        <v>-515.09</v>
      </c>
      <c r="Q31" s="2"/>
      <c r="R31" s="19"/>
      <c r="S31" s="2"/>
      <c r="T31" s="2">
        <f>-147.74</f>
        <v>-147.74</v>
      </c>
      <c r="U31" s="2"/>
      <c r="V31" s="19"/>
      <c r="W31" s="2"/>
      <c r="X31" s="2">
        <f t="shared" si="2"/>
        <v>-367.35</v>
      </c>
      <c r="Y31" s="2"/>
      <c r="Z31" s="19">
        <f t="shared" si="3"/>
        <v>2.4864627047515908</v>
      </c>
    </row>
    <row r="32" spans="1:26" s="24" customFormat="1" hidden="1" outlineLevel="1" x14ac:dyDescent="0.25">
      <c r="A32" s="44"/>
      <c r="B32" s="11" t="str">
        <f>CONCATENATE("          ", "4244", " - ", "SALES RETURN TAXABLE-ACCESSORI")</f>
        <v xml:space="preserve">          4244 - SALES RETURN TAXABLE-ACCESSORI</v>
      </c>
      <c r="C32" s="11"/>
      <c r="D32" s="2">
        <f>-42.9</f>
        <v>-42.9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-42.9</v>
      </c>
      <c r="M32" s="2"/>
      <c r="N32" s="19">
        <f t="shared" si="1"/>
        <v>0</v>
      </c>
      <c r="O32" s="11"/>
      <c r="P32" s="2">
        <f>-65.85</f>
        <v>-65.849999999999994</v>
      </c>
      <c r="Q32" s="2"/>
      <c r="R32" s="19"/>
      <c r="S32" s="2"/>
      <c r="T32" s="2">
        <f>-199.9</f>
        <v>-199.9</v>
      </c>
      <c r="U32" s="2"/>
      <c r="V32" s="19"/>
      <c r="W32" s="2"/>
      <c r="X32" s="2">
        <f t="shared" si="2"/>
        <v>134.05000000000001</v>
      </c>
      <c r="Y32" s="2"/>
      <c r="Z32" s="19">
        <f t="shared" si="3"/>
        <v>-0.67058529264632316</v>
      </c>
    </row>
    <row r="33" spans="1:26" s="24" customFormat="1" hidden="1" outlineLevel="1" x14ac:dyDescent="0.25">
      <c r="A33" s="44"/>
      <c r="B33" s="11" t="str">
        <f>CONCATENATE("          ", "4245", " - ", "SALES RETURN TAXABLE-SPECIAL O")</f>
        <v xml:space="preserve">          4245 - SALES RETURN TAXABLE-SPECIAL O</v>
      </c>
      <c r="C33" s="11"/>
      <c r="D33" s="2">
        <f t="shared" ref="D33:D34" si="9">0</f>
        <v>0</v>
      </c>
      <c r="E33" s="2"/>
      <c r="F33" s="19"/>
      <c r="G33" s="2"/>
      <c r="H33" s="2">
        <f>-19.95</f>
        <v>-19.95</v>
      </c>
      <c r="I33" s="2"/>
      <c r="J33" s="19"/>
      <c r="K33" s="2"/>
      <c r="L33" s="2">
        <f t="shared" si="0"/>
        <v>19.95</v>
      </c>
      <c r="M33" s="2"/>
      <c r="N33" s="19">
        <f t="shared" si="1"/>
        <v>-1</v>
      </c>
      <c r="O33" s="11"/>
      <c r="P33" s="2">
        <f>-9.99</f>
        <v>-9.99</v>
      </c>
      <c r="Q33" s="2"/>
      <c r="R33" s="19"/>
      <c r="S33" s="2"/>
      <c r="T33" s="2">
        <f>-39.9</f>
        <v>-39.9</v>
      </c>
      <c r="U33" s="2"/>
      <c r="V33" s="19"/>
      <c r="W33" s="2"/>
      <c r="X33" s="2">
        <f t="shared" si="2"/>
        <v>29.909999999999997</v>
      </c>
      <c r="Y33" s="2"/>
      <c r="Z33" s="19">
        <f t="shared" si="3"/>
        <v>-0.74962406015037586</v>
      </c>
    </row>
    <row r="34" spans="1:26" s="24" customFormat="1" hidden="1" outlineLevel="1" x14ac:dyDescent="0.25">
      <c r="A34" s="44"/>
      <c r="B34" s="11" t="str">
        <f>CONCATENATE("          ", "4295", " - ", "SALES RETURN TAXABLE-CUSTOMER")</f>
        <v xml:space="preserve">          4295 - SALES RETURN TAXABLE-CUSTOMER</v>
      </c>
      <c r="C34" s="11"/>
      <c r="D34" s="2">
        <f t="shared" si="9"/>
        <v>0</v>
      </c>
      <c r="E34" s="2"/>
      <c r="F34" s="19"/>
      <c r="G34" s="2"/>
      <c r="H34" s="2">
        <f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--0.99</f>
        <v>0.99</v>
      </c>
      <c r="Q34" s="2"/>
      <c r="R34" s="19"/>
      <c r="S34" s="2"/>
      <c r="T34" s="2">
        <f>0</f>
        <v>0</v>
      </c>
      <c r="U34" s="2"/>
      <c r="V34" s="19"/>
      <c r="W34" s="2"/>
      <c r="X34" s="2">
        <f t="shared" si="2"/>
        <v>0.99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8" t="s">
        <v>8</v>
      </c>
      <c r="C36" s="10"/>
      <c r="D36" s="4">
        <f>SUM(OSRRefD16x_0)</f>
        <v>16040.850000000002</v>
      </c>
      <c r="E36" s="4"/>
      <c r="F36" s="12">
        <f t="shared" ref="F36:F54" si="10">IF(D$12=0,0,D36/D$12)</f>
        <v>0.42392372948545165</v>
      </c>
      <c r="G36" s="4"/>
      <c r="H36" s="4">
        <f>SUM(OSRRefH16x_0)</f>
        <v>18112.16</v>
      </c>
      <c r="I36" s="4"/>
      <c r="J36" s="12">
        <f t="shared" ref="J36:J54" si="11">IF(H$12=0,0,H36/H$12)</f>
        <v>0.43938698875803189</v>
      </c>
      <c r="K36" s="4"/>
      <c r="L36" s="4">
        <f t="shared" ref="L36:L54" si="12">+D36-H36</f>
        <v>-2071.3099999999977</v>
      </c>
      <c r="M36" s="4"/>
      <c r="N36" s="12">
        <f t="shared" ref="N36:N54" si="13">IF(H36=0,0,L36/H36)</f>
        <v>-0.11436018674746677</v>
      </c>
      <c r="O36" s="10"/>
      <c r="P36" s="4">
        <f>SUM(OSRRefP16x_0)</f>
        <v>98562.07</v>
      </c>
      <c r="Q36" s="4"/>
      <c r="R36" s="12">
        <f t="shared" ref="R36:R54" si="14">IF(P$12=0,0,P36/P$12)</f>
        <v>0.42427427205947438</v>
      </c>
      <c r="S36" s="4"/>
      <c r="T36" s="4">
        <f>SUM(OSRRefT16x_0)</f>
        <v>90548.900000000023</v>
      </c>
      <c r="U36" s="4"/>
      <c r="V36" s="12">
        <f t="shared" ref="V36:V54" si="15">IF(T$12=0,0,T36/T$12)</f>
        <v>0.43421046511243178</v>
      </c>
      <c r="W36" s="4"/>
      <c r="X36" s="4">
        <f t="shared" ref="X36:X54" si="16">+P36-T36</f>
        <v>8013.1699999999837</v>
      </c>
      <c r="Y36" s="4"/>
      <c r="Z36" s="12">
        <f t="shared" ref="Z36:Z54" si="17">IF(T36=0,0,X36/T36)</f>
        <v>8.8495498012675824E-2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/>
      <c r="E37" s="2"/>
      <c r="F37" s="19">
        <f t="shared" si="10"/>
        <v>0</v>
      </c>
      <c r="G37" s="2"/>
      <c r="H37" s="2"/>
      <c r="I37" s="2"/>
      <c r="J37" s="19">
        <f t="shared" si="11"/>
        <v>0</v>
      </c>
      <c r="K37" s="2"/>
      <c r="L37" s="2">
        <f t="shared" si="12"/>
        <v>0</v>
      </c>
      <c r="M37" s="2"/>
      <c r="N37" s="19">
        <f t="shared" si="13"/>
        <v>0</v>
      </c>
      <c r="O37" s="11"/>
      <c r="P37" s="2"/>
      <c r="Q37" s="2"/>
      <c r="R37" s="19">
        <f t="shared" si="14"/>
        <v>0</v>
      </c>
      <c r="S37" s="2"/>
      <c r="T37" s="2">
        <v>13.2</v>
      </c>
      <c r="U37" s="2"/>
      <c r="V37" s="19">
        <f t="shared" si="15"/>
        <v>6.3298153146908433E-5</v>
      </c>
      <c r="W37" s="2"/>
      <c r="X37" s="2">
        <f t="shared" si="16"/>
        <v>-13.2</v>
      </c>
      <c r="Y37" s="2"/>
      <c r="Z37" s="19">
        <f t="shared" si="17"/>
        <v>-1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>
        <v>-0.9</v>
      </c>
      <c r="E38" s="2"/>
      <c r="F38" s="19">
        <f t="shared" si="10"/>
        <v>-2.3784983746927778E-5</v>
      </c>
      <c r="G38" s="2"/>
      <c r="H38" s="2">
        <v>37.979999999999997</v>
      </c>
      <c r="I38" s="2"/>
      <c r="J38" s="19">
        <f t="shared" si="11"/>
        <v>9.2136541599842597E-4</v>
      </c>
      <c r="K38" s="2"/>
      <c r="L38" s="2">
        <f t="shared" si="12"/>
        <v>-38.879999999999995</v>
      </c>
      <c r="M38" s="2"/>
      <c r="N38" s="19">
        <f t="shared" si="13"/>
        <v>-1.0236966824644549</v>
      </c>
      <c r="O38" s="11"/>
      <c r="P38" s="2">
        <v>-37.270000000000003</v>
      </c>
      <c r="Q38" s="2"/>
      <c r="R38" s="19">
        <f t="shared" si="14"/>
        <v>-1.6043394908058048E-4</v>
      </c>
      <c r="S38" s="2"/>
      <c r="T38" s="2">
        <v>326.33999999999997</v>
      </c>
      <c r="U38" s="2"/>
      <c r="V38" s="19">
        <f t="shared" si="15"/>
        <v>1.5649029771183408E-3</v>
      </c>
      <c r="W38" s="2"/>
      <c r="X38" s="2">
        <f t="shared" si="16"/>
        <v>-363.60999999999996</v>
      </c>
      <c r="Y38" s="2"/>
      <c r="Z38" s="19">
        <f t="shared" si="17"/>
        <v>-1.1142060427774714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>
        <v>4.29</v>
      </c>
      <c r="E39" s="2"/>
      <c r="F39" s="19">
        <f t="shared" si="10"/>
        <v>1.1337508919368907E-4</v>
      </c>
      <c r="G39" s="2"/>
      <c r="H39" s="2"/>
      <c r="I39" s="2"/>
      <c r="J39" s="19">
        <f t="shared" si="11"/>
        <v>0</v>
      </c>
      <c r="K39" s="2"/>
      <c r="L39" s="2">
        <f t="shared" si="12"/>
        <v>4.29</v>
      </c>
      <c r="M39" s="2"/>
      <c r="N39" s="19">
        <f t="shared" si="13"/>
        <v>0</v>
      </c>
      <c r="O39" s="11"/>
      <c r="P39" s="2">
        <v>51.29</v>
      </c>
      <c r="Q39" s="2"/>
      <c r="R39" s="19">
        <f t="shared" si="14"/>
        <v>2.2078500800490938E-4</v>
      </c>
      <c r="S39" s="2"/>
      <c r="T39" s="2">
        <v>516.53</v>
      </c>
      <c r="U39" s="2"/>
      <c r="V39" s="19">
        <f t="shared" si="15"/>
        <v>2.47692386704338E-3</v>
      </c>
      <c r="W39" s="2"/>
      <c r="X39" s="2">
        <f t="shared" si="16"/>
        <v>-465.23999999999995</v>
      </c>
      <c r="Y39" s="2"/>
      <c r="Z39" s="19">
        <f t="shared" si="17"/>
        <v>-0.90070276653824555</v>
      </c>
    </row>
    <row r="40" spans="1:26" s="24" customFormat="1" hidden="1" outlineLevel="1" x14ac:dyDescent="0.25">
      <c r="A40" s="44"/>
      <c r="B40" s="11" t="str">
        <f>CONCATENATE("          ", "5034", " - ", "PURCHASES @ COST-SODA")</f>
        <v xml:space="preserve">          5034 - PURCHASES @ COST-SODA</v>
      </c>
      <c r="C40" s="11"/>
      <c r="D40" s="2"/>
      <c r="E40" s="2"/>
      <c r="F40" s="19">
        <f t="shared" si="10"/>
        <v>0</v>
      </c>
      <c r="G40" s="2"/>
      <c r="H40" s="2">
        <v>-14.62</v>
      </c>
      <c r="I40" s="2"/>
      <c r="J40" s="19">
        <f t="shared" si="11"/>
        <v>-3.546698889388359E-4</v>
      </c>
      <c r="K40" s="2"/>
      <c r="L40" s="2">
        <f t="shared" si="12"/>
        <v>14.62</v>
      </c>
      <c r="M40" s="2"/>
      <c r="N40" s="19">
        <f t="shared" si="13"/>
        <v>-1</v>
      </c>
      <c r="O40" s="11"/>
      <c r="P40" s="2"/>
      <c r="Q40" s="2"/>
      <c r="R40" s="19">
        <f t="shared" si="14"/>
        <v>0</v>
      </c>
      <c r="S40" s="2"/>
      <c r="T40" s="2">
        <v>-8.98</v>
      </c>
      <c r="U40" s="2"/>
      <c r="V40" s="19">
        <f t="shared" si="15"/>
        <v>-4.3061925398427104E-5</v>
      </c>
      <c r="W40" s="2"/>
      <c r="X40" s="2">
        <f t="shared" si="16"/>
        <v>8.98</v>
      </c>
      <c r="Y40" s="2"/>
      <c r="Z40" s="19">
        <f t="shared" si="17"/>
        <v>-1</v>
      </c>
    </row>
    <row r="41" spans="1:26" s="24" customFormat="1" hidden="1" outlineLevel="1" x14ac:dyDescent="0.25">
      <c r="A41" s="44"/>
      <c r="B41" s="11" t="str">
        <f>CONCATENATE("          ", "5037", " - ", "PURCHASES @ COST-WATER")</f>
        <v xml:space="preserve">          5037 - PURCHASES @ COST-WATER</v>
      </c>
      <c r="C41" s="11"/>
      <c r="D41" s="2"/>
      <c r="E41" s="2"/>
      <c r="F41" s="19">
        <f t="shared" si="10"/>
        <v>0</v>
      </c>
      <c r="G41" s="2"/>
      <c r="H41" s="2"/>
      <c r="I41" s="2"/>
      <c r="J41" s="19">
        <f t="shared" si="11"/>
        <v>0</v>
      </c>
      <c r="K41" s="2"/>
      <c r="L41" s="2">
        <f t="shared" si="12"/>
        <v>0</v>
      </c>
      <c r="M41" s="2"/>
      <c r="N41" s="19">
        <f t="shared" si="13"/>
        <v>0</v>
      </c>
      <c r="O41" s="11"/>
      <c r="P41" s="2">
        <v>29.76</v>
      </c>
      <c r="Q41" s="2"/>
      <c r="R41" s="19">
        <f t="shared" si="14"/>
        <v>1.2810609940000202E-4</v>
      </c>
      <c r="S41" s="2"/>
      <c r="T41" s="2">
        <v>16.64</v>
      </c>
      <c r="U41" s="2"/>
      <c r="V41" s="19">
        <f t="shared" si="15"/>
        <v>7.9794035482163366E-5</v>
      </c>
      <c r="W41" s="2"/>
      <c r="X41" s="2">
        <f t="shared" si="16"/>
        <v>13.120000000000001</v>
      </c>
      <c r="Y41" s="2"/>
      <c r="Z41" s="19">
        <f t="shared" si="17"/>
        <v>0.78846153846153855</v>
      </c>
    </row>
    <row r="42" spans="1:26" s="24" customFormat="1" hidden="1" outlineLevel="1" x14ac:dyDescent="0.25">
      <c r="A42" s="44"/>
      <c r="B42" s="11" t="str">
        <f>CONCATENATE("          ", "5040", " - ", "PURCHASES @ COST-LOGO CLOTHING")</f>
        <v xml:space="preserve">          5040 - PURCHASES @ COST-LOGO CLOTHING</v>
      </c>
      <c r="C42" s="11"/>
      <c r="D42" s="2">
        <v>24596.66</v>
      </c>
      <c r="E42" s="2"/>
      <c r="F42" s="19">
        <f t="shared" si="10"/>
        <v>0.65003462036523174</v>
      </c>
      <c r="G42" s="2"/>
      <c r="H42" s="2">
        <v>21022.53</v>
      </c>
      <c r="I42" s="2"/>
      <c r="J42" s="19">
        <f t="shared" si="11"/>
        <v>0.50999031329092659</v>
      </c>
      <c r="K42" s="2"/>
      <c r="L42" s="2">
        <f t="shared" si="12"/>
        <v>3574.130000000001</v>
      </c>
      <c r="M42" s="2"/>
      <c r="N42" s="19">
        <f t="shared" si="13"/>
        <v>0.17001426564737931</v>
      </c>
      <c r="O42" s="11"/>
      <c r="P42" s="2">
        <v>125372.19</v>
      </c>
      <c r="Q42" s="2"/>
      <c r="R42" s="19">
        <f t="shared" si="14"/>
        <v>0.53968219872768608</v>
      </c>
      <c r="S42" s="2"/>
      <c r="T42" s="2">
        <v>104499.91</v>
      </c>
      <c r="U42" s="2"/>
      <c r="V42" s="19">
        <f t="shared" si="15"/>
        <v>0.50110994750137494</v>
      </c>
      <c r="W42" s="2"/>
      <c r="X42" s="2">
        <f t="shared" si="16"/>
        <v>20872.28</v>
      </c>
      <c r="Y42" s="2"/>
      <c r="Z42" s="19">
        <f t="shared" si="17"/>
        <v>0.19973490886260092</v>
      </c>
    </row>
    <row r="43" spans="1:26" s="24" customFormat="1" hidden="1" outlineLevel="1" x14ac:dyDescent="0.25">
      <c r="A43" s="44"/>
      <c r="B43" s="11" t="str">
        <f>CONCATENATE("          ", "5041", " - ", "PURCHASES @ COST-LOGO GIFTS")</f>
        <v xml:space="preserve">          5041 - PURCHASES @ COST-LOGO GIFTS</v>
      </c>
      <c r="C43" s="11"/>
      <c r="D43" s="2">
        <v>2659.72</v>
      </c>
      <c r="E43" s="2"/>
      <c r="F43" s="19">
        <f t="shared" si="10"/>
        <v>7.0290441079309721E-2</v>
      </c>
      <c r="G43" s="2"/>
      <c r="H43" s="2">
        <v>3744.61</v>
      </c>
      <c r="I43" s="2"/>
      <c r="J43" s="19">
        <f t="shared" si="11"/>
        <v>9.0841341506104956E-2</v>
      </c>
      <c r="K43" s="2"/>
      <c r="L43" s="2">
        <f t="shared" si="12"/>
        <v>-1084.8900000000003</v>
      </c>
      <c r="M43" s="2"/>
      <c r="N43" s="19">
        <f t="shared" si="13"/>
        <v>-0.28972042482394705</v>
      </c>
      <c r="O43" s="11"/>
      <c r="P43" s="2">
        <v>14714.36</v>
      </c>
      <c r="Q43" s="2"/>
      <c r="R43" s="19">
        <f t="shared" si="14"/>
        <v>6.3340029058044811E-2</v>
      </c>
      <c r="S43" s="2"/>
      <c r="T43" s="2">
        <v>13722.99</v>
      </c>
      <c r="U43" s="2"/>
      <c r="V43" s="19">
        <f t="shared" si="15"/>
        <v>6.5806054746476744E-2</v>
      </c>
      <c r="W43" s="2"/>
      <c r="X43" s="2">
        <f t="shared" si="16"/>
        <v>991.3700000000008</v>
      </c>
      <c r="Y43" s="2"/>
      <c r="Z43" s="19">
        <f t="shared" si="17"/>
        <v>7.2241545027723605E-2</v>
      </c>
    </row>
    <row r="44" spans="1:26" s="24" customFormat="1" hidden="1" outlineLevel="1" x14ac:dyDescent="0.25">
      <c r="A44" s="44"/>
      <c r="B44" s="11" t="str">
        <f>CONCATENATE("          ", "5042", " - ", "PURCHASES @ COST-EVERYDAY GIFT")</f>
        <v xml:space="preserve">          5042 - PURCHASES @ COST-EVERYDAY GIFT</v>
      </c>
      <c r="C44" s="11"/>
      <c r="D44" s="2">
        <v>4428.41</v>
      </c>
      <c r="E44" s="2"/>
      <c r="F44" s="19">
        <f t="shared" si="10"/>
        <v>0.11703295541636938</v>
      </c>
      <c r="G44" s="2"/>
      <c r="H44" s="2">
        <v>2033.36</v>
      </c>
      <c r="I44" s="2"/>
      <c r="J44" s="19">
        <f t="shared" si="11"/>
        <v>4.9327740449567128E-2</v>
      </c>
      <c r="K44" s="2"/>
      <c r="L44" s="2">
        <f t="shared" si="12"/>
        <v>2395.0500000000002</v>
      </c>
      <c r="M44" s="2"/>
      <c r="N44" s="19">
        <f t="shared" si="13"/>
        <v>1.1778779950426881</v>
      </c>
      <c r="O44" s="11"/>
      <c r="P44" s="2">
        <v>13868.95</v>
      </c>
      <c r="Q44" s="2"/>
      <c r="R44" s="19">
        <f t="shared" si="14"/>
        <v>5.9700842986346037E-2</v>
      </c>
      <c r="S44" s="2"/>
      <c r="T44" s="2">
        <v>8987.48</v>
      </c>
      <c r="U44" s="2"/>
      <c r="V44" s="19">
        <f t="shared" si="15"/>
        <v>4.3097794351877015E-2</v>
      </c>
      <c r="W44" s="2"/>
      <c r="X44" s="2">
        <f t="shared" si="16"/>
        <v>4881.4700000000012</v>
      </c>
      <c r="Y44" s="2"/>
      <c r="Z44" s="19">
        <f t="shared" si="17"/>
        <v>0.54314112520973634</v>
      </c>
    </row>
    <row r="45" spans="1:26" s="24" customFormat="1" hidden="1" outlineLevel="1" x14ac:dyDescent="0.25">
      <c r="A45" s="44"/>
      <c r="B45" s="11" t="str">
        <f>CONCATENATE("          ", "5043", " - ", "PURCHASES @ COST-CARDS")</f>
        <v xml:space="preserve">          5043 - PURCHASES @ COST-CARDS</v>
      </c>
      <c r="C45" s="11"/>
      <c r="D45" s="2">
        <v>93.4</v>
      </c>
      <c r="E45" s="2"/>
      <c r="F45" s="19">
        <f t="shared" si="10"/>
        <v>2.4683527577367271E-3</v>
      </c>
      <c r="G45" s="2"/>
      <c r="H45" s="2">
        <v>145</v>
      </c>
      <c r="I45" s="2"/>
      <c r="J45" s="19">
        <f t="shared" si="11"/>
        <v>3.5175878177928326E-3</v>
      </c>
      <c r="K45" s="2"/>
      <c r="L45" s="2">
        <f t="shared" si="12"/>
        <v>-51.599999999999994</v>
      </c>
      <c r="M45" s="2"/>
      <c r="N45" s="19">
        <f t="shared" si="13"/>
        <v>-0.3558620689655172</v>
      </c>
      <c r="O45" s="11"/>
      <c r="P45" s="2">
        <v>93.4</v>
      </c>
      <c r="Q45" s="2"/>
      <c r="R45" s="19">
        <f t="shared" si="14"/>
        <v>4.020534167997375E-4</v>
      </c>
      <c r="S45" s="2"/>
      <c r="T45" s="2">
        <v>145</v>
      </c>
      <c r="U45" s="2"/>
      <c r="V45" s="19">
        <f t="shared" si="15"/>
        <v>6.9532062168952454E-4</v>
      </c>
      <c r="W45" s="2"/>
      <c r="X45" s="2">
        <f t="shared" si="16"/>
        <v>-51.599999999999994</v>
      </c>
      <c r="Y45" s="2"/>
      <c r="Z45" s="19">
        <f t="shared" si="17"/>
        <v>-0.3558620689655172</v>
      </c>
    </row>
    <row r="46" spans="1:26" s="24" customFormat="1" hidden="1" outlineLevel="1" x14ac:dyDescent="0.25">
      <c r="A46" s="44"/>
      <c r="B46" s="11" t="str">
        <f>CONCATENATE("          ", "5044", " - ", "PURCHASES @ COST-ACCESSORIES")</f>
        <v xml:space="preserve">          5044 - PURCHASES @ COST-ACCESSORIES</v>
      </c>
      <c r="C46" s="11"/>
      <c r="D46" s="2">
        <v>-7717.73</v>
      </c>
      <c r="E46" s="2"/>
      <c r="F46" s="19">
        <f t="shared" si="10"/>
        <v>-0.20396231401464102</v>
      </c>
      <c r="G46" s="2"/>
      <c r="H46" s="2">
        <v>310.05</v>
      </c>
      <c r="I46" s="2"/>
      <c r="J46" s="19">
        <f t="shared" si="11"/>
        <v>7.5215731234942601E-3</v>
      </c>
      <c r="K46" s="2"/>
      <c r="L46" s="2">
        <f t="shared" si="12"/>
        <v>-8027.78</v>
      </c>
      <c r="M46" s="2"/>
      <c r="N46" s="19">
        <f t="shared" si="13"/>
        <v>-25.891888405095951</v>
      </c>
      <c r="O46" s="11"/>
      <c r="P46" s="2">
        <v>-5365.16</v>
      </c>
      <c r="Q46" s="2"/>
      <c r="R46" s="19">
        <f t="shared" si="14"/>
        <v>-2.3095084686052245E-2</v>
      </c>
      <c r="S46" s="2"/>
      <c r="T46" s="2">
        <v>2043.8</v>
      </c>
      <c r="U46" s="2"/>
      <c r="V46" s="19">
        <f t="shared" si="15"/>
        <v>9.800664045579657E-3</v>
      </c>
      <c r="W46" s="2"/>
      <c r="X46" s="2">
        <f t="shared" si="16"/>
        <v>-7408.96</v>
      </c>
      <c r="Y46" s="2"/>
      <c r="Z46" s="19">
        <f t="shared" si="17"/>
        <v>-3.6250905176631765</v>
      </c>
    </row>
    <row r="47" spans="1:26" s="24" customFormat="1" hidden="1" outlineLevel="1" x14ac:dyDescent="0.25">
      <c r="A47" s="44"/>
      <c r="B47" s="11" t="str">
        <f>CONCATENATE("          ", "5045", " - ", "PURCHASES @ COST-SPECIAL ORDER")</f>
        <v xml:space="preserve">          5045 - PURCHASES @ COST-SPECIAL ORDER</v>
      </c>
      <c r="C47" s="11"/>
      <c r="D47" s="2">
        <v>-15</v>
      </c>
      <c r="E47" s="2"/>
      <c r="F47" s="19">
        <f t="shared" si="10"/>
        <v>-3.9641639578212964E-4</v>
      </c>
      <c r="G47" s="2"/>
      <c r="H47" s="2">
        <v>298.25</v>
      </c>
      <c r="I47" s="2"/>
      <c r="J47" s="19">
        <f t="shared" si="11"/>
        <v>7.2353142528049121E-3</v>
      </c>
      <c r="K47" s="2"/>
      <c r="L47" s="2">
        <f t="shared" si="12"/>
        <v>-313.25</v>
      </c>
      <c r="M47" s="2"/>
      <c r="N47" s="19">
        <f t="shared" si="13"/>
        <v>-1.0502933780385582</v>
      </c>
      <c r="O47" s="11"/>
      <c r="P47" s="2">
        <v>-983.2</v>
      </c>
      <c r="Q47" s="2"/>
      <c r="R47" s="19">
        <f t="shared" si="14"/>
        <v>-4.2323224774893139E-3</v>
      </c>
      <c r="S47" s="2"/>
      <c r="T47" s="2">
        <v>504.38</v>
      </c>
      <c r="U47" s="2"/>
      <c r="V47" s="19">
        <f t="shared" si="15"/>
        <v>2.41866079426043E-3</v>
      </c>
      <c r="W47" s="2"/>
      <c r="X47" s="2">
        <f t="shared" si="16"/>
        <v>-1487.58</v>
      </c>
      <c r="Y47" s="2"/>
      <c r="Z47" s="19">
        <f t="shared" si="17"/>
        <v>-2.9493239224394303</v>
      </c>
    </row>
    <row r="48" spans="1:26" s="24" customFormat="1" hidden="1" outlineLevel="1" x14ac:dyDescent="0.25">
      <c r="A48" s="44"/>
      <c r="B48" s="11" t="str">
        <f>CONCATENATE("          ", "5083", " - ", "PURCHASES @ COST-COMPUTER EQUI")</f>
        <v xml:space="preserve">          5083 - PURCHASES @ COST-COMPUTER EQUI</v>
      </c>
      <c r="C48" s="11"/>
      <c r="D48" s="2"/>
      <c r="E48" s="2"/>
      <c r="F48" s="19">
        <f t="shared" si="10"/>
        <v>0</v>
      </c>
      <c r="G48" s="2"/>
      <c r="H48" s="2"/>
      <c r="I48" s="2"/>
      <c r="J48" s="19">
        <f t="shared" si="11"/>
        <v>0</v>
      </c>
      <c r="K48" s="2"/>
      <c r="L48" s="2">
        <f t="shared" si="12"/>
        <v>0</v>
      </c>
      <c r="M48" s="2"/>
      <c r="N48" s="19">
        <f t="shared" si="13"/>
        <v>0</v>
      </c>
      <c r="O48" s="11"/>
      <c r="P48" s="2">
        <v>39.950000000000003</v>
      </c>
      <c r="Q48" s="2"/>
      <c r="R48" s="19">
        <f t="shared" si="14"/>
        <v>1.7197038545127959E-4</v>
      </c>
      <c r="S48" s="2"/>
      <c r="T48" s="2">
        <v>15.8</v>
      </c>
      <c r="U48" s="2"/>
      <c r="V48" s="19">
        <f t="shared" si="15"/>
        <v>7.576597119099647E-5</v>
      </c>
      <c r="W48" s="2"/>
      <c r="X48" s="2">
        <f t="shared" si="16"/>
        <v>24.150000000000002</v>
      </c>
      <c r="Y48" s="2"/>
      <c r="Z48" s="19">
        <f t="shared" si="17"/>
        <v>1.528481012658228</v>
      </c>
    </row>
    <row r="49" spans="1:26" s="24" customFormat="1" hidden="1" outlineLevel="1" x14ac:dyDescent="0.25">
      <c r="A49" s="44"/>
      <c r="B49" s="11" t="str">
        <f>CONCATENATE("          ", "5092", " - ", "PURCHASES @ COST-GRAD MERCH")</f>
        <v xml:space="preserve">          5092 - PURCHASES @ COST-GRAD MERCH</v>
      </c>
      <c r="C49" s="11"/>
      <c r="D49" s="2"/>
      <c r="E49" s="2"/>
      <c r="F49" s="19">
        <f t="shared" si="10"/>
        <v>0</v>
      </c>
      <c r="G49" s="2"/>
      <c r="H49" s="2"/>
      <c r="I49" s="2"/>
      <c r="J49" s="19">
        <f t="shared" si="11"/>
        <v>0</v>
      </c>
      <c r="K49" s="2"/>
      <c r="L49" s="2">
        <f t="shared" si="12"/>
        <v>0</v>
      </c>
      <c r="M49" s="2"/>
      <c r="N49" s="19">
        <f t="shared" si="13"/>
        <v>0</v>
      </c>
      <c r="O49" s="11"/>
      <c r="P49" s="2">
        <v>-60.35</v>
      </c>
      <c r="Q49" s="2"/>
      <c r="R49" s="19">
        <f t="shared" si="14"/>
        <v>-2.5978505036257127E-4</v>
      </c>
      <c r="S49" s="2"/>
      <c r="T49" s="2"/>
      <c r="U49" s="2"/>
      <c r="V49" s="19">
        <f t="shared" si="15"/>
        <v>0</v>
      </c>
      <c r="W49" s="2"/>
      <c r="X49" s="2">
        <f t="shared" si="16"/>
        <v>-60.35</v>
      </c>
      <c r="Y49" s="2"/>
      <c r="Z49" s="19">
        <f t="shared" si="17"/>
        <v>0</v>
      </c>
    </row>
    <row r="50" spans="1:26" s="24" customFormat="1" hidden="1" outlineLevel="1" x14ac:dyDescent="0.25">
      <c r="A50" s="44"/>
      <c r="B50" s="11" t="str">
        <f>CONCATENATE("          ", "5095", " - ", "PURCHASES @ COST-CUSTOMER SERV")</f>
        <v xml:space="preserve">          5095 - PURCHASES @ COST-CUSTOMER SERV</v>
      </c>
      <c r="C50" s="11"/>
      <c r="D50" s="2"/>
      <c r="E50" s="2"/>
      <c r="F50" s="19">
        <f t="shared" si="10"/>
        <v>0</v>
      </c>
      <c r="G50" s="2"/>
      <c r="H50" s="2"/>
      <c r="I50" s="2"/>
      <c r="J50" s="19">
        <f t="shared" si="11"/>
        <v>0</v>
      </c>
      <c r="K50" s="2"/>
      <c r="L50" s="2">
        <f t="shared" si="12"/>
        <v>0</v>
      </c>
      <c r="M50" s="2"/>
      <c r="N50" s="19">
        <f t="shared" si="13"/>
        <v>0</v>
      </c>
      <c r="O50" s="11"/>
      <c r="P50" s="2">
        <v>-11.85</v>
      </c>
      <c r="Q50" s="2"/>
      <c r="R50" s="19">
        <f t="shared" si="14"/>
        <v>-5.1009989176412092E-5</v>
      </c>
      <c r="S50" s="2"/>
      <c r="T50" s="2">
        <v>54.72</v>
      </c>
      <c r="U50" s="2"/>
      <c r="V50" s="19">
        <f t="shared" si="15"/>
        <v>2.6239961668172952E-4</v>
      </c>
      <c r="W50" s="2"/>
      <c r="X50" s="2">
        <f t="shared" si="16"/>
        <v>-66.569999999999993</v>
      </c>
      <c r="Y50" s="2"/>
      <c r="Z50" s="19">
        <f t="shared" si="17"/>
        <v>-1.2165570175438596</v>
      </c>
    </row>
    <row r="51" spans="1:26" s="24" customFormat="1" hidden="1" outlineLevel="1" x14ac:dyDescent="0.25">
      <c r="A51" s="44"/>
      <c r="B51" s="11" t="str">
        <f>CONCATENATE("          ", "5200", " - ", "PURCHASES OFFSET")</f>
        <v xml:space="preserve">          5200 - PURCHASES OFFSET</v>
      </c>
      <c r="C51" s="11"/>
      <c r="D51" s="2">
        <v>-24048</v>
      </c>
      <c r="E51" s="2"/>
      <c r="F51" s="19">
        <f t="shared" si="10"/>
        <v>-0.63553476571791023</v>
      </c>
      <c r="G51" s="2"/>
      <c r="H51" s="2">
        <v>-27577</v>
      </c>
      <c r="I51" s="2"/>
      <c r="J51" s="19">
        <f t="shared" si="11"/>
        <v>-0.66899668449153749</v>
      </c>
      <c r="K51" s="2"/>
      <c r="L51" s="2">
        <f t="shared" si="12"/>
        <v>3529</v>
      </c>
      <c r="M51" s="2"/>
      <c r="N51" s="19">
        <f t="shared" si="13"/>
        <v>-0.12796895964027993</v>
      </c>
      <c r="O51" s="11"/>
      <c r="P51" s="2">
        <v>-147712</v>
      </c>
      <c r="Q51" s="2"/>
      <c r="R51" s="19">
        <f t="shared" si="14"/>
        <v>-0.63584704820474114</v>
      </c>
      <c r="S51" s="2"/>
      <c r="T51" s="2">
        <v>-130881</v>
      </c>
      <c r="U51" s="2"/>
      <c r="V51" s="19">
        <f t="shared" si="15"/>
        <v>-0.6276155743954942</v>
      </c>
      <c r="W51" s="2"/>
      <c r="X51" s="2">
        <f t="shared" si="16"/>
        <v>-16831</v>
      </c>
      <c r="Y51" s="2"/>
      <c r="Z51" s="19">
        <f t="shared" si="17"/>
        <v>0.12859773381927095</v>
      </c>
    </row>
    <row r="52" spans="1:26" s="24" customFormat="1" hidden="1" outlineLevel="1" x14ac:dyDescent="0.25">
      <c r="A52" s="44"/>
      <c r="B52" s="11" t="str">
        <f>CONCATENATE("          ", "5300", " - ", "COG$ OFFSET")</f>
        <v xml:space="preserve">          5300 - COG$ OFFSET</v>
      </c>
      <c r="C52" s="11"/>
      <c r="D52" s="2">
        <v>16040</v>
      </c>
      <c r="E52" s="2"/>
      <c r="F52" s="19">
        <f t="shared" si="10"/>
        <v>0.42390126588969063</v>
      </c>
      <c r="G52" s="2"/>
      <c r="H52" s="2">
        <v>18112</v>
      </c>
      <c r="I52" s="2"/>
      <c r="J52" s="19">
        <f t="shared" si="11"/>
        <v>0.43938310728181917</v>
      </c>
      <c r="K52" s="2"/>
      <c r="L52" s="2">
        <f t="shared" si="12"/>
        <v>-2072</v>
      </c>
      <c r="M52" s="2"/>
      <c r="N52" s="19">
        <f t="shared" si="13"/>
        <v>-0.11439929328621908</v>
      </c>
      <c r="O52" s="11"/>
      <c r="P52" s="2">
        <v>98562</v>
      </c>
      <c r="Q52" s="2"/>
      <c r="R52" s="19">
        <f t="shared" si="14"/>
        <v>0.42427397073464374</v>
      </c>
      <c r="S52" s="2"/>
      <c r="T52" s="2">
        <v>90551</v>
      </c>
      <c r="U52" s="2"/>
      <c r="V52" s="19">
        <f t="shared" si="15"/>
        <v>0.43422053527315957</v>
      </c>
      <c r="W52" s="2"/>
      <c r="X52" s="2">
        <f t="shared" si="16"/>
        <v>8011</v>
      </c>
      <c r="Y52" s="2"/>
      <c r="Z52" s="19">
        <f t="shared" si="17"/>
        <v>8.8469481286788665E-2</v>
      </c>
    </row>
    <row r="53" spans="1:26" s="24" customFormat="1" hidden="1" outlineLevel="1" x14ac:dyDescent="0.25">
      <c r="A53" s="44"/>
      <c r="B53" s="11" t="str">
        <f>CONCATENATE("          ", "5540", " - ", "FREIGHT-IN-LOGO CLOTHING")</f>
        <v xml:space="preserve">          5540 - FREIGHT-IN-LOGO CLOTHING</v>
      </c>
      <c r="C53" s="11"/>
      <c r="D53" s="2"/>
      <c r="E53" s="2"/>
      <c r="F53" s="19">
        <f t="shared" si="10"/>
        <v>0</v>
      </c>
      <c r="G53" s="2"/>
      <c r="H53" s="2"/>
      <c r="I53" s="2"/>
      <c r="J53" s="19">
        <f t="shared" si="11"/>
        <v>0</v>
      </c>
      <c r="K53" s="2"/>
      <c r="L53" s="2">
        <f t="shared" si="12"/>
        <v>0</v>
      </c>
      <c r="M53" s="2"/>
      <c r="N53" s="19">
        <f t="shared" si="13"/>
        <v>0</v>
      </c>
      <c r="O53" s="11"/>
      <c r="P53" s="2"/>
      <c r="Q53" s="2"/>
      <c r="R53" s="19">
        <f t="shared" si="14"/>
        <v>0</v>
      </c>
      <c r="S53" s="2"/>
      <c r="T53" s="2">
        <v>11.96</v>
      </c>
      <c r="U53" s="2"/>
      <c r="V53" s="19">
        <f t="shared" si="15"/>
        <v>5.735196300280492E-5</v>
      </c>
      <c r="W53" s="2"/>
      <c r="X53" s="2">
        <f t="shared" si="16"/>
        <v>-11.96</v>
      </c>
      <c r="Y53" s="2"/>
      <c r="Z53" s="19">
        <f t="shared" si="17"/>
        <v>-1</v>
      </c>
    </row>
    <row r="54" spans="1:26" s="24" customFormat="1" hidden="1" outlineLevel="1" x14ac:dyDescent="0.25">
      <c r="A54" s="44"/>
      <c r="B54" s="11" t="str">
        <f>CONCATENATE("          ", "5542", " - ", "FREIGHT-IN-EVERYDAY GIFTS")</f>
        <v xml:space="preserve">          5542 - FREIGHT-IN-EVERYDAY GIFTS</v>
      </c>
      <c r="C54" s="11"/>
      <c r="D54" s="2"/>
      <c r="E54" s="2"/>
      <c r="F54" s="19">
        <f t="shared" si="10"/>
        <v>0</v>
      </c>
      <c r="G54" s="2"/>
      <c r="H54" s="2"/>
      <c r="I54" s="2"/>
      <c r="J54" s="19">
        <f t="shared" si="11"/>
        <v>0</v>
      </c>
      <c r="K54" s="2"/>
      <c r="L54" s="2">
        <f t="shared" si="12"/>
        <v>0</v>
      </c>
      <c r="M54" s="2"/>
      <c r="N54" s="19">
        <f t="shared" si="13"/>
        <v>0</v>
      </c>
      <c r="O54" s="11"/>
      <c r="P54" s="2"/>
      <c r="Q54" s="2"/>
      <c r="R54" s="19">
        <f t="shared" si="14"/>
        <v>0</v>
      </c>
      <c r="S54" s="2"/>
      <c r="T54" s="2">
        <v>29.13</v>
      </c>
      <c r="U54" s="2"/>
      <c r="V54" s="19">
        <f t="shared" si="15"/>
        <v>1.3968751524010931E-4</v>
      </c>
      <c r="W54" s="2"/>
      <c r="X54" s="2">
        <f t="shared" si="16"/>
        <v>-29.13</v>
      </c>
      <c r="Y54" s="2"/>
      <c r="Z54" s="19">
        <f t="shared" si="17"/>
        <v>-1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9" t="s">
        <v>6</v>
      </c>
      <c r="C56" s="29"/>
      <c r="D56" s="21">
        <f>D12-D36</f>
        <v>21798.149999999991</v>
      </c>
      <c r="E56" s="14"/>
      <c r="F56" s="20">
        <f>IF(D$12=0,0,D56/D$12)</f>
        <v>0.57607627051454835</v>
      </c>
      <c r="G56" s="14"/>
      <c r="H56" s="21">
        <f>H12-H36</f>
        <v>23109.27</v>
      </c>
      <c r="I56" s="14"/>
      <c r="J56" s="20">
        <f>IF(H$12=0,0,H56/H$12)</f>
        <v>0.56061301124196805</v>
      </c>
      <c r="K56" s="15"/>
      <c r="L56" s="21">
        <f>+D56-H56</f>
        <v>-1311.1200000000099</v>
      </c>
      <c r="M56" s="15"/>
      <c r="N56" s="20">
        <f>IF(H56=0,0,L56/H56)</f>
        <v>-5.6735673606306471E-2</v>
      </c>
      <c r="O56" s="28"/>
      <c r="P56" s="21">
        <f>P12-P36</f>
        <v>133745.36999999997</v>
      </c>
      <c r="Q56" s="14"/>
      <c r="R56" s="20">
        <f>IF(P$12=0,0,P56/P$12)</f>
        <v>0.57572572794052568</v>
      </c>
      <c r="S56" s="14"/>
      <c r="T56" s="21">
        <f>T12-T36</f>
        <v>117987.98999999999</v>
      </c>
      <c r="U56" s="14"/>
      <c r="V56" s="20">
        <f>IF(T$12=0,0,T56/T$12)</f>
        <v>0.56578953488756822</v>
      </c>
      <c r="W56" s="15"/>
      <c r="X56" s="21">
        <f>+P56-T56</f>
        <v>15757.379999999976</v>
      </c>
      <c r="Y56" s="15"/>
      <c r="Z56" s="20">
        <f>IF(T56=0,0,X56/T56)</f>
        <v>0.13355071139020147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8" t="s">
        <v>9</v>
      </c>
      <c r="C58" s="10"/>
      <c r="D58" s="22">
        <f>SUM(OSRRefD22x_0)</f>
        <v>33063.490000000005</v>
      </c>
      <c r="E58" s="22"/>
      <c r="F58" s="33">
        <f t="shared" ref="F58:F67" si="18">IF(D$12=0,0,D58/D$12)</f>
        <v>0.87379396918523244</v>
      </c>
      <c r="G58" s="22"/>
      <c r="H58" s="22">
        <f>SUM(OSRRefH22x_0)</f>
        <v>28022.270000000004</v>
      </c>
      <c r="I58" s="22"/>
      <c r="J58" s="33">
        <f t="shared" ref="J58:J67" si="19">IF(H$12=0,0,H58/H$12)</f>
        <v>0.67979859019932121</v>
      </c>
      <c r="K58" s="4"/>
      <c r="L58" s="22">
        <f t="shared" ref="L58:L67" si="20">+D58-H58</f>
        <v>5041.2200000000012</v>
      </c>
      <c r="M58" s="4"/>
      <c r="N58" s="33">
        <f t="shared" ref="N58:N67" si="21">IF(H58=0,0,L58/H58)</f>
        <v>0.17990048629179578</v>
      </c>
      <c r="O58" s="10"/>
      <c r="P58" s="22">
        <f>SUM(OSRRefP22x_0)</f>
        <v>152683.87999999998</v>
      </c>
      <c r="Q58" s="22"/>
      <c r="R58" s="33">
        <f t="shared" ref="R58:R67" si="22">IF(P$12=0,0,P58/P$12)</f>
        <v>0.65724920389979757</v>
      </c>
      <c r="S58" s="22"/>
      <c r="T58" s="22">
        <f>SUM(OSRRefT22x_0)</f>
        <v>139413.22999999995</v>
      </c>
      <c r="U58" s="22"/>
      <c r="V58" s="33">
        <f t="shared" ref="V58:V67" si="23">IF(T$12=0,0,T58/T$12)</f>
        <v>0.66853030176099748</v>
      </c>
      <c r="W58" s="4"/>
      <c r="X58" s="22">
        <f t="shared" ref="X58:X67" si="24">+P58-T58</f>
        <v>13270.650000000023</v>
      </c>
      <c r="Y58" s="4"/>
      <c r="Z58" s="33">
        <f t="shared" ref="Z58:Z67" si="25">IF(T58=0,0,X58/T58)</f>
        <v>9.5189315963772073E-2</v>
      </c>
    </row>
    <row r="59" spans="1:26" s="25" customFormat="1" outlineLevel="1" collapsed="1" x14ac:dyDescent="0.25">
      <c r="A59" s="27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3069.3700000000003</v>
      </c>
      <c r="E59" s="1"/>
      <c r="F59" s="5">
        <f t="shared" si="18"/>
        <v>8.1116572848119683E-2</v>
      </c>
      <c r="G59" s="1"/>
      <c r="H59" s="1">
        <f>SUM(OSRRefH22_0x_0)</f>
        <v>2193.91</v>
      </c>
      <c r="I59" s="1"/>
      <c r="J59" s="5">
        <f t="shared" si="19"/>
        <v>5.322255923678533E-2</v>
      </c>
      <c r="K59" s="1"/>
      <c r="L59" s="1">
        <f t="shared" si="20"/>
        <v>875.46000000000049</v>
      </c>
      <c r="M59" s="1"/>
      <c r="N59" s="5">
        <f t="shared" si="21"/>
        <v>0.39904098162641155</v>
      </c>
      <c r="O59" s="13"/>
      <c r="P59" s="1">
        <f>SUM(OSRRefP22_0x_0)</f>
        <v>10668.31</v>
      </c>
      <c r="Q59" s="1"/>
      <c r="R59" s="5">
        <f t="shared" si="22"/>
        <v>4.5923238618616781E-2</v>
      </c>
      <c r="S59" s="1"/>
      <c r="T59" s="1">
        <f>SUM(OSRRefT22_0x_0)</f>
        <v>13769.11</v>
      </c>
      <c r="U59" s="1"/>
      <c r="V59" s="5">
        <f t="shared" si="23"/>
        <v>6.6027214657320338E-2</v>
      </c>
      <c r="W59" s="1"/>
      <c r="X59" s="1">
        <f t="shared" si="24"/>
        <v>-3100.8000000000011</v>
      </c>
      <c r="Y59" s="1"/>
      <c r="Z59" s="5">
        <f t="shared" si="25"/>
        <v>-0.2251997405787303</v>
      </c>
    </row>
    <row r="60" spans="1:26" s="24" customFormat="1" hidden="1" outlineLevel="2" x14ac:dyDescent="0.25">
      <c r="A60" s="26"/>
      <c r="B60" s="11" t="str">
        <f>CONCATENATE("          ", "6111", " - ", "F.I.C.A.")</f>
        <v xml:space="preserve">          6111 - F.I.C.A.</v>
      </c>
      <c r="C60" s="11"/>
      <c r="D60" s="6">
        <v>343</v>
      </c>
      <c r="E60" s="2"/>
      <c r="F60" s="7">
        <f t="shared" si="18"/>
        <v>9.0647215835513648E-3</v>
      </c>
      <c r="G60" s="2"/>
      <c r="H60" s="6">
        <v>333.01</v>
      </c>
      <c r="I60" s="2"/>
      <c r="J60" s="7">
        <f t="shared" si="19"/>
        <v>8.078564960022008E-3</v>
      </c>
      <c r="K60" s="2"/>
      <c r="L60" s="6">
        <f t="shared" si="20"/>
        <v>9.9900000000000091</v>
      </c>
      <c r="M60" s="2"/>
      <c r="N60" s="7">
        <f t="shared" si="21"/>
        <v>2.9999099126152395E-2</v>
      </c>
      <c r="O60" s="11"/>
      <c r="P60" s="6">
        <v>2506.1</v>
      </c>
      <c r="Q60" s="2"/>
      <c r="R60" s="7">
        <f t="shared" si="22"/>
        <v>1.0787859398734712E-2</v>
      </c>
      <c r="S60" s="2"/>
      <c r="T60" s="6">
        <v>3167.23</v>
      </c>
      <c r="U60" s="2"/>
      <c r="V60" s="7">
        <f t="shared" si="23"/>
        <v>1.5187864362991122E-2</v>
      </c>
      <c r="W60" s="2"/>
      <c r="X60" s="6">
        <f t="shared" si="24"/>
        <v>-661.13000000000011</v>
      </c>
      <c r="Y60" s="2"/>
      <c r="Z60" s="7">
        <f t="shared" si="25"/>
        <v>-0.20874076085412177</v>
      </c>
    </row>
    <row r="61" spans="1:26" s="24" customFormat="1" hidden="1" outlineLevel="2" x14ac:dyDescent="0.25">
      <c r="A61" s="26"/>
      <c r="B61" s="11" t="str">
        <f>CONCATENATE("          ", "6112", " - ", "COMPENSATION INSURANCE")</f>
        <v xml:space="preserve">          6112 - COMPENSATION INSURANCE</v>
      </c>
      <c r="C61" s="11"/>
      <c r="D61" s="6">
        <v>203.94</v>
      </c>
      <c r="E61" s="2"/>
      <c r="F61" s="7">
        <f t="shared" si="18"/>
        <v>5.3896773170538344E-3</v>
      </c>
      <c r="G61" s="2"/>
      <c r="H61" s="6">
        <v>118.71</v>
      </c>
      <c r="I61" s="2"/>
      <c r="J61" s="7">
        <f t="shared" si="19"/>
        <v>2.8798127575874973E-3</v>
      </c>
      <c r="K61" s="2"/>
      <c r="L61" s="6">
        <f t="shared" si="20"/>
        <v>85.23</v>
      </c>
      <c r="M61" s="2"/>
      <c r="N61" s="7">
        <f t="shared" si="21"/>
        <v>0.71796815769522371</v>
      </c>
      <c r="O61" s="11"/>
      <c r="P61" s="6">
        <v>697.68</v>
      </c>
      <c r="Q61" s="2"/>
      <c r="R61" s="7">
        <f t="shared" si="22"/>
        <v>3.0032615399661761E-3</v>
      </c>
      <c r="S61" s="2"/>
      <c r="T61" s="6">
        <v>715.36</v>
      </c>
      <c r="U61" s="2"/>
      <c r="V61" s="7">
        <f t="shared" si="23"/>
        <v>3.4303762753918501E-3</v>
      </c>
      <c r="W61" s="2"/>
      <c r="X61" s="6">
        <f t="shared" si="24"/>
        <v>-17.680000000000064</v>
      </c>
      <c r="Y61" s="2"/>
      <c r="Z61" s="7">
        <f t="shared" si="25"/>
        <v>-2.4714828897338493E-2</v>
      </c>
    </row>
    <row r="62" spans="1:26" s="24" customFormat="1" hidden="1" outlineLevel="2" x14ac:dyDescent="0.25">
      <c r="A62" s="26"/>
      <c r="B62" s="11" t="str">
        <f>CONCATENATE("          ", "6113", " - ", "GROUP INSURANCE")</f>
        <v xml:space="preserve">          6113 - GROUP INSURANCE</v>
      </c>
      <c r="C62" s="11"/>
      <c r="D62" s="6">
        <v>1923.74</v>
      </c>
      <c r="E62" s="2"/>
      <c r="F62" s="7">
        <f t="shared" si="18"/>
        <v>5.0840138481460934E-2</v>
      </c>
      <c r="G62" s="2"/>
      <c r="H62" s="6">
        <v>1067.3599999999999</v>
      </c>
      <c r="I62" s="2"/>
      <c r="J62" s="7">
        <f t="shared" si="19"/>
        <v>2.5893327815167982E-2</v>
      </c>
      <c r="K62" s="2"/>
      <c r="L62" s="6">
        <f t="shared" si="20"/>
        <v>856.38000000000011</v>
      </c>
      <c r="M62" s="2"/>
      <c r="N62" s="7">
        <f t="shared" si="21"/>
        <v>0.80233473242392461</v>
      </c>
      <c r="O62" s="11"/>
      <c r="P62" s="6">
        <v>4408.46</v>
      </c>
      <c r="Q62" s="2"/>
      <c r="R62" s="7">
        <f t="shared" si="22"/>
        <v>1.8976835180138873E-2</v>
      </c>
      <c r="S62" s="2"/>
      <c r="T62" s="6">
        <v>4892.3500000000004</v>
      </c>
      <c r="U62" s="2"/>
      <c r="V62" s="7">
        <f t="shared" si="23"/>
        <v>2.3460357541536175E-2</v>
      </c>
      <c r="W62" s="2"/>
      <c r="X62" s="6">
        <f t="shared" si="24"/>
        <v>-483.89000000000033</v>
      </c>
      <c r="Y62" s="2"/>
      <c r="Z62" s="7">
        <f t="shared" si="25"/>
        <v>-9.890747800136955E-2</v>
      </c>
    </row>
    <row r="63" spans="1:26" s="24" customFormat="1" hidden="1" outlineLevel="2" x14ac:dyDescent="0.25">
      <c r="A63" s="26"/>
      <c r="B63" s="11" t="str">
        <f>CONCATENATE("          ", "6114", " - ", "STATE UNEMPLOYMENT INSURANCE")</f>
        <v xml:space="preserve">          6114 - STATE UNEMPLOYMENT INSURANCE</v>
      </c>
      <c r="C63" s="11"/>
      <c r="D63" s="6">
        <v>27.91</v>
      </c>
      <c r="E63" s="2"/>
      <c r="F63" s="7">
        <f t="shared" si="18"/>
        <v>7.3759877375194924E-4</v>
      </c>
      <c r="G63" s="2"/>
      <c r="H63" s="6">
        <v>25.94</v>
      </c>
      <c r="I63" s="2"/>
      <c r="J63" s="7">
        <f t="shared" si="19"/>
        <v>6.2928433098997298E-4</v>
      </c>
      <c r="K63" s="2"/>
      <c r="L63" s="6">
        <f t="shared" si="20"/>
        <v>1.9699999999999989</v>
      </c>
      <c r="M63" s="2"/>
      <c r="N63" s="7">
        <f t="shared" si="21"/>
        <v>7.5944487278334569E-2</v>
      </c>
      <c r="O63" s="11"/>
      <c r="P63" s="6">
        <v>128.18</v>
      </c>
      <c r="Q63" s="2"/>
      <c r="R63" s="7">
        <f t="shared" si="22"/>
        <v>5.5176881119261623E-4</v>
      </c>
      <c r="S63" s="2"/>
      <c r="T63" s="6">
        <v>156.30000000000001</v>
      </c>
      <c r="U63" s="2"/>
      <c r="V63" s="7">
        <f t="shared" si="23"/>
        <v>7.4950767703498412E-4</v>
      </c>
      <c r="W63" s="2"/>
      <c r="X63" s="6">
        <f t="shared" si="24"/>
        <v>-28.120000000000005</v>
      </c>
      <c r="Y63" s="2"/>
      <c r="Z63" s="7">
        <f t="shared" si="25"/>
        <v>-0.17991042866282791</v>
      </c>
    </row>
    <row r="64" spans="1:26" s="24" customFormat="1" hidden="1" outlineLevel="2" x14ac:dyDescent="0.25">
      <c r="A64" s="26"/>
      <c r="B64" s="11" t="str">
        <f>CONCATENATE("          ", "6115", " - ", "P.E.R.S.")</f>
        <v xml:space="preserve">          6115 - P.E.R.S.</v>
      </c>
      <c r="C64" s="11"/>
      <c r="D64" s="6">
        <v>299.39</v>
      </c>
      <c r="E64" s="2"/>
      <c r="F64" s="7">
        <f t="shared" si="18"/>
        <v>7.9122069822141188E-3</v>
      </c>
      <c r="G64" s="2"/>
      <c r="H64" s="6">
        <v>205.57</v>
      </c>
      <c r="I64" s="2"/>
      <c r="J64" s="7">
        <f t="shared" si="19"/>
        <v>4.9869691565770525E-3</v>
      </c>
      <c r="K64" s="2"/>
      <c r="L64" s="6">
        <f t="shared" si="20"/>
        <v>93.82</v>
      </c>
      <c r="M64" s="2"/>
      <c r="N64" s="7">
        <f t="shared" si="21"/>
        <v>0.456389551004524</v>
      </c>
      <c r="O64" s="11"/>
      <c r="P64" s="6">
        <v>997.93</v>
      </c>
      <c r="Q64" s="2"/>
      <c r="R64" s="7">
        <f t="shared" si="22"/>
        <v>4.2957298311237903E-3</v>
      </c>
      <c r="S64" s="2"/>
      <c r="T64" s="6">
        <v>1308.28</v>
      </c>
      <c r="U64" s="2"/>
      <c r="V64" s="7">
        <f t="shared" si="23"/>
        <v>6.2736142271998009E-3</v>
      </c>
      <c r="W64" s="2"/>
      <c r="X64" s="6">
        <f t="shared" si="24"/>
        <v>-310.35000000000002</v>
      </c>
      <c r="Y64" s="2"/>
      <c r="Z64" s="7">
        <f t="shared" si="25"/>
        <v>-0.23721986119179383</v>
      </c>
    </row>
    <row r="65" spans="1:26" s="24" customFormat="1" hidden="1" outlineLevel="2" x14ac:dyDescent="0.25">
      <c r="A65" s="26"/>
      <c r="B65" s="11" t="str">
        <f>CONCATENATE("          ", "6118", " - ", "VACATION")</f>
        <v xml:space="preserve">          6118 - VACATION</v>
      </c>
      <c r="C65" s="11"/>
      <c r="D65" s="6">
        <v>540.57000000000005</v>
      </c>
      <c r="E65" s="2"/>
      <c r="F65" s="7">
        <f t="shared" si="18"/>
        <v>1.4286054071196388E-2</v>
      </c>
      <c r="G65" s="2"/>
      <c r="H65" s="6">
        <v>182.62</v>
      </c>
      <c r="I65" s="2"/>
      <c r="J65" s="7">
        <f t="shared" si="19"/>
        <v>4.4302199123126005E-3</v>
      </c>
      <c r="K65" s="2"/>
      <c r="L65" s="6">
        <f t="shared" si="20"/>
        <v>357.95000000000005</v>
      </c>
      <c r="M65" s="2"/>
      <c r="N65" s="7">
        <f t="shared" si="21"/>
        <v>1.9600810426021249</v>
      </c>
      <c r="O65" s="11"/>
      <c r="P65" s="6">
        <v>1159.32</v>
      </c>
      <c r="Q65" s="2"/>
      <c r="R65" s="7">
        <f t="shared" si="22"/>
        <v>4.9904557512234649E-3</v>
      </c>
      <c r="S65" s="2"/>
      <c r="T65" s="6">
        <v>1728.71</v>
      </c>
      <c r="U65" s="2"/>
      <c r="V65" s="7">
        <f t="shared" si="23"/>
        <v>8.2897083580751579E-3</v>
      </c>
      <c r="W65" s="2"/>
      <c r="X65" s="6">
        <f t="shared" si="24"/>
        <v>-569.3900000000001</v>
      </c>
      <c r="Y65" s="2"/>
      <c r="Z65" s="7">
        <f t="shared" si="25"/>
        <v>-0.32937276929039577</v>
      </c>
    </row>
    <row r="66" spans="1:26" s="24" customFormat="1" hidden="1" outlineLevel="2" x14ac:dyDescent="0.25">
      <c r="A66" s="26"/>
      <c r="B66" s="11" t="str">
        <f>CONCATENATE("          ", "6119", " - ", "SICK LEAVE")</f>
        <v xml:space="preserve">          6119 - SICK LEAVE</v>
      </c>
      <c r="C66" s="11"/>
      <c r="D66" s="6">
        <v>-269.18</v>
      </c>
      <c r="E66" s="2"/>
      <c r="F66" s="7">
        <f t="shared" si="18"/>
        <v>-7.1138243611089105E-3</v>
      </c>
      <c r="G66" s="2"/>
      <c r="H66" s="6">
        <v>113.04</v>
      </c>
      <c r="I66" s="2"/>
      <c r="J66" s="7">
        <f t="shared" si="19"/>
        <v>2.7422629442986333E-3</v>
      </c>
      <c r="K66" s="2"/>
      <c r="L66" s="6">
        <f t="shared" si="20"/>
        <v>-382.22</v>
      </c>
      <c r="M66" s="2"/>
      <c r="N66" s="7">
        <f t="shared" si="21"/>
        <v>-3.3812809624911537</v>
      </c>
      <c r="O66" s="11"/>
      <c r="P66" s="6">
        <v>281.14</v>
      </c>
      <c r="Q66" s="2"/>
      <c r="R66" s="7">
        <f t="shared" si="22"/>
        <v>1.2102066124098309E-3</v>
      </c>
      <c r="S66" s="2"/>
      <c r="T66" s="6">
        <v>1064.5999999999999</v>
      </c>
      <c r="U66" s="2"/>
      <c r="V66" s="7">
        <f t="shared" si="23"/>
        <v>5.1050919575908122E-3</v>
      </c>
      <c r="W66" s="2"/>
      <c r="X66" s="6">
        <f t="shared" si="24"/>
        <v>-783.45999999999992</v>
      </c>
      <c r="Y66" s="2"/>
      <c r="Z66" s="7">
        <f t="shared" si="25"/>
        <v>-0.73591959421378916</v>
      </c>
    </row>
    <row r="67" spans="1:26" s="24" customFormat="1" hidden="1" outlineLevel="2" x14ac:dyDescent="0.25">
      <c r="A67" s="26"/>
      <c r="B67" s="11" t="str">
        <f>CONCATENATE("          ", "6156", " - ", "EMPLOYEE MEALS")</f>
        <v xml:space="preserve">          6156 - EMPLOYEE MEALS</v>
      </c>
      <c r="C67" s="11"/>
      <c r="D67" s="6"/>
      <c r="E67" s="2"/>
      <c r="F67" s="7">
        <f t="shared" si="18"/>
        <v>0</v>
      </c>
      <c r="G67" s="2"/>
      <c r="H67" s="6">
        <v>147.66</v>
      </c>
      <c r="I67" s="2"/>
      <c r="J67" s="7">
        <f t="shared" si="19"/>
        <v>3.5821173598295838E-3</v>
      </c>
      <c r="K67" s="2"/>
      <c r="L67" s="6">
        <f t="shared" si="20"/>
        <v>-147.66</v>
      </c>
      <c r="M67" s="2"/>
      <c r="N67" s="7">
        <f t="shared" si="21"/>
        <v>-1</v>
      </c>
      <c r="O67" s="11"/>
      <c r="P67" s="6">
        <v>489.5</v>
      </c>
      <c r="Q67" s="2"/>
      <c r="R67" s="7">
        <f t="shared" si="22"/>
        <v>2.107121493827318E-3</v>
      </c>
      <c r="S67" s="2"/>
      <c r="T67" s="6">
        <v>736.28</v>
      </c>
      <c r="U67" s="2"/>
      <c r="V67" s="7">
        <f t="shared" si="23"/>
        <v>3.5306942575004351E-3</v>
      </c>
      <c r="W67" s="2"/>
      <c r="X67" s="6">
        <f t="shared" si="24"/>
        <v>-246.77999999999997</v>
      </c>
      <c r="Y67" s="2"/>
      <c r="Z67" s="7">
        <f t="shared" si="25"/>
        <v>-0.33517140218395175</v>
      </c>
    </row>
    <row r="68" spans="1:26" s="25" customFormat="1" outlineLevel="1" collapsed="1" x14ac:dyDescent="0.25">
      <c r="A68" s="27"/>
      <c r="B68" s="13" t="str">
        <f>CONCATENATE("     ","*Payroll                                          ")</f>
        <v xml:space="preserve">     *Payroll                                          </v>
      </c>
      <c r="C68" s="13"/>
      <c r="D68" s="1">
        <f>SUM(OSRRefD22_1x_0)</f>
        <v>11070.96</v>
      </c>
      <c r="E68" s="1"/>
      <c r="F68" s="5">
        <f t="shared" ref="F68:F72" si="26">IF(D$12=0,0,D68/D$12)</f>
        <v>0.2925806707365417</v>
      </c>
      <c r="G68" s="1"/>
      <c r="H68" s="1">
        <f>SUM(OSRRefH22_1x_0)</f>
        <v>9594.82</v>
      </c>
      <c r="I68" s="1"/>
      <c r="J68" s="5">
        <f t="shared" ref="J68:J72" si="27">IF(H$12=0,0,H68/H$12)</f>
        <v>0.23276290997182775</v>
      </c>
      <c r="K68" s="1"/>
      <c r="L68" s="1">
        <f t="shared" ref="L68:L72" si="28">+D68-H68</f>
        <v>1476.1399999999994</v>
      </c>
      <c r="M68" s="1"/>
      <c r="N68" s="5">
        <f t="shared" ref="N68:N72" si="29">IF(H68=0,0,L68/H68)</f>
        <v>0.15384759693251143</v>
      </c>
      <c r="O68" s="13"/>
      <c r="P68" s="1">
        <f>SUM(OSRRefP22_1x_0)</f>
        <v>55389.24</v>
      </c>
      <c r="Q68" s="1"/>
      <c r="R68" s="5">
        <f t="shared" ref="R68:R72" si="30">IF(P$12=0,0,P68/P$12)</f>
        <v>0.23843076226917229</v>
      </c>
      <c r="S68" s="1"/>
      <c r="T68" s="1">
        <f>SUM(OSRRefT22_1x_0)</f>
        <v>53974.89</v>
      </c>
      <c r="U68" s="1"/>
      <c r="V68" s="5">
        <f t="shared" ref="V68:V72" si="31">IF(T$12=0,0,T68/T$12)</f>
        <v>0.25882657979602552</v>
      </c>
      <c r="W68" s="1"/>
      <c r="X68" s="1">
        <f t="shared" ref="X68:X72" si="32">+P68-T68</f>
        <v>1414.3499999999985</v>
      </c>
      <c r="Y68" s="1"/>
      <c r="Z68" s="5">
        <f t="shared" ref="Z68:Z72" si="33">IF(T68=0,0,X68/T68)</f>
        <v>2.6203851457594421E-2</v>
      </c>
    </row>
    <row r="69" spans="1:26" s="24" customFormat="1" hidden="1" outlineLevel="2" x14ac:dyDescent="0.25">
      <c r="A69" s="26"/>
      <c r="B69" s="11" t="str">
        <f>CONCATENATE("          ", "6002", " - ", "STAFF SALARIES")</f>
        <v xml:space="preserve">          6002 - STAFF SALARIES</v>
      </c>
      <c r="C69" s="11"/>
      <c r="D69" s="6">
        <v>2563.84</v>
      </c>
      <c r="E69" s="2"/>
      <c r="F69" s="7">
        <f t="shared" si="26"/>
        <v>6.7756547477470355E-2</v>
      </c>
      <c r="G69" s="2"/>
      <c r="H69" s="6">
        <v>1936.93</v>
      </c>
      <c r="I69" s="2"/>
      <c r="J69" s="7">
        <f t="shared" si="27"/>
        <v>4.698842325460325E-2</v>
      </c>
      <c r="K69" s="2"/>
      <c r="L69" s="6">
        <f t="shared" si="28"/>
        <v>626.91000000000008</v>
      </c>
      <c r="M69" s="2"/>
      <c r="N69" s="7">
        <f t="shared" si="29"/>
        <v>0.32366167078830937</v>
      </c>
      <c r="O69" s="11"/>
      <c r="P69" s="6">
        <v>9425.74</v>
      </c>
      <c r="Q69" s="2"/>
      <c r="R69" s="7">
        <f t="shared" si="30"/>
        <v>4.0574421551027383E-2</v>
      </c>
      <c r="S69" s="2"/>
      <c r="T69" s="6">
        <v>11398.53</v>
      </c>
      <c r="U69" s="2"/>
      <c r="V69" s="7">
        <f t="shared" si="31"/>
        <v>5.4659537696184111E-2</v>
      </c>
      <c r="W69" s="2"/>
      <c r="X69" s="6">
        <f t="shared" si="32"/>
        <v>-1972.7900000000009</v>
      </c>
      <c r="Y69" s="2"/>
      <c r="Z69" s="7">
        <f t="shared" si="33"/>
        <v>-0.17307407183206963</v>
      </c>
    </row>
    <row r="70" spans="1:26" s="24" customFormat="1" hidden="1" outlineLevel="2" x14ac:dyDescent="0.25">
      <c r="A70" s="26"/>
      <c r="B70" s="11" t="str">
        <f>CONCATENATE("          ", "6005", " - ", "TEMPORARY WAGES-HOURLY")</f>
        <v xml:space="preserve">          6005 - TEMPORARY WAGES-HOURLY</v>
      </c>
      <c r="C70" s="11"/>
      <c r="D70" s="6">
        <v>1561.92</v>
      </c>
      <c r="E70" s="2"/>
      <c r="F70" s="7">
        <f t="shared" si="26"/>
        <v>4.1278046460001598E-2</v>
      </c>
      <c r="G70" s="2"/>
      <c r="H70" s="6">
        <v>1895.37</v>
      </c>
      <c r="I70" s="2"/>
      <c r="J70" s="7">
        <f t="shared" si="27"/>
        <v>4.598020980834483E-2</v>
      </c>
      <c r="K70" s="2"/>
      <c r="L70" s="6">
        <f t="shared" si="28"/>
        <v>-333.44999999999982</v>
      </c>
      <c r="M70" s="2"/>
      <c r="N70" s="7">
        <f t="shared" si="29"/>
        <v>-0.17592871048924477</v>
      </c>
      <c r="O70" s="11"/>
      <c r="P70" s="6">
        <v>2444.52</v>
      </c>
      <c r="Q70" s="2"/>
      <c r="R70" s="7">
        <f t="shared" si="30"/>
        <v>1.0522779640634843E-2</v>
      </c>
      <c r="S70" s="2"/>
      <c r="T70" s="6">
        <v>10010.76</v>
      </c>
      <c r="U70" s="2"/>
      <c r="V70" s="7">
        <f t="shared" si="31"/>
        <v>4.8004743908859483E-2</v>
      </c>
      <c r="W70" s="2"/>
      <c r="X70" s="6">
        <f t="shared" si="32"/>
        <v>-7566.24</v>
      </c>
      <c r="Y70" s="2"/>
      <c r="Z70" s="7">
        <f t="shared" si="33"/>
        <v>-0.75581074763554412</v>
      </c>
    </row>
    <row r="71" spans="1:26" s="24" customFormat="1" hidden="1" outlineLevel="2" x14ac:dyDescent="0.25">
      <c r="A71" s="26"/>
      <c r="B71" s="11" t="str">
        <f>CONCATENATE("          ", "6006", " - ", "TEMPORARY PART TIME")</f>
        <v xml:space="preserve">          6006 - TEMPORARY PART TIME</v>
      </c>
      <c r="C71" s="11"/>
      <c r="D71" s="6"/>
      <c r="E71" s="2"/>
      <c r="F71" s="7">
        <f t="shared" si="26"/>
        <v>0</v>
      </c>
      <c r="G71" s="2"/>
      <c r="H71" s="6"/>
      <c r="I71" s="2"/>
      <c r="J71" s="7">
        <f t="shared" si="27"/>
        <v>0</v>
      </c>
      <c r="K71" s="2"/>
      <c r="L71" s="6">
        <f t="shared" si="28"/>
        <v>0</v>
      </c>
      <c r="M71" s="2"/>
      <c r="N71" s="7">
        <f t="shared" si="29"/>
        <v>0</v>
      </c>
      <c r="O71" s="11"/>
      <c r="P71" s="6"/>
      <c r="Q71" s="2"/>
      <c r="R71" s="7">
        <f t="shared" si="30"/>
        <v>0</v>
      </c>
      <c r="S71" s="2"/>
      <c r="T71" s="6">
        <v>2864.13</v>
      </c>
      <c r="U71" s="2"/>
      <c r="V71" s="7">
        <f t="shared" si="31"/>
        <v>1.37344044979284E-2</v>
      </c>
      <c r="W71" s="2"/>
      <c r="X71" s="6">
        <f t="shared" si="32"/>
        <v>-2864.13</v>
      </c>
      <c r="Y71" s="2"/>
      <c r="Z71" s="7">
        <f t="shared" si="33"/>
        <v>-1</v>
      </c>
    </row>
    <row r="72" spans="1:26" s="24" customFormat="1" hidden="1" outlineLevel="2" x14ac:dyDescent="0.25">
      <c r="A72" s="26"/>
      <c r="B72" s="11" t="str">
        <f>CONCATENATE("          ", "6007", " - ", "STUDENT HOURLY")</f>
        <v xml:space="preserve">          6007 - STUDENT HOURLY</v>
      </c>
      <c r="C72" s="11"/>
      <c r="D72" s="6">
        <v>6945.2</v>
      </c>
      <c r="E72" s="2"/>
      <c r="F72" s="7">
        <f t="shared" si="26"/>
        <v>0.18354607679906979</v>
      </c>
      <c r="G72" s="2"/>
      <c r="H72" s="6">
        <v>5762.52</v>
      </c>
      <c r="I72" s="2"/>
      <c r="J72" s="7">
        <f t="shared" si="27"/>
        <v>0.13979427690887969</v>
      </c>
      <c r="K72" s="2"/>
      <c r="L72" s="6">
        <f t="shared" si="28"/>
        <v>1182.6799999999994</v>
      </c>
      <c r="M72" s="2"/>
      <c r="N72" s="7">
        <f t="shared" si="29"/>
        <v>0.20523659787731743</v>
      </c>
      <c r="O72" s="11"/>
      <c r="P72" s="6">
        <v>43518.979999999996</v>
      </c>
      <c r="Q72" s="2"/>
      <c r="R72" s="7">
        <f t="shared" si="30"/>
        <v>0.18733356107751004</v>
      </c>
      <c r="S72" s="2"/>
      <c r="T72" s="6">
        <v>29701.47</v>
      </c>
      <c r="U72" s="2"/>
      <c r="V72" s="7">
        <f t="shared" si="31"/>
        <v>0.14242789369305353</v>
      </c>
      <c r="W72" s="2"/>
      <c r="X72" s="6">
        <f t="shared" si="32"/>
        <v>13817.509999999995</v>
      </c>
      <c r="Y72" s="2"/>
      <c r="Z72" s="7">
        <f t="shared" si="33"/>
        <v>0.46521300124202586</v>
      </c>
    </row>
    <row r="73" spans="1:26" s="25" customFormat="1" outlineLevel="1" collapsed="1" x14ac:dyDescent="0.25">
      <c r="A73" s="27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508.5</v>
      </c>
      <c r="E73" s="1"/>
      <c r="F73" s="5">
        <f t="shared" ref="F73:F97" si="34">IF(D$12=0,0,D73/D$12)</f>
        <v>1.3438515817014194E-2</v>
      </c>
      <c r="G73" s="1"/>
      <c r="H73" s="1">
        <f>SUM(OSRRefH22_2x_0)</f>
        <v>866.32</v>
      </c>
      <c r="I73" s="1"/>
      <c r="J73" s="5">
        <f t="shared" ref="J73:J97" si="35">IF(H$12=0,0,H73/H$12)</f>
        <v>2.1016252953864046E-2</v>
      </c>
      <c r="K73" s="1"/>
      <c r="L73" s="1">
        <f t="shared" ref="L73:L97" si="36">+D73-H73</f>
        <v>-357.82000000000005</v>
      </c>
      <c r="M73" s="1"/>
      <c r="N73" s="5">
        <f t="shared" ref="N73:N97" si="37">IF(H73=0,0,L73/H73)</f>
        <v>-0.41303444454704963</v>
      </c>
      <c r="O73" s="13"/>
      <c r="P73" s="1">
        <f>SUM(OSRRefP22_2x_0)</f>
        <v>1766.23</v>
      </c>
      <c r="Q73" s="1"/>
      <c r="R73" s="5">
        <f t="shared" ref="R73:R97" si="38">IF(P$12=0,0,P73/P$12)</f>
        <v>7.6029850787387616E-3</v>
      </c>
      <c r="S73" s="1"/>
      <c r="T73" s="1">
        <f>SUM(OSRRefT22_2x_0)</f>
        <v>2380.31</v>
      </c>
      <c r="U73" s="1"/>
      <c r="V73" s="5">
        <f t="shared" ref="V73:V97" si="39">IF(T$12=0,0,T73/T$12)</f>
        <v>1.141433537250891E-2</v>
      </c>
      <c r="W73" s="1"/>
      <c r="X73" s="1">
        <f t="shared" ref="X73:X97" si="40">+P73-T73</f>
        <v>-614.07999999999993</v>
      </c>
      <c r="Y73" s="1"/>
      <c r="Z73" s="5">
        <f t="shared" ref="Z73:Z97" si="41">IF(T73=0,0,X73/T73)</f>
        <v>-0.25798320386840368</v>
      </c>
    </row>
    <row r="74" spans="1:26" s="24" customFormat="1" hidden="1" outlineLevel="2" x14ac:dyDescent="0.25">
      <c r="A74" s="26"/>
      <c r="B74" s="11" t="str">
        <f>CONCATENATE("          ", "6362", " - ", "ADVERTISING EXPENSE")</f>
        <v xml:space="preserve">          6362 - ADVERTISING EXPENSE</v>
      </c>
      <c r="C74" s="11"/>
      <c r="D74" s="6">
        <v>508.5</v>
      </c>
      <c r="E74" s="2"/>
      <c r="F74" s="7">
        <f t="shared" si="34"/>
        <v>1.3438515817014194E-2</v>
      </c>
      <c r="G74" s="2"/>
      <c r="H74" s="6">
        <v>866.32</v>
      </c>
      <c r="I74" s="2"/>
      <c r="J74" s="7">
        <f t="shared" si="35"/>
        <v>2.1016252953864046E-2</v>
      </c>
      <c r="K74" s="2"/>
      <c r="L74" s="6">
        <f t="shared" si="36"/>
        <v>-357.82000000000005</v>
      </c>
      <c r="M74" s="2"/>
      <c r="N74" s="7">
        <f t="shared" si="37"/>
        <v>-0.41303444454704963</v>
      </c>
      <c r="O74" s="11"/>
      <c r="P74" s="6">
        <v>1766.23</v>
      </c>
      <c r="Q74" s="2"/>
      <c r="R74" s="7">
        <f t="shared" si="38"/>
        <v>7.6029850787387616E-3</v>
      </c>
      <c r="S74" s="2"/>
      <c r="T74" s="6">
        <v>2380.31</v>
      </c>
      <c r="U74" s="2"/>
      <c r="V74" s="7">
        <f t="shared" si="39"/>
        <v>1.141433537250891E-2</v>
      </c>
      <c r="W74" s="2"/>
      <c r="X74" s="6">
        <f t="shared" si="40"/>
        <v>-614.07999999999993</v>
      </c>
      <c r="Y74" s="2"/>
      <c r="Z74" s="7">
        <f t="shared" si="41"/>
        <v>-0.25798320386840368</v>
      </c>
    </row>
    <row r="75" spans="1:26" s="25" customFormat="1" outlineLevel="1" collapsed="1" x14ac:dyDescent="0.25">
      <c r="A75" s="27"/>
      <c r="B75" s="13" t="str">
        <f>CONCATENATE("     ","Bad Debts/Over/Short                              ")</f>
        <v xml:space="preserve">     Bad Debts/Over/Short                              </v>
      </c>
      <c r="C75" s="13"/>
      <c r="D75" s="1">
        <f>SUM(OSRRefD22_3x_0)</f>
        <v>4.0999999999999996</v>
      </c>
      <c r="E75" s="1"/>
      <c r="F75" s="5">
        <f t="shared" si="34"/>
        <v>1.0835381484711543E-4</v>
      </c>
      <c r="G75" s="1"/>
      <c r="H75" s="1">
        <f>SUM(OSRRefH22_3x_0)</f>
        <v>-0.82</v>
      </c>
      <c r="I75" s="1"/>
      <c r="J75" s="5">
        <f t="shared" si="35"/>
        <v>-1.9892565590276706E-5</v>
      </c>
      <c r="K75" s="1"/>
      <c r="L75" s="1">
        <f t="shared" si="36"/>
        <v>4.92</v>
      </c>
      <c r="M75" s="1"/>
      <c r="N75" s="5">
        <f t="shared" si="37"/>
        <v>-6</v>
      </c>
      <c r="O75" s="13"/>
      <c r="P75" s="1">
        <f>SUM(OSRRefP22_3x_0)</f>
        <v>27.13</v>
      </c>
      <c r="Q75" s="1"/>
      <c r="R75" s="5">
        <f t="shared" si="38"/>
        <v>1.167848950511443E-4</v>
      </c>
      <c r="S75" s="1"/>
      <c r="T75" s="1">
        <f>SUM(OSRRefT22_3x_0)</f>
        <v>99.04</v>
      </c>
      <c r="U75" s="1"/>
      <c r="V75" s="5">
        <f t="shared" si="39"/>
        <v>4.74927961187107E-4</v>
      </c>
      <c r="W75" s="1"/>
      <c r="X75" s="1">
        <f t="shared" si="40"/>
        <v>-71.910000000000011</v>
      </c>
      <c r="Y75" s="1"/>
      <c r="Z75" s="5">
        <f t="shared" si="41"/>
        <v>-0.72607027463651053</v>
      </c>
    </row>
    <row r="76" spans="1:26" s="24" customFormat="1" hidden="1" outlineLevel="2" x14ac:dyDescent="0.25">
      <c r="A76" s="26"/>
      <c r="B76" s="11" t="str">
        <f>CONCATENATE("          ", "6272", " - ", "CASH (OVER/SHORT)")</f>
        <v xml:space="preserve">          6272 - CASH (OVER/SHORT)</v>
      </c>
      <c r="C76" s="11"/>
      <c r="D76" s="6">
        <v>4.0999999999999996</v>
      </c>
      <c r="E76" s="2"/>
      <c r="F76" s="7">
        <f t="shared" si="34"/>
        <v>1.0835381484711543E-4</v>
      </c>
      <c r="G76" s="2"/>
      <c r="H76" s="6">
        <v>-0.82</v>
      </c>
      <c r="I76" s="2"/>
      <c r="J76" s="7">
        <f t="shared" si="35"/>
        <v>-1.9892565590276706E-5</v>
      </c>
      <c r="K76" s="2"/>
      <c r="L76" s="6">
        <f t="shared" si="36"/>
        <v>4.92</v>
      </c>
      <c r="M76" s="2"/>
      <c r="N76" s="7">
        <f t="shared" si="37"/>
        <v>-6</v>
      </c>
      <c r="O76" s="11"/>
      <c r="P76" s="6">
        <v>27.13</v>
      </c>
      <c r="Q76" s="2"/>
      <c r="R76" s="7">
        <f t="shared" si="38"/>
        <v>1.167848950511443E-4</v>
      </c>
      <c r="S76" s="2"/>
      <c r="T76" s="6">
        <v>99.04</v>
      </c>
      <c r="U76" s="2"/>
      <c r="V76" s="7">
        <f t="shared" si="39"/>
        <v>4.74927961187107E-4</v>
      </c>
      <c r="W76" s="2"/>
      <c r="X76" s="6">
        <f t="shared" si="40"/>
        <v>-71.910000000000011</v>
      </c>
      <c r="Y76" s="2"/>
      <c r="Z76" s="7">
        <f t="shared" si="41"/>
        <v>-0.72607027463651053</v>
      </c>
    </row>
    <row r="77" spans="1:26" s="25" customFormat="1" outlineLevel="1" collapsed="1" x14ac:dyDescent="0.25">
      <c r="A77" s="27"/>
      <c r="B77" s="13" t="str">
        <f>CONCATENATE("     ","Bank/card Fees                                    ")</f>
        <v xml:space="preserve">     Bank/card Fees                                    </v>
      </c>
      <c r="C77" s="13"/>
      <c r="D77" s="1">
        <f>SUM(OSRRefD22_4x_0)</f>
        <v>591.74</v>
      </c>
      <c r="E77" s="1"/>
      <c r="F77" s="5">
        <f t="shared" si="34"/>
        <v>1.5638362536007824E-2</v>
      </c>
      <c r="G77" s="1"/>
      <c r="H77" s="1">
        <f>SUM(OSRRefH22_4x_0)</f>
        <v>592.86</v>
      </c>
      <c r="I77" s="1"/>
      <c r="J77" s="5">
        <f t="shared" si="35"/>
        <v>1.438232492177006E-2</v>
      </c>
      <c r="K77" s="1"/>
      <c r="L77" s="1">
        <f t="shared" si="36"/>
        <v>-1.1200000000000045</v>
      </c>
      <c r="M77" s="1"/>
      <c r="N77" s="5">
        <f t="shared" si="37"/>
        <v>-1.8891475221806237E-3</v>
      </c>
      <c r="O77" s="13"/>
      <c r="P77" s="1">
        <f>SUM(OSRRefP22_4x_0)</f>
        <v>3180.98</v>
      </c>
      <c r="Q77" s="1"/>
      <c r="R77" s="5">
        <f t="shared" si="38"/>
        <v>1.369297513674121E-2</v>
      </c>
      <c r="S77" s="1"/>
      <c r="T77" s="1">
        <f>SUM(OSRRefT22_4x_0)</f>
        <v>2953.69</v>
      </c>
      <c r="U77" s="1"/>
      <c r="V77" s="5">
        <f t="shared" si="39"/>
        <v>1.4163872876400908E-2</v>
      </c>
      <c r="W77" s="1"/>
      <c r="X77" s="1">
        <f t="shared" si="40"/>
        <v>227.28999999999996</v>
      </c>
      <c r="Y77" s="1"/>
      <c r="Z77" s="5">
        <f t="shared" si="41"/>
        <v>7.6951203409971913E-2</v>
      </c>
    </row>
    <row r="78" spans="1:26" s="24" customFormat="1" hidden="1" outlineLevel="2" x14ac:dyDescent="0.25">
      <c r="A78" s="26"/>
      <c r="B78" s="11" t="str">
        <f>CONCATENATE("          ", "6381", " - ", "BANK/CREDIT CARD FEES")</f>
        <v xml:space="preserve">          6381 - BANK/CREDIT CARD FEES</v>
      </c>
      <c r="C78" s="11"/>
      <c r="D78" s="6">
        <v>591.74</v>
      </c>
      <c r="E78" s="2"/>
      <c r="F78" s="7">
        <f t="shared" si="34"/>
        <v>1.5638362536007824E-2</v>
      </c>
      <c r="G78" s="2"/>
      <c r="H78" s="6">
        <v>592.86</v>
      </c>
      <c r="I78" s="2"/>
      <c r="J78" s="7">
        <f t="shared" si="35"/>
        <v>1.438232492177006E-2</v>
      </c>
      <c r="K78" s="2"/>
      <c r="L78" s="6">
        <f t="shared" si="36"/>
        <v>-1.1200000000000045</v>
      </c>
      <c r="M78" s="2"/>
      <c r="N78" s="7">
        <f t="shared" si="37"/>
        <v>-1.8891475221806237E-3</v>
      </c>
      <c r="O78" s="11"/>
      <c r="P78" s="6">
        <v>3180.98</v>
      </c>
      <c r="Q78" s="2"/>
      <c r="R78" s="7">
        <f t="shared" si="38"/>
        <v>1.369297513674121E-2</v>
      </c>
      <c r="S78" s="2"/>
      <c r="T78" s="6">
        <v>2953.69</v>
      </c>
      <c r="U78" s="2"/>
      <c r="V78" s="7">
        <f t="shared" si="39"/>
        <v>1.4163872876400908E-2</v>
      </c>
      <c r="W78" s="2"/>
      <c r="X78" s="6">
        <f t="shared" si="40"/>
        <v>227.28999999999996</v>
      </c>
      <c r="Y78" s="2"/>
      <c r="Z78" s="7">
        <f t="shared" si="41"/>
        <v>7.6951203409971913E-2</v>
      </c>
    </row>
    <row r="79" spans="1:26" s="25" customFormat="1" outlineLevel="1" collapsed="1" x14ac:dyDescent="0.25">
      <c r="A79" s="27"/>
      <c r="B79" s="13" t="str">
        <f>CONCATENATE("     ","Discounts and Markdowns                           ")</f>
        <v xml:space="preserve">     Discounts and Markdowns                           </v>
      </c>
      <c r="C79" s="13"/>
      <c r="D79" s="1">
        <f>SUM(OSRRefD22_5x_0)</f>
        <v>8973.75</v>
      </c>
      <c r="E79" s="1"/>
      <c r="F79" s="5">
        <f t="shared" si="34"/>
        <v>0.23715610877665905</v>
      </c>
      <c r="G79" s="1"/>
      <c r="H79" s="1">
        <f>SUM(OSRRefH22_5x_0)</f>
        <v>5487.25</v>
      </c>
      <c r="I79" s="1"/>
      <c r="J79" s="5">
        <f t="shared" si="35"/>
        <v>0.13311643967712911</v>
      </c>
      <c r="K79" s="1"/>
      <c r="L79" s="1">
        <f t="shared" si="36"/>
        <v>3486.5</v>
      </c>
      <c r="M79" s="1"/>
      <c r="N79" s="5">
        <f t="shared" si="37"/>
        <v>0.63538202195999816</v>
      </c>
      <c r="O79" s="13"/>
      <c r="P79" s="1">
        <f>SUM(OSRRefP22_5x_0)</f>
        <v>37198.579999999994</v>
      </c>
      <c r="Q79" s="1"/>
      <c r="R79" s="5">
        <f t="shared" si="38"/>
        <v>0.1601265116605822</v>
      </c>
      <c r="S79" s="1"/>
      <c r="T79" s="1">
        <f>SUM(OSRRefT22_5x_0)</f>
        <v>19690.62</v>
      </c>
      <c r="U79" s="1"/>
      <c r="V79" s="5">
        <f t="shared" si="39"/>
        <v>9.4422718205877137E-2</v>
      </c>
      <c r="W79" s="1"/>
      <c r="X79" s="1">
        <f t="shared" si="40"/>
        <v>17507.959999999995</v>
      </c>
      <c r="Y79" s="1"/>
      <c r="Z79" s="5">
        <f t="shared" si="41"/>
        <v>0.88915229688044339</v>
      </c>
    </row>
    <row r="80" spans="1:26" s="24" customFormat="1" hidden="1" outlineLevel="2" x14ac:dyDescent="0.25">
      <c r="A80" s="26"/>
      <c r="B80" s="11" t="str">
        <f>CONCATENATE("          ", "6382", " - ", "DISCOUNTS/MARK DOWNS")</f>
        <v xml:space="preserve">          6382 - DISCOUNTS/MARK DOWNS</v>
      </c>
      <c r="C80" s="11"/>
      <c r="D80" s="6">
        <v>8973.75</v>
      </c>
      <c r="E80" s="2"/>
      <c r="F80" s="7">
        <f t="shared" si="34"/>
        <v>0.23715610877665905</v>
      </c>
      <c r="G80" s="2"/>
      <c r="H80" s="6">
        <v>5487.25</v>
      </c>
      <c r="I80" s="2"/>
      <c r="J80" s="7">
        <f t="shared" si="35"/>
        <v>0.13311643967712911</v>
      </c>
      <c r="K80" s="2"/>
      <c r="L80" s="6">
        <f t="shared" si="36"/>
        <v>3486.5</v>
      </c>
      <c r="M80" s="2"/>
      <c r="N80" s="7">
        <f t="shared" si="37"/>
        <v>0.63538202195999816</v>
      </c>
      <c r="O80" s="11"/>
      <c r="P80" s="6">
        <v>37198.579999999994</v>
      </c>
      <c r="Q80" s="2"/>
      <c r="R80" s="7">
        <f t="shared" si="38"/>
        <v>0.1601265116605822</v>
      </c>
      <c r="S80" s="2"/>
      <c r="T80" s="6">
        <v>19690.62</v>
      </c>
      <c r="U80" s="2"/>
      <c r="V80" s="7">
        <f t="shared" si="39"/>
        <v>9.4422718205877137E-2</v>
      </c>
      <c r="W80" s="2"/>
      <c r="X80" s="6">
        <f t="shared" si="40"/>
        <v>17507.959999999995</v>
      </c>
      <c r="Y80" s="2"/>
      <c r="Z80" s="7">
        <f t="shared" si="41"/>
        <v>0.88915229688044339</v>
      </c>
    </row>
    <row r="81" spans="1:26" s="25" customFormat="1" outlineLevel="1" collapsed="1" x14ac:dyDescent="0.25">
      <c r="A81" s="27"/>
      <c r="B81" s="13" t="str">
        <f>CONCATENATE("     ","Donations                                         ")</f>
        <v xml:space="preserve">     Donations                                         </v>
      </c>
      <c r="C81" s="13"/>
      <c r="D81" s="1">
        <f>SUM(OSRRefD22_6x_0)</f>
        <v>0</v>
      </c>
      <c r="E81" s="1"/>
      <c r="F81" s="5">
        <f t="shared" si="34"/>
        <v>0</v>
      </c>
      <c r="G81" s="1"/>
      <c r="H81" s="1">
        <f>SUM(OSRRefH22_6x_0)</f>
        <v>0</v>
      </c>
      <c r="I81" s="1"/>
      <c r="J81" s="5">
        <f t="shared" si="35"/>
        <v>0</v>
      </c>
      <c r="K81" s="1"/>
      <c r="L81" s="1">
        <f t="shared" si="36"/>
        <v>0</v>
      </c>
      <c r="M81" s="1"/>
      <c r="N81" s="5">
        <f t="shared" si="37"/>
        <v>0</v>
      </c>
      <c r="O81" s="13"/>
      <c r="P81" s="1">
        <f>SUM(OSRRefP22_6x_0)</f>
        <v>0</v>
      </c>
      <c r="Q81" s="1"/>
      <c r="R81" s="5">
        <f t="shared" si="38"/>
        <v>0</v>
      </c>
      <c r="S81" s="1"/>
      <c r="T81" s="1">
        <f>SUM(OSRRefT22_6x_0)</f>
        <v>124.88</v>
      </c>
      <c r="U81" s="1"/>
      <c r="V81" s="5">
        <f t="shared" si="39"/>
        <v>5.9883889128681256E-4</v>
      </c>
      <c r="W81" s="1"/>
      <c r="X81" s="1">
        <f t="shared" si="40"/>
        <v>-124.88</v>
      </c>
      <c r="Y81" s="1"/>
      <c r="Z81" s="5">
        <f t="shared" si="41"/>
        <v>-1</v>
      </c>
    </row>
    <row r="82" spans="1:26" s="24" customFormat="1" hidden="1" outlineLevel="2" x14ac:dyDescent="0.25">
      <c r="A82" s="26"/>
      <c r="B82" s="11" t="str">
        <f>CONCATENATE("          ", "6399", " - ", "DONATION-ON CAMPUS")</f>
        <v xml:space="preserve">          6399 - DONATION-ON CAMPUS</v>
      </c>
      <c r="C82" s="11"/>
      <c r="D82" s="6"/>
      <c r="E82" s="2"/>
      <c r="F82" s="7">
        <f t="shared" si="34"/>
        <v>0</v>
      </c>
      <c r="G82" s="2"/>
      <c r="H82" s="6"/>
      <c r="I82" s="2"/>
      <c r="J82" s="7">
        <f t="shared" si="35"/>
        <v>0</v>
      </c>
      <c r="K82" s="2"/>
      <c r="L82" s="6">
        <f t="shared" si="36"/>
        <v>0</v>
      </c>
      <c r="M82" s="2"/>
      <c r="N82" s="7">
        <f t="shared" si="37"/>
        <v>0</v>
      </c>
      <c r="O82" s="11"/>
      <c r="P82" s="6"/>
      <c r="Q82" s="2"/>
      <c r="R82" s="7">
        <f t="shared" si="38"/>
        <v>0</v>
      </c>
      <c r="S82" s="2"/>
      <c r="T82" s="6">
        <v>124.88</v>
      </c>
      <c r="U82" s="2"/>
      <c r="V82" s="7">
        <f t="shared" si="39"/>
        <v>5.9883889128681256E-4</v>
      </c>
      <c r="W82" s="2"/>
      <c r="X82" s="6">
        <f t="shared" si="40"/>
        <v>-124.88</v>
      </c>
      <c r="Y82" s="2"/>
      <c r="Z82" s="7">
        <f t="shared" si="41"/>
        <v>-1</v>
      </c>
    </row>
    <row r="83" spans="1:26" s="25" customFormat="1" outlineLevel="1" collapsed="1" x14ac:dyDescent="0.25">
      <c r="A83" s="27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SUM(OSRRefD22_7x_0)</f>
        <v>0</v>
      </c>
      <c r="E83" s="1"/>
      <c r="F83" s="5">
        <f t="shared" si="34"/>
        <v>0</v>
      </c>
      <c r="G83" s="1"/>
      <c r="H83" s="1">
        <f>SUM(OSRRefH22_7x_0)</f>
        <v>0</v>
      </c>
      <c r="I83" s="1"/>
      <c r="J83" s="5">
        <f t="shared" si="35"/>
        <v>0</v>
      </c>
      <c r="K83" s="1"/>
      <c r="L83" s="1">
        <f t="shared" si="36"/>
        <v>0</v>
      </c>
      <c r="M83" s="1"/>
      <c r="N83" s="5">
        <f t="shared" si="37"/>
        <v>0</v>
      </c>
      <c r="O83" s="13"/>
      <c r="P83" s="1">
        <f>SUM(OSRRefP22_7x_0)</f>
        <v>120.93</v>
      </c>
      <c r="Q83" s="1"/>
      <c r="R83" s="5">
        <f t="shared" si="38"/>
        <v>5.2056016802561305E-4</v>
      </c>
      <c r="S83" s="1"/>
      <c r="T83" s="1">
        <f>SUM(OSRRefT22_7x_0)</f>
        <v>75.53</v>
      </c>
      <c r="U83" s="1"/>
      <c r="V83" s="5">
        <f t="shared" si="39"/>
        <v>3.6219011418075716E-4</v>
      </c>
      <c r="W83" s="1"/>
      <c r="X83" s="1">
        <f t="shared" si="40"/>
        <v>45.400000000000006</v>
      </c>
      <c r="Y83" s="1"/>
      <c r="Z83" s="5">
        <f t="shared" si="41"/>
        <v>0.60108566132662522</v>
      </c>
    </row>
    <row r="84" spans="1:26" s="24" customFormat="1" hidden="1" outlineLevel="2" x14ac:dyDescent="0.25">
      <c r="A84" s="26"/>
      <c r="B84" s="11" t="str">
        <f>CONCATENATE("          ", "6277", " - ", "EMPLOYEE APPRECIATION")</f>
        <v xml:space="preserve">          6277 - EMPLOYEE APPRECIATION</v>
      </c>
      <c r="C84" s="11"/>
      <c r="D84" s="6"/>
      <c r="E84" s="2"/>
      <c r="F84" s="7">
        <f t="shared" si="34"/>
        <v>0</v>
      </c>
      <c r="G84" s="2"/>
      <c r="H84" s="6"/>
      <c r="I84" s="2"/>
      <c r="J84" s="7">
        <f t="shared" si="35"/>
        <v>0</v>
      </c>
      <c r="K84" s="2"/>
      <c r="L84" s="6">
        <f t="shared" si="36"/>
        <v>0</v>
      </c>
      <c r="M84" s="2"/>
      <c r="N84" s="7">
        <f t="shared" si="37"/>
        <v>0</v>
      </c>
      <c r="O84" s="11"/>
      <c r="P84" s="6">
        <v>120.93</v>
      </c>
      <c r="Q84" s="2"/>
      <c r="R84" s="7">
        <f t="shared" si="38"/>
        <v>5.2056016802561305E-4</v>
      </c>
      <c r="S84" s="2"/>
      <c r="T84" s="6">
        <v>75.53</v>
      </c>
      <c r="U84" s="2"/>
      <c r="V84" s="7">
        <f t="shared" si="39"/>
        <v>3.6219011418075716E-4</v>
      </c>
      <c r="W84" s="2"/>
      <c r="X84" s="6">
        <f t="shared" si="40"/>
        <v>45.400000000000006</v>
      </c>
      <c r="Y84" s="2"/>
      <c r="Z84" s="7">
        <f t="shared" si="41"/>
        <v>0.60108566132662522</v>
      </c>
    </row>
    <row r="85" spans="1:26" s="25" customFormat="1" outlineLevel="1" collapsed="1" x14ac:dyDescent="0.25">
      <c r="A85" s="27"/>
      <c r="B85" s="13" t="str">
        <f>CONCATENATE("     ","General                                           ")</f>
        <v xml:space="preserve">     General                                           </v>
      </c>
      <c r="C85" s="13"/>
      <c r="D85" s="1">
        <f>SUM(OSRRefD22_8x_0)</f>
        <v>1111.44</v>
      </c>
      <c r="E85" s="1"/>
      <c r="F85" s="5">
        <f t="shared" si="34"/>
        <v>2.9372869261872679E-2</v>
      </c>
      <c r="G85" s="1"/>
      <c r="H85" s="1">
        <f>SUM(OSRRefH22_8x_0)</f>
        <v>1093.6600000000001</v>
      </c>
      <c r="I85" s="1"/>
      <c r="J85" s="5">
        <f t="shared" si="35"/>
        <v>2.6531345467636618E-2</v>
      </c>
      <c r="K85" s="1"/>
      <c r="L85" s="1">
        <f t="shared" si="36"/>
        <v>17.779999999999973</v>
      </c>
      <c r="M85" s="1"/>
      <c r="N85" s="5">
        <f t="shared" si="37"/>
        <v>1.625733774664884E-2</v>
      </c>
      <c r="O85" s="13"/>
      <c r="P85" s="1">
        <f>SUM(OSRRefP22_8x_0)</f>
        <v>1111.44</v>
      </c>
      <c r="Q85" s="1"/>
      <c r="R85" s="5">
        <f t="shared" si="38"/>
        <v>4.7843495671081402E-3</v>
      </c>
      <c r="S85" s="1"/>
      <c r="T85" s="1">
        <f>SUM(OSRRefT22_8x_0)</f>
        <v>1213.6600000000001</v>
      </c>
      <c r="U85" s="1"/>
      <c r="V85" s="5">
        <f t="shared" si="39"/>
        <v>5.8198815566876437E-3</v>
      </c>
      <c r="W85" s="1"/>
      <c r="X85" s="1">
        <f t="shared" si="40"/>
        <v>-102.22000000000003</v>
      </c>
      <c r="Y85" s="1"/>
      <c r="Z85" s="5">
        <f t="shared" si="41"/>
        <v>-8.4224576899625939E-2</v>
      </c>
    </row>
    <row r="86" spans="1:26" s="24" customFormat="1" hidden="1" outlineLevel="2" x14ac:dyDescent="0.25">
      <c r="A86" s="26"/>
      <c r="B86" s="11" t="str">
        <f>CONCATENATE("          ", "6279", " - ", "GENERAL EXPENSE")</f>
        <v xml:space="preserve">          6279 - GENERAL EXPENSE</v>
      </c>
      <c r="C86" s="11"/>
      <c r="D86" s="6">
        <v>1111.44</v>
      </c>
      <c r="E86" s="2"/>
      <c r="F86" s="7">
        <f t="shared" si="34"/>
        <v>2.9372869261872679E-2</v>
      </c>
      <c r="G86" s="2"/>
      <c r="H86" s="6">
        <v>1093.6600000000001</v>
      </c>
      <c r="I86" s="2"/>
      <c r="J86" s="7">
        <f t="shared" si="35"/>
        <v>2.6531345467636618E-2</v>
      </c>
      <c r="K86" s="2"/>
      <c r="L86" s="6">
        <f t="shared" si="36"/>
        <v>17.779999999999973</v>
      </c>
      <c r="M86" s="2"/>
      <c r="N86" s="7">
        <f t="shared" si="37"/>
        <v>1.625733774664884E-2</v>
      </c>
      <c r="O86" s="11"/>
      <c r="P86" s="6">
        <v>1111.44</v>
      </c>
      <c r="Q86" s="2"/>
      <c r="R86" s="7">
        <f t="shared" si="38"/>
        <v>4.7843495671081402E-3</v>
      </c>
      <c r="S86" s="2"/>
      <c r="T86" s="6">
        <v>1213.6600000000001</v>
      </c>
      <c r="U86" s="2"/>
      <c r="V86" s="7">
        <f t="shared" si="39"/>
        <v>5.8198815566876437E-3</v>
      </c>
      <c r="W86" s="2"/>
      <c r="X86" s="6">
        <f t="shared" si="40"/>
        <v>-102.22000000000003</v>
      </c>
      <c r="Y86" s="2"/>
      <c r="Z86" s="7">
        <f t="shared" si="41"/>
        <v>-8.4224576899625939E-2</v>
      </c>
    </row>
    <row r="87" spans="1:26" s="25" customFormat="1" outlineLevel="1" collapsed="1" x14ac:dyDescent="0.25">
      <c r="A87" s="27"/>
      <c r="B87" s="13" t="str">
        <f>CONCATENATE("     ","Insurance                                         ")</f>
        <v xml:space="preserve">     Insurance                                         </v>
      </c>
      <c r="C87" s="13"/>
      <c r="D87" s="1">
        <f>SUM(OSRRefD22_9x_0)</f>
        <v>161.18</v>
      </c>
      <c r="E87" s="1"/>
      <c r="F87" s="5">
        <f t="shared" si="34"/>
        <v>4.2596263114775771E-3</v>
      </c>
      <c r="G87" s="1"/>
      <c r="H87" s="1">
        <f>SUM(OSRRefH22_9x_0)</f>
        <v>151.85</v>
      </c>
      <c r="I87" s="1"/>
      <c r="J87" s="5">
        <f t="shared" si="35"/>
        <v>3.6837635181506318E-3</v>
      </c>
      <c r="K87" s="1"/>
      <c r="L87" s="1">
        <f t="shared" si="36"/>
        <v>9.3300000000000125</v>
      </c>
      <c r="M87" s="1"/>
      <c r="N87" s="5">
        <f t="shared" si="37"/>
        <v>6.1442212709911181E-2</v>
      </c>
      <c r="O87" s="13"/>
      <c r="P87" s="1">
        <f>SUM(OSRRefP22_9x_0)</f>
        <v>805.9</v>
      </c>
      <c r="Q87" s="1"/>
      <c r="R87" s="5">
        <f t="shared" si="38"/>
        <v>3.4691097280397051E-3</v>
      </c>
      <c r="S87" s="1"/>
      <c r="T87" s="1">
        <f>SUM(OSRRefT22_9x_0)</f>
        <v>759.25</v>
      </c>
      <c r="U87" s="1"/>
      <c r="V87" s="5">
        <f t="shared" si="39"/>
        <v>3.6408426346053206E-3</v>
      </c>
      <c r="W87" s="1"/>
      <c r="X87" s="1">
        <f t="shared" si="40"/>
        <v>46.649999999999977</v>
      </c>
      <c r="Y87" s="1"/>
      <c r="Z87" s="5">
        <f t="shared" si="41"/>
        <v>6.1442212709911063E-2</v>
      </c>
    </row>
    <row r="88" spans="1:26" s="24" customFormat="1" hidden="1" outlineLevel="2" x14ac:dyDescent="0.25">
      <c r="A88" s="26"/>
      <c r="B88" s="11" t="str">
        <f>CONCATENATE("          ", "6314", " - ", "LIABILITY INSURANCE")</f>
        <v xml:space="preserve">          6314 - LIABILITY INSURANCE</v>
      </c>
      <c r="C88" s="11"/>
      <c r="D88" s="6">
        <v>161.18</v>
      </c>
      <c r="E88" s="2"/>
      <c r="F88" s="7">
        <f t="shared" si="34"/>
        <v>4.2596263114775771E-3</v>
      </c>
      <c r="G88" s="2"/>
      <c r="H88" s="6">
        <v>151.85</v>
      </c>
      <c r="I88" s="2"/>
      <c r="J88" s="7">
        <f t="shared" si="35"/>
        <v>3.6837635181506318E-3</v>
      </c>
      <c r="K88" s="2"/>
      <c r="L88" s="6">
        <f t="shared" si="36"/>
        <v>9.3300000000000125</v>
      </c>
      <c r="M88" s="2"/>
      <c r="N88" s="7">
        <f t="shared" si="37"/>
        <v>6.1442212709911181E-2</v>
      </c>
      <c r="O88" s="11"/>
      <c r="P88" s="6">
        <v>805.9</v>
      </c>
      <c r="Q88" s="2"/>
      <c r="R88" s="7">
        <f t="shared" si="38"/>
        <v>3.4691097280397051E-3</v>
      </c>
      <c r="S88" s="2"/>
      <c r="T88" s="6">
        <v>759.25</v>
      </c>
      <c r="U88" s="2"/>
      <c r="V88" s="7">
        <f t="shared" si="39"/>
        <v>3.6408426346053206E-3</v>
      </c>
      <c r="W88" s="2"/>
      <c r="X88" s="6">
        <f t="shared" si="40"/>
        <v>46.649999999999977</v>
      </c>
      <c r="Y88" s="2"/>
      <c r="Z88" s="7">
        <f t="shared" si="41"/>
        <v>6.1442212709911063E-2</v>
      </c>
    </row>
    <row r="89" spans="1:26" s="25" customFormat="1" outlineLevel="1" collapsed="1" x14ac:dyDescent="0.25">
      <c r="A89" s="27"/>
      <c r="B89" s="13" t="str">
        <f>CONCATENATE("     ","Inventory Adjustment                              ")</f>
        <v xml:space="preserve">     Inventory Adjustment                              </v>
      </c>
      <c r="C89" s="13"/>
      <c r="D89" s="1">
        <f>SUM(OSRRefD22_10x_0)</f>
        <v>300</v>
      </c>
      <c r="E89" s="1"/>
      <c r="F89" s="5">
        <f t="shared" si="34"/>
        <v>7.9283279156425919E-3</v>
      </c>
      <c r="G89" s="1"/>
      <c r="H89" s="1">
        <f>SUM(OSRRefH22_10x_0)</f>
        <v>300</v>
      </c>
      <c r="I89" s="1"/>
      <c r="J89" s="5">
        <f t="shared" si="35"/>
        <v>7.2777678988817226E-3</v>
      </c>
      <c r="K89" s="1"/>
      <c r="L89" s="1">
        <f t="shared" si="36"/>
        <v>0</v>
      </c>
      <c r="M89" s="1"/>
      <c r="N89" s="5">
        <f t="shared" si="37"/>
        <v>0</v>
      </c>
      <c r="O89" s="13"/>
      <c r="P89" s="1">
        <f>SUM(OSRRefP22_10x_0)</f>
        <v>1500</v>
      </c>
      <c r="Q89" s="1"/>
      <c r="R89" s="5">
        <f t="shared" si="38"/>
        <v>6.4569606552420371E-3</v>
      </c>
      <c r="S89" s="1"/>
      <c r="T89" s="1">
        <f>SUM(OSRRefT22_10x_0)</f>
        <v>1500</v>
      </c>
      <c r="U89" s="1"/>
      <c r="V89" s="5">
        <f t="shared" si="39"/>
        <v>7.1929719485123228E-3</v>
      </c>
      <c r="W89" s="1"/>
      <c r="X89" s="1">
        <f t="shared" si="40"/>
        <v>0</v>
      </c>
      <c r="Y89" s="1"/>
      <c r="Z89" s="5">
        <f t="shared" si="41"/>
        <v>0</v>
      </c>
    </row>
    <row r="90" spans="1:26" s="24" customFormat="1" hidden="1" outlineLevel="2" x14ac:dyDescent="0.25">
      <c r="A90" s="26"/>
      <c r="B90" s="11" t="str">
        <f>CONCATENATE("          ", "6408", " - ", "INVENTORY ADJUSTMENT")</f>
        <v xml:space="preserve">          6408 - INVENTORY ADJUSTMENT</v>
      </c>
      <c r="C90" s="11"/>
      <c r="D90" s="6">
        <v>300</v>
      </c>
      <c r="E90" s="2"/>
      <c r="F90" s="7">
        <f t="shared" si="34"/>
        <v>7.9283279156425919E-3</v>
      </c>
      <c r="G90" s="2"/>
      <c r="H90" s="6">
        <v>300</v>
      </c>
      <c r="I90" s="2"/>
      <c r="J90" s="7">
        <f t="shared" si="35"/>
        <v>7.2777678988817226E-3</v>
      </c>
      <c r="K90" s="2"/>
      <c r="L90" s="6">
        <f t="shared" si="36"/>
        <v>0</v>
      </c>
      <c r="M90" s="2"/>
      <c r="N90" s="7">
        <f t="shared" si="37"/>
        <v>0</v>
      </c>
      <c r="O90" s="11"/>
      <c r="P90" s="6">
        <v>1500</v>
      </c>
      <c r="Q90" s="2"/>
      <c r="R90" s="7">
        <f t="shared" si="38"/>
        <v>6.4569606552420371E-3</v>
      </c>
      <c r="S90" s="2"/>
      <c r="T90" s="6">
        <v>1500</v>
      </c>
      <c r="U90" s="2"/>
      <c r="V90" s="7">
        <f t="shared" si="39"/>
        <v>7.1929719485123228E-3</v>
      </c>
      <c r="W90" s="2"/>
      <c r="X90" s="6">
        <f t="shared" si="40"/>
        <v>0</v>
      </c>
      <c r="Y90" s="2"/>
      <c r="Z90" s="7">
        <f t="shared" si="41"/>
        <v>0</v>
      </c>
    </row>
    <row r="91" spans="1:26" s="25" customFormat="1" outlineLevel="1" collapsed="1" x14ac:dyDescent="0.25">
      <c r="A91" s="27"/>
      <c r="B91" s="13" t="str">
        <f>CONCATENATE("     ","Professional Services                             ")</f>
        <v xml:space="preserve">     Professional Services                             </v>
      </c>
      <c r="C91" s="13"/>
      <c r="D91" s="1">
        <f>SUM(OSRRefD22_11x_0)</f>
        <v>0</v>
      </c>
      <c r="E91" s="1"/>
      <c r="F91" s="5">
        <f t="shared" si="34"/>
        <v>0</v>
      </c>
      <c r="G91" s="1"/>
      <c r="H91" s="1">
        <f>SUM(OSRRefH22_11x_0)</f>
        <v>0</v>
      </c>
      <c r="I91" s="1"/>
      <c r="J91" s="5">
        <f t="shared" si="35"/>
        <v>0</v>
      </c>
      <c r="K91" s="1"/>
      <c r="L91" s="1">
        <f t="shared" si="36"/>
        <v>0</v>
      </c>
      <c r="M91" s="1"/>
      <c r="N91" s="5">
        <f t="shared" si="37"/>
        <v>0</v>
      </c>
      <c r="O91" s="13"/>
      <c r="P91" s="1">
        <f>SUM(OSRRefP22_11x_0)</f>
        <v>750</v>
      </c>
      <c r="Q91" s="1"/>
      <c r="R91" s="5">
        <f t="shared" si="38"/>
        <v>3.2284803276210186E-3</v>
      </c>
      <c r="S91" s="1"/>
      <c r="T91" s="1">
        <f>SUM(OSRRefT22_11x_0)</f>
        <v>750</v>
      </c>
      <c r="U91" s="1"/>
      <c r="V91" s="5">
        <f t="shared" si="39"/>
        <v>3.5964859742561614E-3</v>
      </c>
      <c r="W91" s="1"/>
      <c r="X91" s="1">
        <f t="shared" si="40"/>
        <v>0</v>
      </c>
      <c r="Y91" s="1"/>
      <c r="Z91" s="5">
        <f t="shared" si="41"/>
        <v>0</v>
      </c>
    </row>
    <row r="92" spans="1:26" s="24" customFormat="1" hidden="1" outlineLevel="2" x14ac:dyDescent="0.25">
      <c r="A92" s="26"/>
      <c r="B92" s="11" t="str">
        <f>CONCATENATE("          ", "6336", " - ", "PROFESSIONAL SERVICES")</f>
        <v xml:space="preserve">          6336 - PROFESSIONAL SERVICES</v>
      </c>
      <c r="C92" s="11"/>
      <c r="D92" s="6"/>
      <c r="E92" s="2"/>
      <c r="F92" s="7">
        <f t="shared" si="34"/>
        <v>0</v>
      </c>
      <c r="G92" s="2"/>
      <c r="H92" s="6"/>
      <c r="I92" s="2"/>
      <c r="J92" s="7">
        <f t="shared" si="35"/>
        <v>0</v>
      </c>
      <c r="K92" s="2"/>
      <c r="L92" s="6">
        <f t="shared" si="36"/>
        <v>0</v>
      </c>
      <c r="M92" s="2"/>
      <c r="N92" s="7">
        <f t="shared" si="37"/>
        <v>0</v>
      </c>
      <c r="O92" s="11"/>
      <c r="P92" s="6">
        <v>750</v>
      </c>
      <c r="Q92" s="2"/>
      <c r="R92" s="7">
        <f t="shared" si="38"/>
        <v>3.2284803276210186E-3</v>
      </c>
      <c r="S92" s="2"/>
      <c r="T92" s="6">
        <v>750</v>
      </c>
      <c r="U92" s="2"/>
      <c r="V92" s="7">
        <f t="shared" si="39"/>
        <v>3.5964859742561614E-3</v>
      </c>
      <c r="W92" s="2"/>
      <c r="X92" s="6">
        <f t="shared" si="40"/>
        <v>0</v>
      </c>
      <c r="Y92" s="2"/>
      <c r="Z92" s="7">
        <f t="shared" si="41"/>
        <v>0</v>
      </c>
    </row>
    <row r="93" spans="1:26" s="25" customFormat="1" outlineLevel="1" collapsed="1" x14ac:dyDescent="0.25">
      <c r="A93" s="27"/>
      <c r="B93" s="13" t="str">
        <f>CONCATENATE("     ","Rent                                              ")</f>
        <v xml:space="preserve">     Rent                                              </v>
      </c>
      <c r="C93" s="13"/>
      <c r="D93" s="1">
        <f>SUM(OSRRefD22_12x_0)</f>
        <v>6900</v>
      </c>
      <c r="E93" s="1"/>
      <c r="F93" s="5">
        <f t="shared" si="34"/>
        <v>0.18235154205977963</v>
      </c>
      <c r="G93" s="1"/>
      <c r="H93" s="1">
        <f>SUM(OSRRefH22_12x_0)</f>
        <v>6900</v>
      </c>
      <c r="I93" s="1"/>
      <c r="J93" s="5">
        <f t="shared" si="35"/>
        <v>0.16738866167427963</v>
      </c>
      <c r="K93" s="1"/>
      <c r="L93" s="1">
        <f t="shared" si="36"/>
        <v>0</v>
      </c>
      <c r="M93" s="1"/>
      <c r="N93" s="5">
        <f t="shared" si="37"/>
        <v>0</v>
      </c>
      <c r="O93" s="13"/>
      <c r="P93" s="1">
        <f>SUM(OSRRefP22_12x_0)</f>
        <v>34500</v>
      </c>
      <c r="Q93" s="1"/>
      <c r="R93" s="5">
        <f t="shared" si="38"/>
        <v>0.14851009507056684</v>
      </c>
      <c r="S93" s="1"/>
      <c r="T93" s="1">
        <f>SUM(OSRRefT22_12x_0)</f>
        <v>34500</v>
      </c>
      <c r="U93" s="1"/>
      <c r="V93" s="5">
        <f t="shared" si="39"/>
        <v>0.16543835481578342</v>
      </c>
      <c r="W93" s="1"/>
      <c r="X93" s="1">
        <f t="shared" si="40"/>
        <v>0</v>
      </c>
      <c r="Y93" s="1"/>
      <c r="Z93" s="5">
        <f t="shared" si="41"/>
        <v>0</v>
      </c>
    </row>
    <row r="94" spans="1:26" s="24" customFormat="1" hidden="1" outlineLevel="2" x14ac:dyDescent="0.25">
      <c r="A94" s="26"/>
      <c r="B94" s="11" t="str">
        <f>CONCATENATE("          ", "6273", " - ", "RENT")</f>
        <v xml:space="preserve">          6273 - RENT</v>
      </c>
      <c r="C94" s="11"/>
      <c r="D94" s="6">
        <v>6900</v>
      </c>
      <c r="E94" s="2"/>
      <c r="F94" s="7">
        <f t="shared" si="34"/>
        <v>0.18235154205977963</v>
      </c>
      <c r="G94" s="2"/>
      <c r="H94" s="6">
        <v>6900</v>
      </c>
      <c r="I94" s="2"/>
      <c r="J94" s="7">
        <f t="shared" si="35"/>
        <v>0.16738866167427963</v>
      </c>
      <c r="K94" s="2"/>
      <c r="L94" s="6">
        <f t="shared" si="36"/>
        <v>0</v>
      </c>
      <c r="M94" s="2"/>
      <c r="N94" s="7">
        <f t="shared" si="37"/>
        <v>0</v>
      </c>
      <c r="O94" s="11"/>
      <c r="P94" s="6">
        <v>34500</v>
      </c>
      <c r="Q94" s="2"/>
      <c r="R94" s="7">
        <f t="shared" si="38"/>
        <v>0.14851009507056684</v>
      </c>
      <c r="S94" s="2"/>
      <c r="T94" s="6">
        <v>34500</v>
      </c>
      <c r="U94" s="2"/>
      <c r="V94" s="7">
        <f t="shared" si="39"/>
        <v>0.16543835481578342</v>
      </c>
      <c r="W94" s="2"/>
      <c r="X94" s="6">
        <f t="shared" si="40"/>
        <v>0</v>
      </c>
      <c r="Y94" s="2"/>
      <c r="Z94" s="7">
        <f t="shared" si="41"/>
        <v>0</v>
      </c>
    </row>
    <row r="95" spans="1:26" s="25" customFormat="1" outlineLevel="1" collapsed="1" x14ac:dyDescent="0.25">
      <c r="A95" s="27"/>
      <c r="B95" s="13" t="str">
        <f>CONCATENATE("     ","Repair and Maintenance                            ")</f>
        <v xml:space="preserve">     Repair and Maintenance                            </v>
      </c>
      <c r="C95" s="13"/>
      <c r="D95" s="1">
        <f>SUM(OSRRefD22_13x_0)</f>
        <v>0</v>
      </c>
      <c r="E95" s="1"/>
      <c r="F95" s="5">
        <f t="shared" si="34"/>
        <v>0</v>
      </c>
      <c r="G95" s="1"/>
      <c r="H95" s="1">
        <f>SUM(OSRRefH22_13x_0)</f>
        <v>0</v>
      </c>
      <c r="I95" s="1"/>
      <c r="J95" s="5">
        <f t="shared" si="35"/>
        <v>0</v>
      </c>
      <c r="K95" s="1"/>
      <c r="L95" s="1">
        <f t="shared" si="36"/>
        <v>0</v>
      </c>
      <c r="M95" s="1"/>
      <c r="N95" s="5">
        <f t="shared" si="37"/>
        <v>0</v>
      </c>
      <c r="O95" s="13"/>
      <c r="P95" s="1">
        <f>SUM(OSRRefP22_13x_0)</f>
        <v>104.28999999999999</v>
      </c>
      <c r="Q95" s="1"/>
      <c r="R95" s="5">
        <f t="shared" si="38"/>
        <v>4.4893095115679466E-4</v>
      </c>
      <c r="S95" s="1"/>
      <c r="T95" s="1">
        <f>SUM(OSRRefT22_13x_0)</f>
        <v>461.35</v>
      </c>
      <c r="U95" s="1"/>
      <c r="V95" s="5">
        <f t="shared" si="39"/>
        <v>2.2123184056307733E-3</v>
      </c>
      <c r="W95" s="1"/>
      <c r="X95" s="1">
        <f t="shared" si="40"/>
        <v>-357.06000000000006</v>
      </c>
      <c r="Y95" s="1"/>
      <c r="Z95" s="5">
        <f t="shared" si="41"/>
        <v>-0.77394602796141765</v>
      </c>
    </row>
    <row r="96" spans="1:26" s="24" customFormat="1" hidden="1" outlineLevel="2" x14ac:dyDescent="0.25">
      <c r="A96" s="26"/>
      <c r="B96" s="11" t="str">
        <f>CONCATENATE("          ", "6373", " - ", "MAINTENANCE CONTRACTS")</f>
        <v xml:space="preserve">          6373 - MAINTENANCE CONTRACTS</v>
      </c>
      <c r="C96" s="11"/>
      <c r="D96" s="6"/>
      <c r="E96" s="2"/>
      <c r="F96" s="7">
        <f t="shared" si="34"/>
        <v>0</v>
      </c>
      <c r="G96" s="2"/>
      <c r="H96" s="6"/>
      <c r="I96" s="2"/>
      <c r="J96" s="7">
        <f t="shared" si="35"/>
        <v>0</v>
      </c>
      <c r="K96" s="2"/>
      <c r="L96" s="6">
        <f t="shared" si="36"/>
        <v>0</v>
      </c>
      <c r="M96" s="2"/>
      <c r="N96" s="7">
        <f t="shared" si="37"/>
        <v>0</v>
      </c>
      <c r="O96" s="11"/>
      <c r="P96" s="6">
        <v>45.65</v>
      </c>
      <c r="Q96" s="2"/>
      <c r="R96" s="7">
        <f t="shared" si="38"/>
        <v>1.9650683594119931E-4</v>
      </c>
      <c r="S96" s="2"/>
      <c r="T96" s="6">
        <v>44.98</v>
      </c>
      <c r="U96" s="2"/>
      <c r="V96" s="7">
        <f t="shared" si="39"/>
        <v>2.1569325216272284E-4</v>
      </c>
      <c r="W96" s="2"/>
      <c r="X96" s="6">
        <f t="shared" si="40"/>
        <v>0.67000000000000171</v>
      </c>
      <c r="Y96" s="2"/>
      <c r="Z96" s="7">
        <f t="shared" si="41"/>
        <v>1.4895509115162334E-2</v>
      </c>
    </row>
    <row r="97" spans="1:26" s="24" customFormat="1" hidden="1" outlineLevel="2" x14ac:dyDescent="0.25">
      <c r="A97" s="26"/>
      <c r="B97" s="11" t="str">
        <f>CONCATENATE("          ", "6375", " - ", "OUTSIDE REPAIRS &amp; MAINTENANCE")</f>
        <v xml:space="preserve">          6375 - OUTSIDE REPAIRS &amp; MAINTENANCE</v>
      </c>
      <c r="C97" s="11"/>
      <c r="D97" s="6"/>
      <c r="E97" s="2"/>
      <c r="F97" s="7">
        <f t="shared" si="34"/>
        <v>0</v>
      </c>
      <c r="G97" s="2"/>
      <c r="H97" s="6"/>
      <c r="I97" s="2"/>
      <c r="J97" s="7">
        <f t="shared" si="35"/>
        <v>0</v>
      </c>
      <c r="K97" s="2"/>
      <c r="L97" s="6">
        <f t="shared" si="36"/>
        <v>0</v>
      </c>
      <c r="M97" s="2"/>
      <c r="N97" s="7">
        <f t="shared" si="37"/>
        <v>0</v>
      </c>
      <c r="O97" s="11"/>
      <c r="P97" s="6">
        <v>58.64</v>
      </c>
      <c r="Q97" s="2"/>
      <c r="R97" s="7">
        <f t="shared" si="38"/>
        <v>2.5242411521559537E-4</v>
      </c>
      <c r="S97" s="2"/>
      <c r="T97" s="6">
        <v>416.37</v>
      </c>
      <c r="U97" s="2"/>
      <c r="V97" s="7">
        <f t="shared" si="39"/>
        <v>1.9966251534680505E-3</v>
      </c>
      <c r="W97" s="2"/>
      <c r="X97" s="6">
        <f t="shared" si="40"/>
        <v>-357.73</v>
      </c>
      <c r="Y97" s="2"/>
      <c r="Z97" s="7">
        <f t="shared" si="41"/>
        <v>-0.85916372457189527</v>
      </c>
    </row>
    <row r="98" spans="1:26" s="25" customFormat="1" outlineLevel="1" collapsed="1" x14ac:dyDescent="0.25">
      <c r="A98" s="27"/>
      <c r="B98" s="13" t="str">
        <f>CONCATENATE("     ","Services                                          ")</f>
        <v xml:space="preserve">     Services                                          </v>
      </c>
      <c r="C98" s="13"/>
      <c r="D98" s="1">
        <f>SUM(OSRRefD22_14x_0)</f>
        <v>181.82</v>
      </c>
      <c r="E98" s="1"/>
      <c r="F98" s="5">
        <f t="shared" ref="F98:F101" si="42">IF(D$12=0,0,D98/D$12)</f>
        <v>4.8050952720737868E-3</v>
      </c>
      <c r="G98" s="1"/>
      <c r="H98" s="1">
        <f>SUM(OSRRefH22_14x_0)</f>
        <v>116.72999999999999</v>
      </c>
      <c r="I98" s="1"/>
      <c r="J98" s="5">
        <f t="shared" ref="J98:J101" si="43">IF(H$12=0,0,H98/H$12)</f>
        <v>2.8317794894548781E-3</v>
      </c>
      <c r="K98" s="1"/>
      <c r="L98" s="1">
        <f t="shared" ref="L98:L101" si="44">+D98-H98</f>
        <v>65.09</v>
      </c>
      <c r="M98" s="1"/>
      <c r="N98" s="5">
        <f t="shared" ref="N98:N101" si="45">IF(H98=0,0,L98/H98)</f>
        <v>0.55761158228390306</v>
      </c>
      <c r="O98" s="13"/>
      <c r="P98" s="1">
        <f>SUM(OSRRefP22_14x_0)</f>
        <v>1820.46</v>
      </c>
      <c r="Q98" s="1"/>
      <c r="R98" s="5">
        <f t="shared" ref="R98:R101" si="46">IF(P$12=0,0,P98/P$12)</f>
        <v>7.8364257296279459E-3</v>
      </c>
      <c r="S98" s="1"/>
      <c r="T98" s="1">
        <f>SUM(OSRRefT22_14x_0)</f>
        <v>996.48</v>
      </c>
      <c r="U98" s="1"/>
      <c r="V98" s="5">
        <f t="shared" ref="V98:V101" si="47">IF(T$12=0,0,T98/T$12)</f>
        <v>4.7784351248357062E-3</v>
      </c>
      <c r="W98" s="1"/>
      <c r="X98" s="1">
        <f t="shared" ref="X98:X101" si="48">+P98-T98</f>
        <v>823.98</v>
      </c>
      <c r="Y98" s="1"/>
      <c r="Z98" s="5">
        <f t="shared" ref="Z98:Z101" si="49">IF(T98=0,0,X98/T98)</f>
        <v>0.82689065510597304</v>
      </c>
    </row>
    <row r="99" spans="1:26" s="24" customFormat="1" hidden="1" outlineLevel="2" x14ac:dyDescent="0.25">
      <c r="A99" s="26"/>
      <c r="B99" s="11" t="str">
        <f>CONCATENATE("          ", "6283", " - ", "PLANT SERVICE")</f>
        <v xml:space="preserve">          6283 - PLANT SERVICE</v>
      </c>
      <c r="C99" s="11"/>
      <c r="D99" s="6"/>
      <c r="E99" s="2"/>
      <c r="F99" s="7">
        <f t="shared" si="42"/>
        <v>0</v>
      </c>
      <c r="G99" s="2"/>
      <c r="H99" s="6">
        <v>56</v>
      </c>
      <c r="I99" s="2"/>
      <c r="J99" s="7">
        <f t="shared" si="43"/>
        <v>1.3585166744579215E-3</v>
      </c>
      <c r="K99" s="2"/>
      <c r="L99" s="6">
        <f t="shared" si="44"/>
        <v>-56</v>
      </c>
      <c r="M99" s="2"/>
      <c r="N99" s="7">
        <f t="shared" si="45"/>
        <v>-1</v>
      </c>
      <c r="O99" s="11"/>
      <c r="P99" s="6">
        <v>178.65</v>
      </c>
      <c r="Q99" s="2"/>
      <c r="R99" s="7">
        <f t="shared" si="46"/>
        <v>7.6902401403932666E-4</v>
      </c>
      <c r="S99" s="2"/>
      <c r="T99" s="6">
        <v>280</v>
      </c>
      <c r="U99" s="2"/>
      <c r="V99" s="7">
        <f t="shared" si="47"/>
        <v>1.3426880970556336E-3</v>
      </c>
      <c r="W99" s="2"/>
      <c r="X99" s="6">
        <f t="shared" si="48"/>
        <v>-101.35</v>
      </c>
      <c r="Y99" s="2"/>
      <c r="Z99" s="7">
        <f t="shared" si="49"/>
        <v>-0.36196428571428568</v>
      </c>
    </row>
    <row r="100" spans="1:26" s="24" customFormat="1" hidden="1" outlineLevel="2" x14ac:dyDescent="0.25">
      <c r="A100" s="26"/>
      <c r="B100" s="11" t="str">
        <f>CONCATENATE("          ", "6284", " - ", "TRASH REMOVAL EXPENSE")</f>
        <v xml:space="preserve">          6284 - TRASH REMOVAL EXPENSE</v>
      </c>
      <c r="C100" s="11"/>
      <c r="D100" s="6">
        <v>134.82</v>
      </c>
      <c r="E100" s="2"/>
      <c r="F100" s="7">
        <f t="shared" si="42"/>
        <v>3.562990565289781E-3</v>
      </c>
      <c r="G100" s="2"/>
      <c r="H100" s="6">
        <v>121.46</v>
      </c>
      <c r="I100" s="2"/>
      <c r="J100" s="7">
        <f t="shared" si="43"/>
        <v>2.9465256299939131E-3</v>
      </c>
      <c r="K100" s="2"/>
      <c r="L100" s="6">
        <f t="shared" si="44"/>
        <v>13.36</v>
      </c>
      <c r="M100" s="2"/>
      <c r="N100" s="7">
        <f t="shared" si="45"/>
        <v>0.10999506010209123</v>
      </c>
      <c r="O100" s="11"/>
      <c r="P100" s="6">
        <v>674.1</v>
      </c>
      <c r="Q100" s="2"/>
      <c r="R100" s="7">
        <f t="shared" si="46"/>
        <v>2.9017581184657714E-3</v>
      </c>
      <c r="S100" s="2"/>
      <c r="T100" s="6">
        <v>607.29999999999995</v>
      </c>
      <c r="U100" s="2"/>
      <c r="V100" s="7">
        <f t="shared" si="47"/>
        <v>2.9121945762210222E-3</v>
      </c>
      <c r="W100" s="2"/>
      <c r="X100" s="6">
        <f t="shared" si="48"/>
        <v>66.800000000000068</v>
      </c>
      <c r="Y100" s="2"/>
      <c r="Z100" s="7">
        <f t="shared" si="49"/>
        <v>0.10999506010209134</v>
      </c>
    </row>
    <row r="101" spans="1:26" s="24" customFormat="1" hidden="1" outlineLevel="2" x14ac:dyDescent="0.25">
      <c r="A101" s="26"/>
      <c r="B101" s="11" t="str">
        <f>CONCATENATE("          ", "6285", " - ", "JANITORIAL SERVICES")</f>
        <v xml:space="preserve">          6285 - JANITORIAL SERVICES</v>
      </c>
      <c r="C101" s="11"/>
      <c r="D101" s="6">
        <v>47</v>
      </c>
      <c r="E101" s="2"/>
      <c r="F101" s="7">
        <f t="shared" si="42"/>
        <v>1.2421047067840061E-3</v>
      </c>
      <c r="G101" s="2"/>
      <c r="H101" s="6">
        <v>-60.73</v>
      </c>
      <c r="I101" s="2"/>
      <c r="J101" s="7">
        <f t="shared" si="43"/>
        <v>-1.4732628149969566E-3</v>
      </c>
      <c r="K101" s="2"/>
      <c r="L101" s="6">
        <f t="shared" si="44"/>
        <v>107.72999999999999</v>
      </c>
      <c r="M101" s="2"/>
      <c r="N101" s="7">
        <f t="shared" si="45"/>
        <v>-1.7739173390416598</v>
      </c>
      <c r="O101" s="11"/>
      <c r="P101" s="6">
        <v>967.71</v>
      </c>
      <c r="Q101" s="2"/>
      <c r="R101" s="7">
        <f t="shared" si="46"/>
        <v>4.1656435971228478E-3</v>
      </c>
      <c r="S101" s="2"/>
      <c r="T101" s="6">
        <v>109.18</v>
      </c>
      <c r="U101" s="2"/>
      <c r="V101" s="7">
        <f t="shared" si="47"/>
        <v>5.2355245155905029E-4</v>
      </c>
      <c r="W101" s="2"/>
      <c r="X101" s="6">
        <f t="shared" si="48"/>
        <v>858.53</v>
      </c>
      <c r="Y101" s="2"/>
      <c r="Z101" s="7">
        <f t="shared" si="49"/>
        <v>7.8634365268364164</v>
      </c>
    </row>
    <row r="102" spans="1:26" s="25" customFormat="1" outlineLevel="1" collapsed="1" x14ac:dyDescent="0.25">
      <c r="A102" s="27"/>
      <c r="B102" s="13" t="str">
        <f>CONCATENATE("     ","Subscriptions &amp; Dues                              ")</f>
        <v xml:space="preserve">     Subscriptions &amp; Dues                              </v>
      </c>
      <c r="C102" s="13"/>
      <c r="D102" s="1">
        <f>SUM(OSRRefD22_15x_0)</f>
        <v>0</v>
      </c>
      <c r="E102" s="1"/>
      <c r="F102" s="5">
        <f t="shared" ref="F102:F109" si="50">IF(D$12=0,0,D102/D$12)</f>
        <v>0</v>
      </c>
      <c r="G102" s="1"/>
      <c r="H102" s="1">
        <f>SUM(OSRRefH22_15x_0)</f>
        <v>129.97999999999999</v>
      </c>
      <c r="I102" s="1"/>
      <c r="J102" s="5">
        <f t="shared" ref="J102:J109" si="51">IF(H$12=0,0,H102/H$12)</f>
        <v>3.1532142383221542E-3</v>
      </c>
      <c r="K102" s="1"/>
      <c r="L102" s="1">
        <f t="shared" ref="L102:L109" si="52">+D102-H102</f>
        <v>-129.97999999999999</v>
      </c>
      <c r="M102" s="1"/>
      <c r="N102" s="5">
        <f t="shared" ref="N102:N109" si="53">IF(H102=0,0,L102/H102)</f>
        <v>-1</v>
      </c>
      <c r="O102" s="13"/>
      <c r="P102" s="1">
        <f>SUM(OSRRefP22_15x_0)</f>
        <v>88.42</v>
      </c>
      <c r="Q102" s="1"/>
      <c r="R102" s="5">
        <f t="shared" ref="R102:R109" si="54">IF(P$12=0,0,P102/P$12)</f>
        <v>3.8061630742433394E-4</v>
      </c>
      <c r="S102" s="1"/>
      <c r="T102" s="1">
        <f>SUM(OSRRefT22_15x_0)</f>
        <v>799.9</v>
      </c>
      <c r="U102" s="1"/>
      <c r="V102" s="5">
        <f t="shared" ref="V102:V109" si="55">IF(T$12=0,0,T102/T$12)</f>
        <v>3.8357721744100045E-3</v>
      </c>
      <c r="W102" s="1"/>
      <c r="X102" s="1">
        <f t="shared" ref="X102:X109" si="56">+P102-T102</f>
        <v>-711.48</v>
      </c>
      <c r="Y102" s="1"/>
      <c r="Z102" s="5">
        <f t="shared" ref="Z102:Z109" si="57">IF(T102=0,0,X102/T102)</f>
        <v>-0.88946118264783103</v>
      </c>
    </row>
    <row r="103" spans="1:26" s="24" customFormat="1" hidden="1" outlineLevel="2" x14ac:dyDescent="0.25">
      <c r="A103" s="26"/>
      <c r="B103" s="11" t="str">
        <f>CONCATENATE("          ", "6275", " - ", "SUBSCRIPTIONS")</f>
        <v xml:space="preserve">          6275 - SUBSCRIPTIONS</v>
      </c>
      <c r="C103" s="11"/>
      <c r="D103" s="6"/>
      <c r="E103" s="2"/>
      <c r="F103" s="7">
        <f t="shared" si="50"/>
        <v>0</v>
      </c>
      <c r="G103" s="2"/>
      <c r="H103" s="6">
        <v>129.97999999999999</v>
      </c>
      <c r="I103" s="2"/>
      <c r="J103" s="7">
        <f t="shared" si="51"/>
        <v>3.1532142383221542E-3</v>
      </c>
      <c r="K103" s="2"/>
      <c r="L103" s="6">
        <f t="shared" si="52"/>
        <v>-129.97999999999999</v>
      </c>
      <c r="M103" s="2"/>
      <c r="N103" s="7">
        <f t="shared" si="53"/>
        <v>-1</v>
      </c>
      <c r="O103" s="11"/>
      <c r="P103" s="6">
        <v>88.42</v>
      </c>
      <c r="Q103" s="2"/>
      <c r="R103" s="7">
        <f t="shared" si="54"/>
        <v>3.8061630742433394E-4</v>
      </c>
      <c r="S103" s="2"/>
      <c r="T103" s="6">
        <v>799.9</v>
      </c>
      <c r="U103" s="2"/>
      <c r="V103" s="7">
        <f t="shared" si="55"/>
        <v>3.8357721744100045E-3</v>
      </c>
      <c r="W103" s="2"/>
      <c r="X103" s="6">
        <f t="shared" si="56"/>
        <v>-711.48</v>
      </c>
      <c r="Y103" s="2"/>
      <c r="Z103" s="7">
        <f t="shared" si="57"/>
        <v>-0.88946118264783103</v>
      </c>
    </row>
    <row r="104" spans="1:26" s="25" customFormat="1" outlineLevel="1" collapsed="1" x14ac:dyDescent="0.25">
      <c r="A104" s="27"/>
      <c r="B104" s="13" t="str">
        <f>CONCATENATE("     ","Supplies                                          ")</f>
        <v xml:space="preserve">     Supplies                                          </v>
      </c>
      <c r="C104" s="13"/>
      <c r="D104" s="1">
        <f>SUM(OSRRefD22_16x_0)</f>
        <v>43.09</v>
      </c>
      <c r="E104" s="1"/>
      <c r="F104" s="5">
        <f t="shared" si="50"/>
        <v>1.1387721662834646E-3</v>
      </c>
      <c r="G104" s="1"/>
      <c r="H104" s="1">
        <f>SUM(OSRRefH22_16x_0)</f>
        <v>153.78</v>
      </c>
      <c r="I104" s="1"/>
      <c r="J104" s="5">
        <f t="shared" si="51"/>
        <v>3.7305838249667711E-3</v>
      </c>
      <c r="K104" s="1"/>
      <c r="L104" s="1">
        <f t="shared" si="52"/>
        <v>-110.69</v>
      </c>
      <c r="M104" s="1"/>
      <c r="N104" s="5">
        <f t="shared" si="53"/>
        <v>-0.71979451164000519</v>
      </c>
      <c r="O104" s="13"/>
      <c r="P104" s="1">
        <f>SUM(OSRRefP22_16x_0)</f>
        <v>1458.1299999999999</v>
      </c>
      <c r="Q104" s="1"/>
      <c r="R104" s="5">
        <f t="shared" si="54"/>
        <v>6.2767253601520474E-3</v>
      </c>
      <c r="S104" s="1"/>
      <c r="T104" s="1">
        <f>SUM(OSRRefT22_16x_0)</f>
        <v>2615.3399999999997</v>
      </c>
      <c r="U104" s="1"/>
      <c r="V104" s="5">
        <f t="shared" si="55"/>
        <v>1.2541378170548144E-2</v>
      </c>
      <c r="W104" s="1"/>
      <c r="X104" s="1">
        <f t="shared" si="56"/>
        <v>-1157.2099999999998</v>
      </c>
      <c r="Y104" s="1"/>
      <c r="Z104" s="5">
        <f t="shared" si="57"/>
        <v>-0.4424701950797984</v>
      </c>
    </row>
    <row r="105" spans="1:26" s="24" customFormat="1" hidden="1" outlineLevel="2" x14ac:dyDescent="0.25">
      <c r="A105" s="26"/>
      <c r="B105" s="11" t="str">
        <f>CONCATENATE("          ", "6234", " - ", "EXPENDABLE SUPPLIES &amp; EQUIPMEN")</f>
        <v xml:space="preserve">          6234 - EXPENDABLE SUPPLIES &amp; EQUIPMEN</v>
      </c>
      <c r="C105" s="11"/>
      <c r="D105" s="6"/>
      <c r="E105" s="2"/>
      <c r="F105" s="7">
        <f t="shared" si="50"/>
        <v>0</v>
      </c>
      <c r="G105" s="2"/>
      <c r="H105" s="6"/>
      <c r="I105" s="2"/>
      <c r="J105" s="7">
        <f t="shared" si="51"/>
        <v>0</v>
      </c>
      <c r="K105" s="2"/>
      <c r="L105" s="6">
        <f t="shared" si="52"/>
        <v>0</v>
      </c>
      <c r="M105" s="2"/>
      <c r="N105" s="7">
        <f t="shared" si="53"/>
        <v>0</v>
      </c>
      <c r="O105" s="11"/>
      <c r="P105" s="6"/>
      <c r="Q105" s="2"/>
      <c r="R105" s="7">
        <f t="shared" si="54"/>
        <v>0</v>
      </c>
      <c r="S105" s="2"/>
      <c r="T105" s="6">
        <v>150</v>
      </c>
      <c r="U105" s="2"/>
      <c r="V105" s="7">
        <f t="shared" si="55"/>
        <v>7.192971948512323E-4</v>
      </c>
      <c r="W105" s="2"/>
      <c r="X105" s="6">
        <f t="shared" si="56"/>
        <v>-150</v>
      </c>
      <c r="Y105" s="2"/>
      <c r="Z105" s="7">
        <f t="shared" si="57"/>
        <v>-1</v>
      </c>
    </row>
    <row r="106" spans="1:26" s="24" customFormat="1" hidden="1" outlineLevel="2" x14ac:dyDescent="0.25">
      <c r="A106" s="26"/>
      <c r="B106" s="11" t="str">
        <f>CONCATENATE("          ", "6237", " - ", "JANITORIAL SUPPLIES")</f>
        <v xml:space="preserve">          6237 - JANITORIAL SUPPLIES</v>
      </c>
      <c r="C106" s="11"/>
      <c r="D106" s="6"/>
      <c r="E106" s="2"/>
      <c r="F106" s="7">
        <f t="shared" si="50"/>
        <v>0</v>
      </c>
      <c r="G106" s="2"/>
      <c r="H106" s="6"/>
      <c r="I106" s="2"/>
      <c r="J106" s="7">
        <f t="shared" si="51"/>
        <v>0</v>
      </c>
      <c r="K106" s="2"/>
      <c r="L106" s="6">
        <f t="shared" si="52"/>
        <v>0</v>
      </c>
      <c r="M106" s="2"/>
      <c r="N106" s="7">
        <f t="shared" si="53"/>
        <v>0</v>
      </c>
      <c r="O106" s="11"/>
      <c r="P106" s="6">
        <v>287.72000000000003</v>
      </c>
      <c r="Q106" s="2"/>
      <c r="R106" s="7">
        <f t="shared" si="54"/>
        <v>1.2385311464841594E-3</v>
      </c>
      <c r="S106" s="2"/>
      <c r="T106" s="6">
        <v>177.88</v>
      </c>
      <c r="U106" s="2"/>
      <c r="V106" s="7">
        <f t="shared" si="55"/>
        <v>8.5299056680091466E-4</v>
      </c>
      <c r="W106" s="2"/>
      <c r="X106" s="6">
        <f t="shared" si="56"/>
        <v>109.84000000000003</v>
      </c>
      <c r="Y106" s="2"/>
      <c r="Z106" s="7">
        <f t="shared" si="57"/>
        <v>0.61749494040926489</v>
      </c>
    </row>
    <row r="107" spans="1:26" s="24" customFormat="1" hidden="1" outlineLevel="2" x14ac:dyDescent="0.25">
      <c r="A107" s="26"/>
      <c r="B107" s="11" t="str">
        <f>CONCATENATE("          ", "6241", " - ", "OFFICE EXPENSE")</f>
        <v xml:space="preserve">          6241 - OFFICE EXPENSE</v>
      </c>
      <c r="C107" s="11"/>
      <c r="D107" s="6">
        <v>22.97</v>
      </c>
      <c r="E107" s="2"/>
      <c r="F107" s="7">
        <f t="shared" si="50"/>
        <v>6.0704564074103452E-4</v>
      </c>
      <c r="G107" s="2"/>
      <c r="H107" s="6">
        <v>33.880000000000003</v>
      </c>
      <c r="I107" s="2"/>
      <c r="J107" s="7">
        <f t="shared" si="51"/>
        <v>8.219025880470426E-4</v>
      </c>
      <c r="K107" s="2"/>
      <c r="L107" s="6">
        <f t="shared" si="52"/>
        <v>-10.910000000000004</v>
      </c>
      <c r="M107" s="2"/>
      <c r="N107" s="7">
        <f t="shared" si="53"/>
        <v>-0.32201889020070845</v>
      </c>
      <c r="O107" s="11"/>
      <c r="P107" s="6">
        <v>1150.29</v>
      </c>
      <c r="Q107" s="2"/>
      <c r="R107" s="7">
        <f t="shared" si="54"/>
        <v>4.9515848480789085E-3</v>
      </c>
      <c r="S107" s="2"/>
      <c r="T107" s="6">
        <v>1112.3399999999999</v>
      </c>
      <c r="U107" s="2"/>
      <c r="V107" s="7">
        <f t="shared" si="55"/>
        <v>5.3340202781387977E-3</v>
      </c>
      <c r="W107" s="2"/>
      <c r="X107" s="6">
        <f t="shared" si="56"/>
        <v>37.950000000000045</v>
      </c>
      <c r="Y107" s="2"/>
      <c r="Z107" s="7">
        <f t="shared" si="57"/>
        <v>3.411726630346841E-2</v>
      </c>
    </row>
    <row r="108" spans="1:26" s="24" customFormat="1" hidden="1" outlineLevel="2" x14ac:dyDescent="0.25">
      <c r="A108" s="26"/>
      <c r="B108" s="11" t="str">
        <f>CONCATENATE("          ", "6245", " - ", "PRINTING")</f>
        <v xml:space="preserve">          6245 - PRINTING</v>
      </c>
      <c r="C108" s="11"/>
      <c r="D108" s="6"/>
      <c r="E108" s="2"/>
      <c r="F108" s="7">
        <f t="shared" si="50"/>
        <v>0</v>
      </c>
      <c r="G108" s="2"/>
      <c r="H108" s="6"/>
      <c r="I108" s="2"/>
      <c r="J108" s="7">
        <f t="shared" si="51"/>
        <v>0</v>
      </c>
      <c r="K108" s="2"/>
      <c r="L108" s="6">
        <f t="shared" si="52"/>
        <v>0</v>
      </c>
      <c r="M108" s="2"/>
      <c r="N108" s="7">
        <f t="shared" si="53"/>
        <v>0</v>
      </c>
      <c r="O108" s="11"/>
      <c r="P108" s="6"/>
      <c r="Q108" s="2"/>
      <c r="R108" s="7">
        <f t="shared" si="54"/>
        <v>0</v>
      </c>
      <c r="S108" s="2"/>
      <c r="T108" s="6">
        <v>750.25</v>
      </c>
      <c r="U108" s="2"/>
      <c r="V108" s="7">
        <f t="shared" si="55"/>
        <v>3.5976848029142467E-3</v>
      </c>
      <c r="W108" s="2"/>
      <c r="X108" s="6">
        <f t="shared" si="56"/>
        <v>-750.25</v>
      </c>
      <c r="Y108" s="2"/>
      <c r="Z108" s="7">
        <f t="shared" si="57"/>
        <v>-1</v>
      </c>
    </row>
    <row r="109" spans="1:26" s="24" customFormat="1" hidden="1" outlineLevel="2" x14ac:dyDescent="0.25">
      <c r="A109" s="26"/>
      <c r="B109" s="11" t="str">
        <f>CONCATENATE("          ", "6247", " - ", "STORE SUPPLIES")</f>
        <v xml:space="preserve">          6247 - STORE SUPPLIES</v>
      </c>
      <c r="C109" s="11"/>
      <c r="D109" s="6">
        <v>20.12</v>
      </c>
      <c r="E109" s="2"/>
      <c r="F109" s="7">
        <f t="shared" si="50"/>
        <v>5.3172652554242994E-4</v>
      </c>
      <c r="G109" s="2"/>
      <c r="H109" s="6">
        <v>119.9</v>
      </c>
      <c r="I109" s="2"/>
      <c r="J109" s="7">
        <f t="shared" si="51"/>
        <v>2.9086812369197284E-3</v>
      </c>
      <c r="K109" s="2"/>
      <c r="L109" s="6">
        <f t="shared" si="52"/>
        <v>-99.78</v>
      </c>
      <c r="M109" s="2"/>
      <c r="N109" s="7">
        <f t="shared" si="53"/>
        <v>-0.83219349457881564</v>
      </c>
      <c r="O109" s="11"/>
      <c r="P109" s="6">
        <v>20.12</v>
      </c>
      <c r="Q109" s="2"/>
      <c r="R109" s="7">
        <f t="shared" si="54"/>
        <v>8.6609365588979863E-5</v>
      </c>
      <c r="S109" s="2"/>
      <c r="T109" s="6">
        <v>424.87</v>
      </c>
      <c r="U109" s="2"/>
      <c r="V109" s="7">
        <f t="shared" si="55"/>
        <v>2.0373853278429538E-3</v>
      </c>
      <c r="W109" s="2"/>
      <c r="X109" s="6">
        <f t="shared" si="56"/>
        <v>-404.75</v>
      </c>
      <c r="Y109" s="2"/>
      <c r="Z109" s="7">
        <f t="shared" si="57"/>
        <v>-0.95264433826817618</v>
      </c>
    </row>
    <row r="110" spans="1:26" s="25" customFormat="1" outlineLevel="1" collapsed="1" x14ac:dyDescent="0.25">
      <c r="A110" s="27"/>
      <c r="B110" s="13" t="str">
        <f>CONCATENATE("     ","Telephone/Data Lines                              ")</f>
        <v xml:space="preserve">     Telephone/Data Lines                              </v>
      </c>
      <c r="C110" s="13"/>
      <c r="D110" s="1">
        <f>SUM(OSRRefD22_17x_0)</f>
        <v>71.760000000000005</v>
      </c>
      <c r="E110" s="1"/>
      <c r="F110" s="5">
        <f t="shared" ref="F110:F115" si="58">IF(D$12=0,0,D110/D$12)</f>
        <v>1.8964560374217082E-3</v>
      </c>
      <c r="G110" s="1"/>
      <c r="H110" s="1">
        <f>SUM(OSRRefH22_17x_0)</f>
        <v>370.24</v>
      </c>
      <c r="I110" s="1"/>
      <c r="J110" s="5">
        <f t="shared" ref="J110:J115" si="59">IF(H$12=0,0,H110/H$12)</f>
        <v>8.9817359562732301E-3</v>
      </c>
      <c r="K110" s="1"/>
      <c r="L110" s="1">
        <f t="shared" ref="L110:L115" si="60">+D110-H110</f>
        <v>-298.48</v>
      </c>
      <c r="M110" s="1"/>
      <c r="N110" s="5">
        <f t="shared" ref="N110:N115" si="61">IF(H110=0,0,L110/H110)</f>
        <v>-0.8061797752808989</v>
      </c>
      <c r="O110" s="13"/>
      <c r="P110" s="1">
        <f>SUM(OSRRefP22_17x_0)</f>
        <v>1485.93</v>
      </c>
      <c r="Q110" s="1"/>
      <c r="R110" s="5">
        <f t="shared" ref="R110:R115" si="62">IF(P$12=0,0,P110/P$12)</f>
        <v>6.3963943642958666E-3</v>
      </c>
      <c r="S110" s="1"/>
      <c r="T110" s="1">
        <f>SUM(OSRRefT22_17x_0)</f>
        <v>2117.9899999999998</v>
      </c>
      <c r="U110" s="1"/>
      <c r="V110" s="5">
        <f t="shared" ref="V110:V115" si="63">IF(T$12=0,0,T110/T$12)</f>
        <v>1.0156428438153075E-2</v>
      </c>
      <c r="W110" s="1"/>
      <c r="X110" s="1">
        <f t="shared" ref="X110:X115" si="64">+P110-T110</f>
        <v>-632.05999999999972</v>
      </c>
      <c r="Y110" s="1"/>
      <c r="Z110" s="5">
        <f t="shared" ref="Z110:Z115" si="65">IF(T110=0,0,X110/T110)</f>
        <v>-0.29842444959607922</v>
      </c>
    </row>
    <row r="111" spans="1:26" s="24" customFormat="1" hidden="1" outlineLevel="2" x14ac:dyDescent="0.25">
      <c r="A111" s="26"/>
      <c r="B111" s="11" t="str">
        <f>CONCATENATE("          ", "6309", " - ", "TELEPHONE")</f>
        <v xml:space="preserve">          6309 - TELEPHONE</v>
      </c>
      <c r="C111" s="11"/>
      <c r="D111" s="6">
        <v>71.760000000000005</v>
      </c>
      <c r="E111" s="2"/>
      <c r="F111" s="7">
        <f t="shared" si="58"/>
        <v>1.8964560374217082E-3</v>
      </c>
      <c r="G111" s="2"/>
      <c r="H111" s="6">
        <v>370.24</v>
      </c>
      <c r="I111" s="2"/>
      <c r="J111" s="7">
        <f t="shared" si="59"/>
        <v>8.9817359562732301E-3</v>
      </c>
      <c r="K111" s="2"/>
      <c r="L111" s="6">
        <f t="shared" si="60"/>
        <v>-298.48</v>
      </c>
      <c r="M111" s="2"/>
      <c r="N111" s="7">
        <f t="shared" si="61"/>
        <v>-0.8061797752808989</v>
      </c>
      <c r="O111" s="11"/>
      <c r="P111" s="6">
        <v>1485.93</v>
      </c>
      <c r="Q111" s="2"/>
      <c r="R111" s="7">
        <f t="shared" si="62"/>
        <v>6.3963943642958666E-3</v>
      </c>
      <c r="S111" s="2"/>
      <c r="T111" s="6">
        <v>2117.9899999999998</v>
      </c>
      <c r="U111" s="2"/>
      <c r="V111" s="7">
        <f t="shared" si="63"/>
        <v>1.0156428438153075E-2</v>
      </c>
      <c r="W111" s="2"/>
      <c r="X111" s="6">
        <f t="shared" si="64"/>
        <v>-632.05999999999972</v>
      </c>
      <c r="Y111" s="2"/>
      <c r="Z111" s="7">
        <f t="shared" si="65"/>
        <v>-0.29842444959607922</v>
      </c>
    </row>
    <row r="112" spans="1:26" s="25" customFormat="1" outlineLevel="1" collapsed="1" x14ac:dyDescent="0.25">
      <c r="A112" s="27"/>
      <c r="B112" s="13" t="str">
        <f>CONCATENATE("     ","Travel                                            ")</f>
        <v xml:space="preserve">     Travel                                            </v>
      </c>
      <c r="C112" s="13"/>
      <c r="D112" s="1">
        <f>SUM(OSRRefD22_18x_0)</f>
        <v>44.52</v>
      </c>
      <c r="E112" s="1"/>
      <c r="F112" s="5">
        <f t="shared" si="58"/>
        <v>1.1765638626813609E-3</v>
      </c>
      <c r="G112" s="1"/>
      <c r="H112" s="1">
        <f>SUM(OSRRefH22_18x_0)</f>
        <v>15.7</v>
      </c>
      <c r="I112" s="1"/>
      <c r="J112" s="5">
        <f t="shared" si="59"/>
        <v>3.808698533748101E-4</v>
      </c>
      <c r="K112" s="1"/>
      <c r="L112" s="1">
        <f t="shared" si="60"/>
        <v>28.820000000000004</v>
      </c>
      <c r="M112" s="1"/>
      <c r="N112" s="5">
        <f t="shared" si="61"/>
        <v>1.8356687898089175</v>
      </c>
      <c r="O112" s="13"/>
      <c r="P112" s="1">
        <f>SUM(OSRRefP22_18x_0)</f>
        <v>480.99</v>
      </c>
      <c r="Q112" s="1"/>
      <c r="R112" s="5">
        <f t="shared" si="62"/>
        <v>2.0704890037099117E-3</v>
      </c>
      <c r="S112" s="1"/>
      <c r="T112" s="1">
        <f>SUM(OSRRefT22_18x_0)</f>
        <v>313.95</v>
      </c>
      <c r="U112" s="1"/>
      <c r="V112" s="5">
        <f t="shared" si="63"/>
        <v>1.5054890288236291E-3</v>
      </c>
      <c r="W112" s="1"/>
      <c r="X112" s="1">
        <f t="shared" si="64"/>
        <v>167.04000000000002</v>
      </c>
      <c r="Y112" s="1"/>
      <c r="Z112" s="5">
        <f t="shared" si="65"/>
        <v>0.5320592451027234</v>
      </c>
    </row>
    <row r="113" spans="1:26" s="24" customFormat="1" hidden="1" outlineLevel="2" x14ac:dyDescent="0.25">
      <c r="A113" s="26"/>
      <c r="B113" s="11" t="str">
        <f>CONCATENATE("          ", "6294", " - ", "TRAVEL OPERATIONAL")</f>
        <v xml:space="preserve">          6294 - TRAVEL OPERATIONAL</v>
      </c>
      <c r="C113" s="11"/>
      <c r="D113" s="6">
        <v>44.52</v>
      </c>
      <c r="E113" s="2"/>
      <c r="F113" s="7">
        <f t="shared" si="58"/>
        <v>1.1765638626813609E-3</v>
      </c>
      <c r="G113" s="2"/>
      <c r="H113" s="6">
        <v>15.7</v>
      </c>
      <c r="I113" s="2"/>
      <c r="J113" s="7">
        <f t="shared" si="59"/>
        <v>3.808698533748101E-4</v>
      </c>
      <c r="K113" s="2"/>
      <c r="L113" s="6">
        <f t="shared" si="60"/>
        <v>28.820000000000004</v>
      </c>
      <c r="M113" s="2"/>
      <c r="N113" s="7">
        <f t="shared" si="61"/>
        <v>1.8356687898089175</v>
      </c>
      <c r="O113" s="11"/>
      <c r="P113" s="6">
        <v>480.99</v>
      </c>
      <c r="Q113" s="2"/>
      <c r="R113" s="7">
        <f t="shared" si="62"/>
        <v>2.0704890037099117E-3</v>
      </c>
      <c r="S113" s="2"/>
      <c r="T113" s="6">
        <v>313.95</v>
      </c>
      <c r="U113" s="2"/>
      <c r="V113" s="7">
        <f t="shared" si="63"/>
        <v>1.5054890288236291E-3</v>
      </c>
      <c r="W113" s="2"/>
      <c r="X113" s="6">
        <f t="shared" si="64"/>
        <v>167.04000000000002</v>
      </c>
      <c r="Y113" s="2"/>
      <c r="Z113" s="7">
        <f t="shared" si="65"/>
        <v>0.5320592451027234</v>
      </c>
    </row>
    <row r="114" spans="1:26" s="25" customFormat="1" outlineLevel="1" collapsed="1" x14ac:dyDescent="0.25">
      <c r="A114" s="27"/>
      <c r="B114" s="13" t="str">
        <f>CONCATENATE("     ","Utilities                                         ")</f>
        <v xml:space="preserve">     Utilities                                         </v>
      </c>
      <c r="C114" s="13"/>
      <c r="D114" s="1">
        <f>SUM(OSRRefD22_19x_0)</f>
        <v>31.26</v>
      </c>
      <c r="E114" s="1"/>
      <c r="F114" s="5">
        <f t="shared" si="58"/>
        <v>8.2613176880995821E-4</v>
      </c>
      <c r="G114" s="1"/>
      <c r="H114" s="1">
        <f>SUM(OSRRefH22_19x_0)</f>
        <v>55.99</v>
      </c>
      <c r="I114" s="1"/>
      <c r="J114" s="5">
        <f t="shared" si="59"/>
        <v>1.3582740821946255E-3</v>
      </c>
      <c r="K114" s="1"/>
      <c r="L114" s="1">
        <f t="shared" si="60"/>
        <v>-24.73</v>
      </c>
      <c r="M114" s="1"/>
      <c r="N114" s="5">
        <f t="shared" si="61"/>
        <v>-0.44168601535988566</v>
      </c>
      <c r="O114" s="13"/>
      <c r="P114" s="1">
        <f>SUM(OSRRefP22_19x_0)</f>
        <v>226.92</v>
      </c>
      <c r="Q114" s="1"/>
      <c r="R114" s="5">
        <f t="shared" si="62"/>
        <v>9.7680900792501539E-4</v>
      </c>
      <c r="S114" s="1"/>
      <c r="T114" s="1">
        <f>SUM(OSRRefT22_19x_0)</f>
        <v>317.24</v>
      </c>
      <c r="U114" s="1"/>
      <c r="V114" s="5">
        <f t="shared" si="63"/>
        <v>1.5212656139640328E-3</v>
      </c>
      <c r="W114" s="1"/>
      <c r="X114" s="1">
        <f t="shared" si="64"/>
        <v>-90.320000000000022</v>
      </c>
      <c r="Y114" s="1"/>
      <c r="Z114" s="5">
        <f t="shared" si="65"/>
        <v>-0.28470558567645954</v>
      </c>
    </row>
    <row r="115" spans="1:26" s="24" customFormat="1" hidden="1" outlineLevel="2" x14ac:dyDescent="0.25">
      <c r="A115" s="26"/>
      <c r="B115" s="11" t="str">
        <f>CONCATENATE("          ", "6274", " - ", "UTILITIES")</f>
        <v xml:space="preserve">          6274 - UTILITIES</v>
      </c>
      <c r="C115" s="11"/>
      <c r="D115" s="6">
        <v>31.26</v>
      </c>
      <c r="E115" s="2"/>
      <c r="F115" s="7">
        <f t="shared" si="58"/>
        <v>8.2613176880995821E-4</v>
      </c>
      <c r="G115" s="2"/>
      <c r="H115" s="6">
        <v>55.99</v>
      </c>
      <c r="I115" s="2"/>
      <c r="J115" s="7">
        <f t="shared" si="59"/>
        <v>1.3582740821946255E-3</v>
      </c>
      <c r="K115" s="2"/>
      <c r="L115" s="6">
        <f t="shared" si="60"/>
        <v>-24.73</v>
      </c>
      <c r="M115" s="2"/>
      <c r="N115" s="7">
        <f t="shared" si="61"/>
        <v>-0.44168601535988566</v>
      </c>
      <c r="O115" s="11"/>
      <c r="P115" s="6">
        <v>226.92</v>
      </c>
      <c r="Q115" s="2"/>
      <c r="R115" s="7">
        <f t="shared" si="62"/>
        <v>9.7680900792501539E-4</v>
      </c>
      <c r="S115" s="2"/>
      <c r="T115" s="6">
        <v>317.24</v>
      </c>
      <c r="U115" s="2"/>
      <c r="V115" s="7">
        <f t="shared" si="63"/>
        <v>1.5212656139640328E-3</v>
      </c>
      <c r="W115" s="2"/>
      <c r="X115" s="6">
        <f t="shared" si="64"/>
        <v>-90.320000000000022</v>
      </c>
      <c r="Y115" s="2"/>
      <c r="Z115" s="7">
        <f t="shared" si="65"/>
        <v>-0.28470558567645954</v>
      </c>
    </row>
    <row r="116" spans="1:26" s="53" customFormat="1" x14ac:dyDescent="0.25">
      <c r="A116" s="37"/>
      <c r="B116" s="37"/>
      <c r="C116" s="37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7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x14ac:dyDescent="0.25">
      <c r="A117" s="10"/>
      <c r="B117" s="28" t="s">
        <v>0</v>
      </c>
      <c r="C117" s="10"/>
      <c r="D117" s="4">
        <f>SUM(0)</f>
        <v>0</v>
      </c>
      <c r="E117" s="4"/>
      <c r="F117" s="12">
        <f>IF(D$12=0,0,D117/D$12)</f>
        <v>0</v>
      </c>
      <c r="G117" s="4"/>
      <c r="H117" s="4">
        <f>SUM(0)</f>
        <v>0</v>
      </c>
      <c r="I117" s="4"/>
      <c r="J117" s="12">
        <f>IF(H$12=0,0,H117/H$12)</f>
        <v>0</v>
      </c>
      <c r="K117" s="4"/>
      <c r="L117" s="4">
        <f>+D117-H117</f>
        <v>0</v>
      </c>
      <c r="M117" s="4"/>
      <c r="N117" s="12">
        <f>IF(H117=0,0,L117/H117)</f>
        <v>0</v>
      </c>
      <c r="O117" s="10"/>
      <c r="P117" s="4">
        <f>SUM(0)</f>
        <v>0</v>
      </c>
      <c r="Q117" s="4"/>
      <c r="R117" s="12">
        <f>IF(P$12=0,0,P117/P$12)</f>
        <v>0</v>
      </c>
      <c r="S117" s="4"/>
      <c r="T117" s="4">
        <f>SUM(0)</f>
        <v>0</v>
      </c>
      <c r="U117" s="4"/>
      <c r="V117" s="12">
        <f>IF(T$12=0,0,T117/T$12)</f>
        <v>0</v>
      </c>
      <c r="W117" s="4"/>
      <c r="X117" s="4">
        <f>+P117-T117</f>
        <v>0</v>
      </c>
      <c r="Y117" s="4"/>
      <c r="Z117" s="12">
        <f>IF(T117=0,0,X117/T117)</f>
        <v>0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10"/>
      <c r="B119" s="29" t="s">
        <v>3</v>
      </c>
      <c r="C119" s="29"/>
      <c r="D119" s="21">
        <f>+D56-D58+D117</f>
        <v>-11265.340000000015</v>
      </c>
      <c r="E119" s="14"/>
      <c r="F119" s="20">
        <f>IF(D$12=0,0,D119/D$12)</f>
        <v>-0.29771769867068415</v>
      </c>
      <c r="G119" s="14"/>
      <c r="H119" s="21">
        <f>+H56-H58+H117</f>
        <v>-4913.0000000000036</v>
      </c>
      <c r="I119" s="14"/>
      <c r="J119" s="20">
        <f>IF(H$12=0,0,H119/H$12)</f>
        <v>-0.1191855789573531</v>
      </c>
      <c r="K119" s="15"/>
      <c r="L119" s="21">
        <f>+D119-H119</f>
        <v>-6352.3400000000111</v>
      </c>
      <c r="M119" s="15"/>
      <c r="N119" s="20">
        <f>IF(H119=0,0,L119/H119)</f>
        <v>1.2929656014655009</v>
      </c>
      <c r="O119" s="28"/>
      <c r="P119" s="21">
        <f>+P56-P58+P117</f>
        <v>-18938.510000000009</v>
      </c>
      <c r="Q119" s="14"/>
      <c r="R119" s="20">
        <f>IF(P$12=0,0,P119/P$12)</f>
        <v>-8.1523475959271952E-2</v>
      </c>
      <c r="S119" s="14"/>
      <c r="T119" s="21">
        <f>+T56-T58+T117</f>
        <v>-21425.239999999962</v>
      </c>
      <c r="U119" s="14"/>
      <c r="V119" s="20">
        <f>IF(T$12=0,0,T119/T$12)</f>
        <v>-0.10274076687342926</v>
      </c>
      <c r="W119" s="15"/>
      <c r="X119" s="21">
        <f>+P119-T119</f>
        <v>2486.7299999999523</v>
      </c>
      <c r="Y119" s="15"/>
      <c r="Z119" s="20">
        <f>IF(T119=0,0,X119/T119)</f>
        <v>-0.11606544430773968</v>
      </c>
    </row>
    <row r="120" spans="1:26" x14ac:dyDescent="0.2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51"/>
      <c r="B121" s="10" t="s">
        <v>13</v>
      </c>
      <c r="C121" s="10"/>
      <c r="D121" s="4">
        <v>5024.1000000000004</v>
      </c>
      <c r="E121" s="4"/>
      <c r="F121" s="12">
        <f>IF(D$12=0,0,D121/D$12)</f>
        <v>0.13277570760326651</v>
      </c>
      <c r="G121" s="4"/>
      <c r="H121" s="4">
        <v>6576.53</v>
      </c>
      <c r="I121" s="4"/>
      <c r="J121" s="12">
        <f>IF(H$12=0,0,H121/H$12)</f>
        <v>0.15954152973344204</v>
      </c>
      <c r="K121" s="4"/>
      <c r="L121" s="4">
        <f>+D121-H121</f>
        <v>-1552.4299999999994</v>
      </c>
      <c r="M121" s="4"/>
      <c r="N121" s="12">
        <f>IF(H121=0,0,L121/H121)</f>
        <v>-0.23605609645208026</v>
      </c>
      <c r="O121" s="10"/>
      <c r="P121" s="4">
        <v>24599.79</v>
      </c>
      <c r="Q121" s="4"/>
      <c r="R121" s="12">
        <f>IF(P$12=0,0,P121/P$12)</f>
        <v>0.10589325077147768</v>
      </c>
      <c r="S121" s="4"/>
      <c r="T121" s="4">
        <v>21942.75</v>
      </c>
      <c r="U121" s="4"/>
      <c r="V121" s="12">
        <f>IF(T$12=0,0,T121/T$12)</f>
        <v>0.10522239014881252</v>
      </c>
      <c r="W121" s="4"/>
      <c r="X121" s="4">
        <f>+P121-T121</f>
        <v>2657.0400000000009</v>
      </c>
      <c r="Y121" s="4"/>
      <c r="Z121" s="12">
        <f>IF(T121=0,0,X121/T121)</f>
        <v>0.12108965375807502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9" t="s">
        <v>4</v>
      </c>
      <c r="C123" s="29"/>
      <c r="D123" s="31">
        <f>+D119-D121</f>
        <v>-16289.440000000015</v>
      </c>
      <c r="E123" s="14"/>
      <c r="F123" s="32">
        <f>IF(D$12=0,0,D123/D$12)</f>
        <v>-0.43049340627395066</v>
      </c>
      <c r="G123" s="14"/>
      <c r="H123" s="31">
        <f>+H119-H121</f>
        <v>-11489.530000000002</v>
      </c>
      <c r="I123" s="14"/>
      <c r="J123" s="32">
        <f>IF(H$12=0,0,H123/H$12)</f>
        <v>-0.27872710869079509</v>
      </c>
      <c r="K123" s="15"/>
      <c r="L123" s="31">
        <f>D123-H123</f>
        <v>-4799.9100000000126</v>
      </c>
      <c r="M123" s="15"/>
      <c r="N123" s="32">
        <f>IF(H123=0,0,L123/H123)</f>
        <v>0.41776382497804626</v>
      </c>
      <c r="O123" s="28"/>
      <c r="P123" s="31">
        <f>+P119-P121</f>
        <v>-43538.30000000001</v>
      </c>
      <c r="Q123" s="14"/>
      <c r="R123" s="32">
        <f>IF(P$12=0,0,P123/P$12)</f>
        <v>-0.18741672673074963</v>
      </c>
      <c r="S123" s="14"/>
      <c r="T123" s="31">
        <f>+T119-T121</f>
        <v>-43367.989999999962</v>
      </c>
      <c r="U123" s="14"/>
      <c r="V123" s="32">
        <f>IF(T$12=0,0,T123/T$12)</f>
        <v>-0.20796315702224177</v>
      </c>
      <c r="W123" s="15"/>
      <c r="X123" s="31">
        <f>P123-T123</f>
        <v>-170.3100000000486</v>
      </c>
      <c r="Y123" s="15"/>
      <c r="Z123" s="32">
        <f>IF(T123=0,0,X123/T123)</f>
        <v>3.9270900034806492E-3</v>
      </c>
    </row>
    <row r="124" spans="1:26" ht="15.75" thickTop="1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9" t="s">
        <v>5</v>
      </c>
      <c r="C126" s="29"/>
      <c r="D126" s="34">
        <f>SUM(D123:D125)</f>
        <v>-16289.440000000015</v>
      </c>
      <c r="E126" s="14"/>
      <c r="F126" s="30">
        <f>IF(D$12=0,0,D126/D$12)</f>
        <v>-0.43049340627395066</v>
      </c>
      <c r="G126" s="14"/>
      <c r="H126" s="34">
        <f>SUM(H123:H125)</f>
        <v>-11489.530000000002</v>
      </c>
      <c r="I126" s="14"/>
      <c r="J126" s="30">
        <f>IF(H$12=0,0,H126/H$12)</f>
        <v>-0.27872710869079509</v>
      </c>
      <c r="K126" s="15"/>
      <c r="L126" s="34">
        <f>+D126-H126</f>
        <v>-4799.9100000000126</v>
      </c>
      <c r="M126" s="15"/>
      <c r="N126" s="30">
        <f>IF(H126=0,0,L126/H126)</f>
        <v>0.41776382497804626</v>
      </c>
      <c r="O126" s="28"/>
      <c r="P126" s="34">
        <f>SUM(P123:P125)</f>
        <v>-43538.30000000001</v>
      </c>
      <c r="Q126" s="14"/>
      <c r="R126" s="30">
        <f>IF(P$12=0,0,P126/P$12)</f>
        <v>-0.18741672673074963</v>
      </c>
      <c r="S126" s="14"/>
      <c r="T126" s="34">
        <f>SUM(T123:T125)</f>
        <v>-43367.989999999962</v>
      </c>
      <c r="U126" s="14"/>
      <c r="V126" s="30">
        <f>IF(T$12=0,0,T126/T$12)</f>
        <v>-0.20796315702224177</v>
      </c>
      <c r="W126" s="15"/>
      <c r="X126" s="34">
        <f>+P126-T126</f>
        <v>-170.3100000000486</v>
      </c>
      <c r="Y126" s="15"/>
      <c r="Z126" s="30">
        <f>IF(T126=0,0,X126/T126)</f>
        <v>3.9270900034806492E-3</v>
      </c>
    </row>
    <row r="127" spans="1:26" ht="15.75" thickTop="1" x14ac:dyDescent="0.25">
      <c r="A127" s="9"/>
      <c r="C127" s="9"/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59">
        <v>43815.49195802083</v>
      </c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62" t="s">
        <v>313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61"/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303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41064.650000000009</v>
      </c>
      <c r="E12" s="4"/>
      <c r="F12" s="12"/>
      <c r="G12" s="4"/>
      <c r="H12" s="4">
        <f>SUM(OSRRefH13x_0)</f>
        <v>39118.810000000005</v>
      </c>
      <c r="I12" s="4"/>
      <c r="J12" s="12"/>
      <c r="K12" s="4"/>
      <c r="L12" s="4">
        <f t="shared" ref="L12:L28" si="0">+D12-H12</f>
        <v>1945.8400000000038</v>
      </c>
      <c r="M12" s="4"/>
      <c r="N12" s="12">
        <f t="shared" ref="N12:N28" si="1">IF(H12=0,0,L12/H12)</f>
        <v>4.9741799405452355E-2</v>
      </c>
      <c r="O12" s="10"/>
      <c r="P12" s="4">
        <f>SUM(OSRRefP13x_0)</f>
        <v>270556.36</v>
      </c>
      <c r="Q12" s="4"/>
      <c r="R12" s="12"/>
      <c r="S12" s="4"/>
      <c r="T12" s="4">
        <f>SUM(OSRRefT13x_0)</f>
        <v>277170.74</v>
      </c>
      <c r="U12" s="4"/>
      <c r="V12" s="12"/>
      <c r="W12" s="4"/>
      <c r="X12" s="4">
        <f t="shared" ref="X12:X28" si="2">+P12-T12</f>
        <v>-6614.3800000000047</v>
      </c>
      <c r="Y12" s="4"/>
      <c r="Z12" s="12">
        <f t="shared" ref="Z12:Z28" si="3">IF(T12=0,0,X12/T12)</f>
        <v>-2.3863918680593791E-2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--194.1</f>
        <v>194.1</v>
      </c>
      <c r="E13" s="2"/>
      <c r="F13" s="19"/>
      <c r="G13" s="2"/>
      <c r="H13" s="2">
        <f>--1429.1</f>
        <v>1429.1</v>
      </c>
      <c r="I13" s="2"/>
      <c r="J13" s="19"/>
      <c r="K13" s="2"/>
      <c r="L13" s="2">
        <f t="shared" si="0"/>
        <v>-1235</v>
      </c>
      <c r="M13" s="2"/>
      <c r="N13" s="19">
        <f t="shared" si="1"/>
        <v>-0.86418025330627668</v>
      </c>
      <c r="O13" s="11"/>
      <c r="P13" s="2">
        <f>--96968.35</f>
        <v>96968.35</v>
      </c>
      <c r="Q13" s="2"/>
      <c r="R13" s="19"/>
      <c r="S13" s="2"/>
      <c r="T13" s="2">
        <f>--109390.75</f>
        <v>109390.75</v>
      </c>
      <c r="U13" s="2"/>
      <c r="V13" s="19"/>
      <c r="W13" s="2"/>
      <c r="X13" s="2">
        <f t="shared" si="2"/>
        <v>-12422.399999999994</v>
      </c>
      <c r="Y13" s="2"/>
      <c r="Z13" s="19">
        <f t="shared" si="3"/>
        <v>-0.11355987594929182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--7977.42</f>
        <v>7977.42</v>
      </c>
      <c r="E14" s="2"/>
      <c r="F14" s="19"/>
      <c r="G14" s="2"/>
      <c r="H14" s="2">
        <f>--5587.91</f>
        <v>5587.91</v>
      </c>
      <c r="I14" s="2"/>
      <c r="J14" s="19"/>
      <c r="K14" s="2"/>
      <c r="L14" s="2">
        <f t="shared" si="0"/>
        <v>2389.5100000000002</v>
      </c>
      <c r="M14" s="2"/>
      <c r="N14" s="19">
        <f t="shared" si="1"/>
        <v>0.42762141838361756</v>
      </c>
      <c r="O14" s="11"/>
      <c r="P14" s="2">
        <f>--39895.64</f>
        <v>39895.64</v>
      </c>
      <c r="Q14" s="2"/>
      <c r="R14" s="19"/>
      <c r="S14" s="2"/>
      <c r="T14" s="2">
        <f>--33746.11</f>
        <v>33746.11</v>
      </c>
      <c r="U14" s="2"/>
      <c r="V14" s="19"/>
      <c r="W14" s="2"/>
      <c r="X14" s="2">
        <f t="shared" si="2"/>
        <v>6149.5299999999988</v>
      </c>
      <c r="Y14" s="2"/>
      <c r="Z14" s="19">
        <f t="shared" si="3"/>
        <v>0.18222929991041928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>--3.7</f>
        <v>3.7</v>
      </c>
      <c r="E15" s="2"/>
      <c r="F15" s="19"/>
      <c r="G15" s="2"/>
      <c r="H15" s="2">
        <f>--28.99</f>
        <v>28.99</v>
      </c>
      <c r="I15" s="2"/>
      <c r="J15" s="19"/>
      <c r="K15" s="2"/>
      <c r="L15" s="2">
        <f t="shared" si="0"/>
        <v>-25.29</v>
      </c>
      <c r="M15" s="2"/>
      <c r="N15" s="19">
        <f t="shared" si="1"/>
        <v>-0.87236978268368404</v>
      </c>
      <c r="O15" s="11"/>
      <c r="P15" s="2">
        <f>--101.98</f>
        <v>101.98</v>
      </c>
      <c r="Q15" s="2"/>
      <c r="R15" s="19"/>
      <c r="S15" s="2"/>
      <c r="T15" s="2">
        <f>--420.22</f>
        <v>420.22</v>
      </c>
      <c r="U15" s="2"/>
      <c r="V15" s="19"/>
      <c r="W15" s="2"/>
      <c r="X15" s="2">
        <f t="shared" si="2"/>
        <v>-318.24</v>
      </c>
      <c r="Y15" s="2"/>
      <c r="Z15" s="19">
        <f t="shared" si="3"/>
        <v>-0.75731759554519062</v>
      </c>
    </row>
    <row r="16" spans="1:26" s="24" customFormat="1" hidden="1" outlineLevel="1" x14ac:dyDescent="0.25">
      <c r="A16" s="44"/>
      <c r="B16" s="11" t="str">
        <f>CONCATENATE("          ", "4047", " - ", "TAXABLE SALES-MISC")</f>
        <v xml:space="preserve">          4047 - TAXABLE SALES-MISC</v>
      </c>
      <c r="C16" s="11"/>
      <c r="D16" s="2">
        <f>--304.55</f>
        <v>304.55</v>
      </c>
      <c r="E16" s="2"/>
      <c r="F16" s="19"/>
      <c r="G16" s="2"/>
      <c r="H16" s="2">
        <f>--427.56</f>
        <v>427.56</v>
      </c>
      <c r="I16" s="2"/>
      <c r="J16" s="19"/>
      <c r="K16" s="2"/>
      <c r="L16" s="2">
        <f t="shared" si="0"/>
        <v>-123.00999999999999</v>
      </c>
      <c r="M16" s="2"/>
      <c r="N16" s="19">
        <f t="shared" si="1"/>
        <v>-0.28770231078679015</v>
      </c>
      <c r="O16" s="11"/>
      <c r="P16" s="2">
        <f>--1678.55</f>
        <v>1678.55</v>
      </c>
      <c r="Q16" s="2"/>
      <c r="R16" s="19"/>
      <c r="S16" s="2"/>
      <c r="T16" s="2">
        <f>--1609.41</f>
        <v>1609.41</v>
      </c>
      <c r="U16" s="2"/>
      <c r="V16" s="19"/>
      <c r="W16" s="2"/>
      <c r="X16" s="2">
        <f t="shared" si="2"/>
        <v>69.139999999999873</v>
      </c>
      <c r="Y16" s="2"/>
      <c r="Z16" s="19">
        <f t="shared" si="3"/>
        <v>4.2959842426727728E-2</v>
      </c>
    </row>
    <row r="17" spans="1:26" s="24" customFormat="1" hidden="1" outlineLevel="1" x14ac:dyDescent="0.25">
      <c r="A17" s="44"/>
      <c r="B17" s="11" t="str">
        <f>CONCATENATE("          ", "4092", " - ", "TAXABLE SALES-GRAD MERCH")</f>
        <v xml:space="preserve">          4092 - TAXABLE SALES-GRAD MERCH</v>
      </c>
      <c r="C17" s="11"/>
      <c r="D17" s="2">
        <f>--2389.54</f>
        <v>2389.54</v>
      </c>
      <c r="E17" s="2"/>
      <c r="F17" s="19"/>
      <c r="G17" s="2"/>
      <c r="H17" s="2">
        <f>--2259.21</f>
        <v>2259.21</v>
      </c>
      <c r="I17" s="2"/>
      <c r="J17" s="19"/>
      <c r="K17" s="2"/>
      <c r="L17" s="2">
        <f t="shared" si="0"/>
        <v>130.32999999999993</v>
      </c>
      <c r="M17" s="2"/>
      <c r="N17" s="19">
        <f t="shared" si="1"/>
        <v>5.768830697456187E-2</v>
      </c>
      <c r="O17" s="11"/>
      <c r="P17" s="2">
        <f>--7480.57</f>
        <v>7480.57</v>
      </c>
      <c r="Q17" s="2"/>
      <c r="R17" s="19"/>
      <c r="S17" s="2"/>
      <c r="T17" s="2">
        <f>--6626.46</f>
        <v>6626.46</v>
      </c>
      <c r="U17" s="2"/>
      <c r="V17" s="19"/>
      <c r="W17" s="2"/>
      <c r="X17" s="2">
        <f t="shared" si="2"/>
        <v>854.10999999999967</v>
      </c>
      <c r="Y17" s="2"/>
      <c r="Z17" s="19">
        <f t="shared" si="3"/>
        <v>0.1288938588628015</v>
      </c>
    </row>
    <row r="18" spans="1:26" s="24" customFormat="1" hidden="1" outlineLevel="1" x14ac:dyDescent="0.25">
      <c r="A18" s="44"/>
      <c r="B18" s="11" t="str">
        <f>CONCATENATE("          ", "4095", " - ", "TAXABLE SALES-CUSTOMER SERVICE")</f>
        <v xml:space="preserve">          4095 - TAXABLE SALES-CUSTOMER SERVICE</v>
      </c>
      <c r="C18" s="11"/>
      <c r="D18" s="2">
        <f>--30.84</f>
        <v>30.84</v>
      </c>
      <c r="E18" s="2"/>
      <c r="F18" s="19"/>
      <c r="G18" s="2"/>
      <c r="H18" s="2">
        <f>--138.7</f>
        <v>138.69999999999999</v>
      </c>
      <c r="I18" s="2"/>
      <c r="J18" s="19"/>
      <c r="K18" s="2"/>
      <c r="L18" s="2">
        <f t="shared" si="0"/>
        <v>-107.85999999999999</v>
      </c>
      <c r="M18" s="2"/>
      <c r="N18" s="19">
        <f t="shared" si="1"/>
        <v>-0.77764960346070655</v>
      </c>
      <c r="O18" s="11"/>
      <c r="P18" s="2">
        <f>--248.72</f>
        <v>248.72</v>
      </c>
      <c r="Q18" s="2"/>
      <c r="R18" s="19"/>
      <c r="S18" s="2"/>
      <c r="T18" s="2">
        <f>--1225.76</f>
        <v>1225.76</v>
      </c>
      <c r="U18" s="2"/>
      <c r="V18" s="19"/>
      <c r="W18" s="2"/>
      <c r="X18" s="2">
        <f t="shared" si="2"/>
        <v>-977.04</v>
      </c>
      <c r="Y18" s="2"/>
      <c r="Z18" s="19">
        <f t="shared" si="3"/>
        <v>-0.79708915285210802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>0</f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--152.75</f>
        <v>152.75</v>
      </c>
      <c r="Q19" s="2"/>
      <c r="R19" s="19"/>
      <c r="S19" s="2"/>
      <c r="T19" s="2">
        <f>--1187.45</f>
        <v>1187.45</v>
      </c>
      <c r="U19" s="2"/>
      <c r="V19" s="19"/>
      <c r="W19" s="2"/>
      <c r="X19" s="2">
        <f t="shared" si="2"/>
        <v>-1034.7</v>
      </c>
      <c r="Y19" s="2"/>
      <c r="Z19" s="19">
        <f t="shared" si="3"/>
        <v>-0.87136300475809503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--1168.7</f>
        <v>1168.7</v>
      </c>
      <c r="E20" s="2"/>
      <c r="F20" s="19"/>
      <c r="G20" s="2"/>
      <c r="H20" s="2">
        <f>--1391</f>
        <v>1391</v>
      </c>
      <c r="I20" s="2"/>
      <c r="J20" s="19"/>
      <c r="K20" s="2"/>
      <c r="L20" s="2">
        <f t="shared" si="0"/>
        <v>-222.29999999999995</v>
      </c>
      <c r="M20" s="2"/>
      <c r="N20" s="19">
        <f t="shared" si="1"/>
        <v>-0.15981308411214951</v>
      </c>
      <c r="O20" s="11"/>
      <c r="P20" s="2">
        <f>--5517</f>
        <v>5517</v>
      </c>
      <c r="Q20" s="2"/>
      <c r="R20" s="19"/>
      <c r="S20" s="2"/>
      <c r="T20" s="2">
        <f>--5941.49</f>
        <v>5941.49</v>
      </c>
      <c r="U20" s="2"/>
      <c r="V20" s="19"/>
      <c r="W20" s="2"/>
      <c r="X20" s="2">
        <f t="shared" si="2"/>
        <v>-424.48999999999978</v>
      </c>
      <c r="Y20" s="2"/>
      <c r="Z20" s="19">
        <f t="shared" si="3"/>
        <v>-7.1445041563648143E-2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--28930.75</f>
        <v>28930.75</v>
      </c>
      <c r="E21" s="2"/>
      <c r="F21" s="19"/>
      <c r="G21" s="2"/>
      <c r="H21" s="2">
        <f>--27810.05</f>
        <v>27810.05</v>
      </c>
      <c r="I21" s="2"/>
      <c r="J21" s="19"/>
      <c r="K21" s="2"/>
      <c r="L21" s="2">
        <f t="shared" si="0"/>
        <v>1120.7000000000007</v>
      </c>
      <c r="M21" s="2"/>
      <c r="N21" s="19">
        <f t="shared" si="1"/>
        <v>4.0298381340558569E-2</v>
      </c>
      <c r="O21" s="11"/>
      <c r="P21" s="2">
        <f>--119341.05</f>
        <v>119341.05</v>
      </c>
      <c r="Q21" s="2"/>
      <c r="R21" s="19"/>
      <c r="S21" s="2"/>
      <c r="T21" s="2">
        <f>--118051.15</f>
        <v>118051.15</v>
      </c>
      <c r="U21" s="2"/>
      <c r="V21" s="19"/>
      <c r="W21" s="2"/>
      <c r="X21" s="2">
        <f t="shared" si="2"/>
        <v>1289.9000000000087</v>
      </c>
      <c r="Y21" s="2"/>
      <c r="Z21" s="19">
        <f t="shared" si="3"/>
        <v>1.0926619520436767E-2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--75</f>
        <v>75</v>
      </c>
      <c r="E22" s="2"/>
      <c r="F22" s="19"/>
      <c r="G22" s="2"/>
      <c r="H22" s="2">
        <f>--84</f>
        <v>84</v>
      </c>
      <c r="I22" s="2"/>
      <c r="J22" s="19"/>
      <c r="K22" s="2"/>
      <c r="L22" s="2">
        <f t="shared" si="0"/>
        <v>-9</v>
      </c>
      <c r="M22" s="2"/>
      <c r="N22" s="19">
        <f t="shared" si="1"/>
        <v>-0.10714285714285714</v>
      </c>
      <c r="O22" s="11"/>
      <c r="P22" s="2">
        <f>--249.9</f>
        <v>249.9</v>
      </c>
      <c r="Q22" s="2"/>
      <c r="R22" s="19"/>
      <c r="S22" s="2"/>
      <c r="T22" s="2">
        <f>--370</f>
        <v>370</v>
      </c>
      <c r="U22" s="2"/>
      <c r="V22" s="19"/>
      <c r="W22" s="2"/>
      <c r="X22" s="2">
        <f t="shared" si="2"/>
        <v>-120.1</v>
      </c>
      <c r="Y22" s="2"/>
      <c r="Z22" s="19">
        <f t="shared" si="3"/>
        <v>-0.32459459459459455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 t="shared" ref="D23:D24" si="4">0</f>
        <v>0</v>
      </c>
      <c r="E23" s="2"/>
      <c r="F23" s="19"/>
      <c r="G23" s="2"/>
      <c r="H23" s="2">
        <f t="shared" ref="H23:H24" si="5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-634.75</f>
        <v>-634.75</v>
      </c>
      <c r="Q23" s="2"/>
      <c r="R23" s="19"/>
      <c r="S23" s="2"/>
      <c r="T23" s="2">
        <f>-774.95</f>
        <v>-774.95</v>
      </c>
      <c r="U23" s="2"/>
      <c r="V23" s="19"/>
      <c r="W23" s="2"/>
      <c r="X23" s="2">
        <f t="shared" si="2"/>
        <v>140.20000000000005</v>
      </c>
      <c r="Y23" s="2"/>
      <c r="Z23" s="19">
        <f t="shared" si="3"/>
        <v>-0.18091489773533781</v>
      </c>
    </row>
    <row r="24" spans="1:26" s="24" customFormat="1" hidden="1" outlineLevel="1" x14ac:dyDescent="0.25">
      <c r="A24" s="44"/>
      <c r="B24" s="11" t="str">
        <f>CONCATENATE("          ", "4242", " - ", "SALES RETURN TAXABLE-EVERYDAY")</f>
        <v xml:space="preserve">          4242 - SALES RETURN TAXABLE-EVERYDAY</v>
      </c>
      <c r="C24" s="11"/>
      <c r="D24" s="2">
        <f t="shared" si="4"/>
        <v>0</v>
      </c>
      <c r="E24" s="2"/>
      <c r="F24" s="19"/>
      <c r="G24" s="2"/>
      <c r="H24" s="2">
        <f t="shared" si="5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-16.2</f>
        <v>-16.2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-16.2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"4292", " - ", "SALES RETURN TAXABLE-GRAD MERC")</f>
        <v xml:space="preserve">          4292 - SALES RETURN TAXABLE-GRAD MERC</v>
      </c>
      <c r="C25" s="11"/>
      <c r="D25" s="2">
        <f>-9.95</f>
        <v>-9.9499999999999993</v>
      </c>
      <c r="E25" s="2"/>
      <c r="F25" s="19"/>
      <c r="G25" s="2"/>
      <c r="H25" s="2">
        <f>-9.99</f>
        <v>-9.99</v>
      </c>
      <c r="I25" s="2"/>
      <c r="J25" s="19"/>
      <c r="K25" s="2"/>
      <c r="L25" s="2">
        <f t="shared" si="0"/>
        <v>4.0000000000000924E-2</v>
      </c>
      <c r="M25" s="2"/>
      <c r="N25" s="19">
        <f t="shared" si="1"/>
        <v>-4.0040040040040968E-3</v>
      </c>
      <c r="O25" s="11"/>
      <c r="P25" s="2">
        <f>-419.05</f>
        <v>-419.05</v>
      </c>
      <c r="Q25" s="2"/>
      <c r="R25" s="19"/>
      <c r="S25" s="2"/>
      <c r="T25" s="2">
        <f>-488.24</f>
        <v>-488.24</v>
      </c>
      <c r="U25" s="2"/>
      <c r="V25" s="19"/>
      <c r="W25" s="2"/>
      <c r="X25" s="2">
        <f t="shared" si="2"/>
        <v>69.19</v>
      </c>
      <c r="Y25" s="2"/>
      <c r="Z25" s="19">
        <f t="shared" si="3"/>
        <v>-0.14171309192200557</v>
      </c>
    </row>
    <row r="26" spans="1:26" s="24" customFormat="1" hidden="1" outlineLevel="1" x14ac:dyDescent="0.25">
      <c r="A26" s="44"/>
      <c r="B26" s="11" t="str">
        <f>CONCATENATE("          ", "4295", " - ", "SALES RETURN TAXABLE-CUSTOMER")</f>
        <v xml:space="preserve">          4295 - SALES RETURN TAXABLE-CUSTOMER</v>
      </c>
      <c r="C26" s="11"/>
      <c r="D26" s="2">
        <f t="shared" ref="D26:D28" si="6">0</f>
        <v>0</v>
      </c>
      <c r="E26" s="2"/>
      <c r="F26" s="19"/>
      <c r="G26" s="2"/>
      <c r="H26" s="2">
        <f>-27.72</f>
        <v>-27.72</v>
      </c>
      <c r="I26" s="2"/>
      <c r="J26" s="19"/>
      <c r="K26" s="2"/>
      <c r="L26" s="2">
        <f t="shared" si="0"/>
        <v>27.72</v>
      </c>
      <c r="M26" s="2"/>
      <c r="N26" s="19">
        <f t="shared" si="1"/>
        <v>-1</v>
      </c>
      <c r="O26" s="11"/>
      <c r="P26" s="2">
        <f t="shared" ref="P26:P27" si="7">0</f>
        <v>0</v>
      </c>
      <c r="Q26" s="2"/>
      <c r="R26" s="19"/>
      <c r="S26" s="2"/>
      <c r="T26" s="2">
        <f>-126.72</f>
        <v>-126.72</v>
      </c>
      <c r="U26" s="2"/>
      <c r="V26" s="19"/>
      <c r="W26" s="2"/>
      <c r="X26" s="2">
        <f t="shared" si="2"/>
        <v>126.72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"4341", " - ", "SALES RETURN NON TAXABLE-LOGO")</f>
        <v xml:space="preserve">          4341 - SALES RETURN NON TAXABLE-LOGO</v>
      </c>
      <c r="C27" s="11"/>
      <c r="D27" s="2">
        <f t="shared" si="6"/>
        <v>0</v>
      </c>
      <c r="E27" s="2"/>
      <c r="F27" s="19"/>
      <c r="G27" s="2"/>
      <c r="H27" s="2">
        <f t="shared" ref="H27:H28" si="8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7"/>
        <v>0</v>
      </c>
      <c r="Q27" s="2"/>
      <c r="R27" s="19"/>
      <c r="S27" s="2"/>
      <c r="T27" s="2">
        <f>-8.15</f>
        <v>-8.15</v>
      </c>
      <c r="U27" s="2"/>
      <c r="V27" s="19"/>
      <c r="W27" s="2"/>
      <c r="X27" s="2">
        <f t="shared" si="2"/>
        <v>8.15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"4346", " - ", "SALES RETURN NON TAXABLE-COIN-")</f>
        <v xml:space="preserve">          4346 - SALES RETURN NON TAXABLE-COIN-</v>
      </c>
      <c r="C28" s="11"/>
      <c r="D28" s="2">
        <f t="shared" si="6"/>
        <v>0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-8.15</f>
        <v>-8.15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-8.15</v>
      </c>
      <c r="Y28" s="2"/>
      <c r="Z28" s="19">
        <f t="shared" si="3"/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25">
      <c r="A30" s="10"/>
      <c r="B30" s="28" t="s">
        <v>8</v>
      </c>
      <c r="C30" s="10"/>
      <c r="D30" s="4">
        <f>SUM(OSRRefD16x_0)</f>
        <v>1226</v>
      </c>
      <c r="E30" s="4"/>
      <c r="F30" s="12">
        <f t="shared" ref="F30:F35" si="9">IF(D$12=0,0,D30/D$12)</f>
        <v>2.9855362215433463E-2</v>
      </c>
      <c r="G30" s="4"/>
      <c r="H30" s="4">
        <f>SUM(OSRRefH16x_0)</f>
        <v>905</v>
      </c>
      <c r="I30" s="4"/>
      <c r="J30" s="12">
        <f t="shared" ref="J30:J35" si="10">IF(H$12=0,0,H30/H$12)</f>
        <v>2.3134650568358287E-2</v>
      </c>
      <c r="K30" s="4"/>
      <c r="L30" s="4">
        <f t="shared" ref="L30:L35" si="11">+D30-H30</f>
        <v>321</v>
      </c>
      <c r="M30" s="4"/>
      <c r="N30" s="12">
        <f t="shared" ref="N30:N35" si="12">IF(H30=0,0,L30/H30)</f>
        <v>0.35469613259668509</v>
      </c>
      <c r="O30" s="10"/>
      <c r="P30" s="4">
        <f>SUM(OSRRefP16x_0)</f>
        <v>3688.1200000000003</v>
      </c>
      <c r="Q30" s="4"/>
      <c r="R30" s="12">
        <f t="shared" ref="R30:R35" si="13">IF(P$12=0,0,P30/P$12)</f>
        <v>1.3631614499840256E-2</v>
      </c>
      <c r="S30" s="4"/>
      <c r="T30" s="4">
        <f>SUM(OSRRefT16x_0)</f>
        <v>2510.5400000000004</v>
      </c>
      <c r="U30" s="4"/>
      <c r="V30" s="12">
        <f t="shared" ref="V30:V35" si="14">IF(T$12=0,0,T30/T$12)</f>
        <v>9.057738201370031E-3</v>
      </c>
      <c r="W30" s="4"/>
      <c r="X30" s="4">
        <f t="shared" ref="X30:X35" si="15">+P30-T30</f>
        <v>1177.58</v>
      </c>
      <c r="Y30" s="4"/>
      <c r="Z30" s="12">
        <f t="shared" ref="Z30:Z35" si="16">IF(T30=0,0,X30/T30)</f>
        <v>0.46905446636978487</v>
      </c>
    </row>
    <row r="31" spans="1:26" s="24" customFormat="1" hidden="1" outlineLevel="1" x14ac:dyDescent="0.25">
      <c r="A31" s="44"/>
      <c r="B31" s="11" t="str">
        <f>CONCATENATE("          ", "5092", " - ", "PURCHASES @ COST-GRAD MERCH")</f>
        <v xml:space="preserve">          5092 - PURCHASES @ COST-GRAD MERCH</v>
      </c>
      <c r="C31" s="11"/>
      <c r="D31" s="2">
        <v>628</v>
      </c>
      <c r="E31" s="2"/>
      <c r="F31" s="19">
        <f t="shared" si="9"/>
        <v>1.5292958785719587E-2</v>
      </c>
      <c r="G31" s="2"/>
      <c r="H31" s="2"/>
      <c r="I31" s="2"/>
      <c r="J31" s="19">
        <f t="shared" si="10"/>
        <v>0</v>
      </c>
      <c r="K31" s="2"/>
      <c r="L31" s="2">
        <f t="shared" si="11"/>
        <v>628</v>
      </c>
      <c r="M31" s="2"/>
      <c r="N31" s="19">
        <f t="shared" si="12"/>
        <v>0</v>
      </c>
      <c r="O31" s="11"/>
      <c r="P31" s="2">
        <v>1984.49</v>
      </c>
      <c r="Q31" s="2"/>
      <c r="R31" s="19">
        <f t="shared" si="13"/>
        <v>7.3348488278006108E-3</v>
      </c>
      <c r="S31" s="2"/>
      <c r="T31" s="2">
        <v>-2698.04</v>
      </c>
      <c r="U31" s="2"/>
      <c r="V31" s="19">
        <f t="shared" si="14"/>
        <v>-9.7342165338231597E-3</v>
      </c>
      <c r="W31" s="2"/>
      <c r="X31" s="2">
        <f t="shared" si="15"/>
        <v>4682.53</v>
      </c>
      <c r="Y31" s="2"/>
      <c r="Z31" s="19">
        <f t="shared" si="16"/>
        <v>-1.735530236764466</v>
      </c>
    </row>
    <row r="32" spans="1:26" s="24" customFormat="1" hidden="1" outlineLevel="1" x14ac:dyDescent="0.25">
      <c r="A32" s="44"/>
      <c r="B32" s="11" t="str">
        <f>CONCATENATE("          ", "5095", " - ", "PURCHASES @ COST-CUSTOMER SERV")</f>
        <v xml:space="preserve">          5095 - PURCHASES @ COST-CUSTOMER SERV</v>
      </c>
      <c r="C32" s="11"/>
      <c r="D32" s="2"/>
      <c r="E32" s="2"/>
      <c r="F32" s="19">
        <f t="shared" si="9"/>
        <v>0</v>
      </c>
      <c r="G32" s="2"/>
      <c r="H32" s="2"/>
      <c r="I32" s="2"/>
      <c r="J32" s="19">
        <f t="shared" si="10"/>
        <v>0</v>
      </c>
      <c r="K32" s="2"/>
      <c r="L32" s="2">
        <f t="shared" si="11"/>
        <v>0</v>
      </c>
      <c r="M32" s="2"/>
      <c r="N32" s="19">
        <f t="shared" si="12"/>
        <v>0</v>
      </c>
      <c r="O32" s="11"/>
      <c r="P32" s="2">
        <v>11.85</v>
      </c>
      <c r="Q32" s="2"/>
      <c r="R32" s="19">
        <f t="shared" si="13"/>
        <v>4.3798637740395388E-5</v>
      </c>
      <c r="S32" s="2"/>
      <c r="T32" s="2">
        <v>-54.72</v>
      </c>
      <c r="U32" s="2"/>
      <c r="V32" s="19">
        <f t="shared" si="14"/>
        <v>-1.974234365431214E-4</v>
      </c>
      <c r="W32" s="2"/>
      <c r="X32" s="2">
        <f t="shared" si="15"/>
        <v>66.569999999999993</v>
      </c>
      <c r="Y32" s="2"/>
      <c r="Z32" s="19">
        <f t="shared" si="16"/>
        <v>-1.2165570175438596</v>
      </c>
    </row>
    <row r="33" spans="1:26" s="24" customFormat="1" hidden="1" outlineLevel="1" x14ac:dyDescent="0.25">
      <c r="A33" s="44"/>
      <c r="B33" s="11" t="str">
        <f>CONCATENATE("          ", "5200", " - ", "PURCHASES OFFSET")</f>
        <v xml:space="preserve">          5200 - PURCHASES OFFSET</v>
      </c>
      <c r="C33" s="11"/>
      <c r="D33" s="2">
        <v>-663</v>
      </c>
      <c r="E33" s="2"/>
      <c r="F33" s="19">
        <f t="shared" si="9"/>
        <v>-1.6145273367726254E-2</v>
      </c>
      <c r="G33" s="2"/>
      <c r="H33" s="2"/>
      <c r="I33" s="2"/>
      <c r="J33" s="19">
        <f t="shared" si="10"/>
        <v>0</v>
      </c>
      <c r="K33" s="2"/>
      <c r="L33" s="2">
        <f t="shared" si="11"/>
        <v>-663</v>
      </c>
      <c r="M33" s="2"/>
      <c r="N33" s="19">
        <f t="shared" si="12"/>
        <v>0</v>
      </c>
      <c r="O33" s="11"/>
      <c r="P33" s="2">
        <v>-2103</v>
      </c>
      <c r="Q33" s="2"/>
      <c r="R33" s="19">
        <f t="shared" si="13"/>
        <v>-7.7728721660802955E-3</v>
      </c>
      <c r="S33" s="2"/>
      <c r="T33" s="2">
        <v>2640</v>
      </c>
      <c r="U33" s="2"/>
      <c r="V33" s="19">
        <f t="shared" si="14"/>
        <v>9.5248149209400685E-3</v>
      </c>
      <c r="W33" s="2"/>
      <c r="X33" s="2">
        <f t="shared" si="15"/>
        <v>-4743</v>
      </c>
      <c r="Y33" s="2"/>
      <c r="Z33" s="19">
        <f t="shared" si="16"/>
        <v>-1.7965909090909091</v>
      </c>
    </row>
    <row r="34" spans="1:26" s="24" customFormat="1" hidden="1" outlineLevel="1" x14ac:dyDescent="0.25">
      <c r="A34" s="44"/>
      <c r="B34" s="11" t="str">
        <f>CONCATENATE("          ", "5300", " - ", "COG$ OFFSET")</f>
        <v xml:space="preserve">          5300 - COG$ OFFSET</v>
      </c>
      <c r="C34" s="11"/>
      <c r="D34" s="2">
        <v>1226</v>
      </c>
      <c r="E34" s="2"/>
      <c r="F34" s="19">
        <f t="shared" si="9"/>
        <v>2.9855362215433463E-2</v>
      </c>
      <c r="G34" s="2"/>
      <c r="H34" s="2">
        <v>905</v>
      </c>
      <c r="I34" s="2"/>
      <c r="J34" s="19">
        <f t="shared" si="10"/>
        <v>2.3134650568358287E-2</v>
      </c>
      <c r="K34" s="2"/>
      <c r="L34" s="2">
        <f t="shared" si="11"/>
        <v>321</v>
      </c>
      <c r="M34" s="2"/>
      <c r="N34" s="19">
        <f t="shared" si="12"/>
        <v>0.35469613259668509</v>
      </c>
      <c r="O34" s="11"/>
      <c r="P34" s="2">
        <v>3689</v>
      </c>
      <c r="Q34" s="2"/>
      <c r="R34" s="19">
        <f t="shared" si="13"/>
        <v>1.3634867056904521E-2</v>
      </c>
      <c r="S34" s="2"/>
      <c r="T34" s="2">
        <v>2509</v>
      </c>
      <c r="U34" s="2"/>
      <c r="V34" s="19">
        <f t="shared" si="14"/>
        <v>9.0521820593328136E-3</v>
      </c>
      <c r="W34" s="2"/>
      <c r="X34" s="2">
        <f t="shared" si="15"/>
        <v>1180</v>
      </c>
      <c r="Y34" s="2"/>
      <c r="Z34" s="19">
        <f t="shared" si="16"/>
        <v>0.47030689517736152</v>
      </c>
    </row>
    <row r="35" spans="1:26" s="24" customFormat="1" hidden="1" outlineLevel="1" x14ac:dyDescent="0.25">
      <c r="A35" s="44"/>
      <c r="B35" s="11" t="str">
        <f>CONCATENATE("          ", "5592", " - ", "FREIGHT-IN-GRAD MERCH")</f>
        <v xml:space="preserve">          5592 - FREIGHT-IN-GRAD MERCH</v>
      </c>
      <c r="C35" s="11"/>
      <c r="D35" s="2">
        <v>35</v>
      </c>
      <c r="E35" s="2"/>
      <c r="F35" s="19">
        <f t="shared" si="9"/>
        <v>8.5231458200666493E-4</v>
      </c>
      <c r="G35" s="2"/>
      <c r="H35" s="2"/>
      <c r="I35" s="2"/>
      <c r="J35" s="19">
        <f t="shared" si="10"/>
        <v>0</v>
      </c>
      <c r="K35" s="2"/>
      <c r="L35" s="2">
        <f t="shared" si="11"/>
        <v>35</v>
      </c>
      <c r="M35" s="2"/>
      <c r="N35" s="19">
        <f t="shared" si="12"/>
        <v>0</v>
      </c>
      <c r="O35" s="11"/>
      <c r="P35" s="2">
        <v>105.78</v>
      </c>
      <c r="Q35" s="2"/>
      <c r="R35" s="19">
        <f t="shared" si="13"/>
        <v>3.909721434750231E-4</v>
      </c>
      <c r="S35" s="2"/>
      <c r="T35" s="2">
        <v>114.3</v>
      </c>
      <c r="U35" s="2"/>
      <c r="V35" s="19">
        <f t="shared" si="14"/>
        <v>4.1238119146342792E-4</v>
      </c>
      <c r="W35" s="2"/>
      <c r="X35" s="2">
        <f t="shared" si="15"/>
        <v>-8.519999999999996</v>
      </c>
      <c r="Y35" s="2"/>
      <c r="Z35" s="19">
        <f t="shared" si="16"/>
        <v>-7.4540682414698134E-2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9" t="s">
        <v>6</v>
      </c>
      <c r="C37" s="29"/>
      <c r="D37" s="21">
        <f>D12-D30</f>
        <v>39838.650000000009</v>
      </c>
      <c r="E37" s="14"/>
      <c r="F37" s="20">
        <f>IF(D$12=0,0,D37/D$12)</f>
        <v>0.9701446377845665</v>
      </c>
      <c r="G37" s="14"/>
      <c r="H37" s="21">
        <f>H12-H30</f>
        <v>38213.810000000005</v>
      </c>
      <c r="I37" s="14"/>
      <c r="J37" s="20">
        <f>IF(H$12=0,0,H37/H$12)</f>
        <v>0.97686534943164172</v>
      </c>
      <c r="K37" s="15"/>
      <c r="L37" s="21">
        <f>+D37-H37</f>
        <v>1624.8400000000038</v>
      </c>
      <c r="M37" s="15"/>
      <c r="N37" s="20">
        <f>IF(H37=0,0,L37/H37)</f>
        <v>4.2519706880837151E-2</v>
      </c>
      <c r="O37" s="28"/>
      <c r="P37" s="21">
        <f>P12-P30</f>
        <v>266868.24</v>
      </c>
      <c r="Q37" s="14"/>
      <c r="R37" s="20">
        <f>IF(P$12=0,0,P37/P$12)</f>
        <v>0.98636838550015982</v>
      </c>
      <c r="S37" s="14"/>
      <c r="T37" s="21">
        <f>T12-T30</f>
        <v>274660.2</v>
      </c>
      <c r="U37" s="14"/>
      <c r="V37" s="20">
        <f>IF(T$12=0,0,T37/T$12)</f>
        <v>0.9909422617986301</v>
      </c>
      <c r="W37" s="15"/>
      <c r="X37" s="21">
        <f>+P37-T37</f>
        <v>-7791.960000000021</v>
      </c>
      <c r="Y37" s="15"/>
      <c r="Z37" s="20">
        <f>IF(T37=0,0,X37/T37)</f>
        <v>-2.8369454329385986E-2</v>
      </c>
    </row>
    <row r="38" spans="1:26" x14ac:dyDescent="0.25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7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8" t="s">
        <v>9</v>
      </c>
      <c r="C39" s="10"/>
      <c r="D39" s="22">
        <f>SUM(OSRRefD22x_0)</f>
        <v>50305.890000000007</v>
      </c>
      <c r="E39" s="22"/>
      <c r="F39" s="33">
        <f t="shared" ref="F39:F48" si="17">IF(D$12=0,0,D39/D$12)</f>
        <v>1.2250412459378077</v>
      </c>
      <c r="G39" s="22"/>
      <c r="H39" s="22">
        <f>SUM(OSRRefH22x_0)</f>
        <v>65146.7</v>
      </c>
      <c r="I39" s="22"/>
      <c r="J39" s="33">
        <f t="shared" ref="J39:J48" si="18">IF(H$12=0,0,H39/H$12)</f>
        <v>1.665354851029466</v>
      </c>
      <c r="K39" s="4"/>
      <c r="L39" s="22">
        <f t="shared" ref="L39:L48" si="19">+D39-H39</f>
        <v>-14840.80999999999</v>
      </c>
      <c r="M39" s="4"/>
      <c r="N39" s="33">
        <f t="shared" ref="N39:N48" si="20">IF(H39=0,0,L39/H39)</f>
        <v>-0.2278060131979055</v>
      </c>
      <c r="O39" s="10"/>
      <c r="P39" s="22">
        <f>SUM(OSRRefP22x_0)</f>
        <v>227017.93</v>
      </c>
      <c r="Q39" s="22"/>
      <c r="R39" s="33">
        <f t="shared" ref="R39:R48" si="21">IF(P$12=0,0,P39/P$12)</f>
        <v>0.83907814992780061</v>
      </c>
      <c r="S39" s="22"/>
      <c r="T39" s="22">
        <f>SUM(OSRRefT22x_0)</f>
        <v>256243.41</v>
      </c>
      <c r="U39" s="22"/>
      <c r="V39" s="33">
        <f t="shared" ref="V39:V48" si="22">IF(T$12=0,0,T39/T$12)</f>
        <v>0.9244966117274861</v>
      </c>
      <c r="W39" s="4"/>
      <c r="X39" s="22">
        <f t="shared" ref="X39:X48" si="23">+P39-T39</f>
        <v>-29225.48000000001</v>
      </c>
      <c r="Y39" s="4"/>
      <c r="Z39" s="33">
        <f t="shared" ref="Z39:Z48" si="24">IF(T39=0,0,X39/T39)</f>
        <v>-0.11405358678297331</v>
      </c>
    </row>
    <row r="40" spans="1:26" s="25" customFormat="1" outlineLevel="1" collapsed="1" x14ac:dyDescent="0.25">
      <c r="A40" s="27"/>
      <c r="B40" s="13" t="str">
        <f>CONCATENATE("     ","*Benefits                                         ")</f>
        <v xml:space="preserve">     *Benefits                                         </v>
      </c>
      <c r="C40" s="13"/>
      <c r="D40" s="1">
        <f>SUM(OSRRefD22_0x_0)</f>
        <v>7441.55</v>
      </c>
      <c r="E40" s="1"/>
      <c r="F40" s="5">
        <f t="shared" si="17"/>
        <v>0.18121547364947707</v>
      </c>
      <c r="G40" s="1"/>
      <c r="H40" s="1">
        <f>SUM(OSRRefH22_0x_0)</f>
        <v>6968.36</v>
      </c>
      <c r="I40" s="1"/>
      <c r="J40" s="5">
        <f t="shared" si="18"/>
        <v>0.1781332305353869</v>
      </c>
      <c r="K40" s="1"/>
      <c r="L40" s="1">
        <f t="shared" si="19"/>
        <v>473.19000000000051</v>
      </c>
      <c r="M40" s="1"/>
      <c r="N40" s="5">
        <f t="shared" si="20"/>
        <v>6.790550430804386E-2</v>
      </c>
      <c r="O40" s="13"/>
      <c r="P40" s="1">
        <f>SUM(OSRRefP22_0x_0)</f>
        <v>40563.9</v>
      </c>
      <c r="Q40" s="1"/>
      <c r="R40" s="5">
        <f t="shared" si="21"/>
        <v>0.149927726703597</v>
      </c>
      <c r="S40" s="1"/>
      <c r="T40" s="1">
        <f>SUM(OSRRefT22_0x_0)</f>
        <v>37166.19</v>
      </c>
      <c r="U40" s="1"/>
      <c r="V40" s="5">
        <f t="shared" si="22"/>
        <v>0.13409131858579301</v>
      </c>
      <c r="W40" s="1"/>
      <c r="X40" s="1">
        <f t="shared" si="23"/>
        <v>3397.7099999999991</v>
      </c>
      <c r="Y40" s="1"/>
      <c r="Z40" s="5">
        <f t="shared" si="24"/>
        <v>9.1419378741808055E-2</v>
      </c>
    </row>
    <row r="41" spans="1:26" s="24" customFormat="1" hidden="1" outlineLevel="2" x14ac:dyDescent="0.25">
      <c r="A41" s="26"/>
      <c r="B41" s="11" t="str">
        <f>CONCATENATE("          ", "6111", " - ", "F.I.C.A.")</f>
        <v xml:space="preserve">          6111 - F.I.C.A.</v>
      </c>
      <c r="C41" s="11"/>
      <c r="D41" s="6">
        <v>1059.4000000000001</v>
      </c>
      <c r="E41" s="2"/>
      <c r="F41" s="7">
        <f t="shared" si="17"/>
        <v>2.5798344805081738E-2</v>
      </c>
      <c r="G41" s="2"/>
      <c r="H41" s="6">
        <v>988.19</v>
      </c>
      <c r="I41" s="2"/>
      <c r="J41" s="7">
        <f t="shared" si="18"/>
        <v>2.5261249000161301E-2</v>
      </c>
      <c r="K41" s="2"/>
      <c r="L41" s="6">
        <f t="shared" si="19"/>
        <v>71.210000000000036</v>
      </c>
      <c r="M41" s="2"/>
      <c r="N41" s="7">
        <f t="shared" si="20"/>
        <v>7.2061040892945724E-2</v>
      </c>
      <c r="O41" s="11"/>
      <c r="P41" s="6">
        <v>6962.43</v>
      </c>
      <c r="Q41" s="2"/>
      <c r="R41" s="7">
        <f t="shared" si="21"/>
        <v>2.5733751001085322E-2</v>
      </c>
      <c r="S41" s="2"/>
      <c r="T41" s="6">
        <v>6598.02</v>
      </c>
      <c r="U41" s="2"/>
      <c r="V41" s="7">
        <f t="shared" si="22"/>
        <v>2.3804893691159467E-2</v>
      </c>
      <c r="W41" s="2"/>
      <c r="X41" s="6">
        <f t="shared" si="23"/>
        <v>364.40999999999985</v>
      </c>
      <c r="Y41" s="2"/>
      <c r="Z41" s="7">
        <f t="shared" si="24"/>
        <v>5.5230205425263919E-2</v>
      </c>
    </row>
    <row r="42" spans="1:26" s="24" customFormat="1" hidden="1" outlineLevel="2" x14ac:dyDescent="0.25">
      <c r="A42" s="26"/>
      <c r="B42" s="11" t="str">
        <f>CONCATENATE("          ", "6112", " - ", "COMPENSATION INSURANCE")</f>
        <v xml:space="preserve">          6112 - COMPENSATION INSURANCE</v>
      </c>
      <c r="C42" s="11"/>
      <c r="D42" s="6">
        <v>235.76</v>
      </c>
      <c r="E42" s="2"/>
      <c r="F42" s="7">
        <f t="shared" si="17"/>
        <v>5.7411910243968948E-3</v>
      </c>
      <c r="G42" s="2"/>
      <c r="H42" s="6">
        <v>191.01</v>
      </c>
      <c r="I42" s="2"/>
      <c r="J42" s="7">
        <f t="shared" si="18"/>
        <v>4.8828172431625598E-3</v>
      </c>
      <c r="K42" s="2"/>
      <c r="L42" s="6">
        <f t="shared" si="19"/>
        <v>44.75</v>
      </c>
      <c r="M42" s="2"/>
      <c r="N42" s="7">
        <f t="shared" si="20"/>
        <v>0.23428092770012043</v>
      </c>
      <c r="O42" s="11"/>
      <c r="P42" s="6">
        <v>913.96</v>
      </c>
      <c r="Q42" s="2"/>
      <c r="R42" s="7">
        <f t="shared" si="21"/>
        <v>3.3780761982457187E-3</v>
      </c>
      <c r="S42" s="2"/>
      <c r="T42" s="6">
        <v>1121.94</v>
      </c>
      <c r="U42" s="2"/>
      <c r="V42" s="7">
        <f t="shared" si="22"/>
        <v>4.0478298683331443E-3</v>
      </c>
      <c r="W42" s="2"/>
      <c r="X42" s="6">
        <f t="shared" si="23"/>
        <v>-207.98000000000002</v>
      </c>
      <c r="Y42" s="2"/>
      <c r="Z42" s="7">
        <f t="shared" si="24"/>
        <v>-0.18537533201418971</v>
      </c>
    </row>
    <row r="43" spans="1:26" s="24" customFormat="1" hidden="1" outlineLevel="2" x14ac:dyDescent="0.25">
      <c r="A43" s="26"/>
      <c r="B43" s="11" t="str">
        <f>CONCATENATE("          ", "6113", " - ", "GROUP INSURANCE")</f>
        <v xml:space="preserve">          6113 - GROUP INSURANCE</v>
      </c>
      <c r="C43" s="11"/>
      <c r="D43" s="6">
        <v>3051.28</v>
      </c>
      <c r="E43" s="2"/>
      <c r="F43" s="7">
        <f t="shared" si="17"/>
        <v>7.4304298222437046E-2</v>
      </c>
      <c r="G43" s="2"/>
      <c r="H43" s="6">
        <v>2888.63</v>
      </c>
      <c r="I43" s="2"/>
      <c r="J43" s="7">
        <f t="shared" si="18"/>
        <v>7.3842481404725754E-2</v>
      </c>
      <c r="K43" s="2"/>
      <c r="L43" s="6">
        <f t="shared" si="19"/>
        <v>162.65000000000009</v>
      </c>
      <c r="M43" s="2"/>
      <c r="N43" s="7">
        <f t="shared" si="20"/>
        <v>5.6306969047610837E-2</v>
      </c>
      <c r="O43" s="11"/>
      <c r="P43" s="6">
        <v>14637.42</v>
      </c>
      <c r="Q43" s="2"/>
      <c r="R43" s="7">
        <f t="shared" si="21"/>
        <v>5.410118616320829E-2</v>
      </c>
      <c r="S43" s="2"/>
      <c r="T43" s="6">
        <v>12083.37</v>
      </c>
      <c r="U43" s="2"/>
      <c r="V43" s="7">
        <f t="shared" si="22"/>
        <v>4.3595402602742271E-2</v>
      </c>
      <c r="W43" s="2"/>
      <c r="X43" s="6">
        <f t="shared" si="23"/>
        <v>2554.0499999999993</v>
      </c>
      <c r="Y43" s="2"/>
      <c r="Z43" s="7">
        <f t="shared" si="24"/>
        <v>0.21136901377678571</v>
      </c>
    </row>
    <row r="44" spans="1:26" s="24" customFormat="1" hidden="1" outlineLevel="2" x14ac:dyDescent="0.25">
      <c r="A44" s="26"/>
      <c r="B44" s="11" t="str">
        <f>CONCATENATE("          ", "6114", " - ", "STATE UNEMPLOYMENT INSURANCE")</f>
        <v xml:space="preserve">          6114 - STATE UNEMPLOYMENT INSURANCE</v>
      </c>
      <c r="C44" s="11"/>
      <c r="D44" s="6">
        <v>45.79</v>
      </c>
      <c r="E44" s="2"/>
      <c r="F44" s="7">
        <f t="shared" si="17"/>
        <v>1.1150709917167195E-3</v>
      </c>
      <c r="G44" s="2"/>
      <c r="H44" s="6">
        <v>41.73</v>
      </c>
      <c r="I44" s="2"/>
      <c r="J44" s="7">
        <f t="shared" si="18"/>
        <v>1.0667502411244104E-3</v>
      </c>
      <c r="K44" s="2"/>
      <c r="L44" s="6">
        <f t="shared" si="19"/>
        <v>4.0600000000000023</v>
      </c>
      <c r="M44" s="2"/>
      <c r="N44" s="7">
        <f t="shared" si="20"/>
        <v>9.7292115983704824E-2</v>
      </c>
      <c r="O44" s="11"/>
      <c r="P44" s="6">
        <v>253.12</v>
      </c>
      <c r="Q44" s="2"/>
      <c r="R44" s="7">
        <f t="shared" si="21"/>
        <v>9.3555368648513761E-4</v>
      </c>
      <c r="S44" s="2"/>
      <c r="T44" s="6">
        <v>245.13</v>
      </c>
      <c r="U44" s="2"/>
      <c r="V44" s="7">
        <f t="shared" si="22"/>
        <v>8.8440071271592374E-4</v>
      </c>
      <c r="W44" s="2"/>
      <c r="X44" s="6">
        <f t="shared" si="23"/>
        <v>7.9900000000000091</v>
      </c>
      <c r="Y44" s="2"/>
      <c r="Z44" s="7">
        <f t="shared" si="24"/>
        <v>3.2594949618569777E-2</v>
      </c>
    </row>
    <row r="45" spans="1:26" s="24" customFormat="1" hidden="1" outlineLevel="2" x14ac:dyDescent="0.25">
      <c r="A45" s="26"/>
      <c r="B45" s="11" t="str">
        <f>CONCATENATE("          ", "6115", " - ", "P.E.R.S.")</f>
        <v xml:space="preserve">          6115 - P.E.R.S.</v>
      </c>
      <c r="C45" s="11"/>
      <c r="D45" s="6">
        <v>1187.75</v>
      </c>
      <c r="E45" s="2"/>
      <c r="F45" s="7">
        <f t="shared" si="17"/>
        <v>2.892390413652618E-2</v>
      </c>
      <c r="G45" s="2"/>
      <c r="H45" s="6">
        <v>1047.29</v>
      </c>
      <c r="I45" s="2"/>
      <c r="J45" s="7">
        <f t="shared" si="18"/>
        <v>2.6772031153299392E-2</v>
      </c>
      <c r="K45" s="2"/>
      <c r="L45" s="6">
        <f t="shared" si="19"/>
        <v>140.46000000000004</v>
      </c>
      <c r="M45" s="2"/>
      <c r="N45" s="7">
        <f t="shared" si="20"/>
        <v>0.13411757965797444</v>
      </c>
      <c r="O45" s="11"/>
      <c r="P45" s="6">
        <v>6767.78</v>
      </c>
      <c r="Q45" s="2"/>
      <c r="R45" s="7">
        <f t="shared" si="21"/>
        <v>2.5014307554995195E-2</v>
      </c>
      <c r="S45" s="2"/>
      <c r="T45" s="6">
        <v>6599.02</v>
      </c>
      <c r="U45" s="2"/>
      <c r="V45" s="7">
        <f t="shared" si="22"/>
        <v>2.3808501575599217E-2</v>
      </c>
      <c r="W45" s="2"/>
      <c r="X45" s="6">
        <f t="shared" si="23"/>
        <v>168.75999999999931</v>
      </c>
      <c r="Y45" s="2"/>
      <c r="Z45" s="7">
        <f t="shared" si="24"/>
        <v>2.5573494246115224E-2</v>
      </c>
    </row>
    <row r="46" spans="1:26" s="24" customFormat="1" hidden="1" outlineLevel="2" x14ac:dyDescent="0.25">
      <c r="A46" s="26"/>
      <c r="B46" s="11" t="str">
        <f>CONCATENATE("          ", "6118", " - ", "VACATION")</f>
        <v xml:space="preserve">          6118 - VACATION</v>
      </c>
      <c r="C46" s="11"/>
      <c r="D46" s="6">
        <v>995.36</v>
      </c>
      <c r="E46" s="2"/>
      <c r="F46" s="7">
        <f t="shared" si="17"/>
        <v>2.4238852638461542E-2</v>
      </c>
      <c r="G46" s="2"/>
      <c r="H46" s="6">
        <v>986.65</v>
      </c>
      <c r="I46" s="2"/>
      <c r="J46" s="7">
        <f t="shared" si="18"/>
        <v>2.522188174947039E-2</v>
      </c>
      <c r="K46" s="2"/>
      <c r="L46" s="6">
        <f t="shared" si="19"/>
        <v>8.7100000000000364</v>
      </c>
      <c r="M46" s="2"/>
      <c r="N46" s="7">
        <f t="shared" si="20"/>
        <v>8.8278518218213517E-3</v>
      </c>
      <c r="O46" s="11"/>
      <c r="P46" s="6">
        <v>6051.59</v>
      </c>
      <c r="Q46" s="2"/>
      <c r="R46" s="7">
        <f t="shared" si="21"/>
        <v>2.2367206596067453E-2</v>
      </c>
      <c r="S46" s="2"/>
      <c r="T46" s="6">
        <v>5268.04</v>
      </c>
      <c r="U46" s="2"/>
      <c r="V46" s="7">
        <f t="shared" si="22"/>
        <v>1.9006479543980725E-2</v>
      </c>
      <c r="W46" s="2"/>
      <c r="X46" s="6">
        <f t="shared" si="23"/>
        <v>783.55000000000018</v>
      </c>
      <c r="Y46" s="2"/>
      <c r="Z46" s="7">
        <f t="shared" si="24"/>
        <v>0.14873653199292339</v>
      </c>
    </row>
    <row r="47" spans="1:26" s="24" customFormat="1" hidden="1" outlineLevel="2" x14ac:dyDescent="0.25">
      <c r="A47" s="26"/>
      <c r="B47" s="11" t="str">
        <f>CONCATENATE("          ", "6119", " - ", "SICK LEAVE")</f>
        <v xml:space="preserve">          6119 - SICK LEAVE</v>
      </c>
      <c r="C47" s="11"/>
      <c r="D47" s="6">
        <v>556.54</v>
      </c>
      <c r="E47" s="2"/>
      <c r="F47" s="7">
        <f t="shared" si="17"/>
        <v>1.3552775927713978E-2</v>
      </c>
      <c r="G47" s="2"/>
      <c r="H47" s="6">
        <v>524.92999999999995</v>
      </c>
      <c r="I47" s="2"/>
      <c r="J47" s="7">
        <f t="shared" si="18"/>
        <v>1.3418864224141784E-2</v>
      </c>
      <c r="K47" s="2"/>
      <c r="L47" s="6">
        <f t="shared" si="19"/>
        <v>31.610000000000014</v>
      </c>
      <c r="M47" s="2"/>
      <c r="N47" s="7">
        <f t="shared" si="20"/>
        <v>6.0217552816566051E-2</v>
      </c>
      <c r="O47" s="11"/>
      <c r="P47" s="6">
        <v>3628.32</v>
      </c>
      <c r="Q47" s="2"/>
      <c r="R47" s="7">
        <f t="shared" si="21"/>
        <v>1.3410588462973114E-2</v>
      </c>
      <c r="S47" s="2"/>
      <c r="T47" s="6">
        <v>3801.2</v>
      </c>
      <c r="U47" s="2"/>
      <c r="V47" s="7">
        <f t="shared" si="22"/>
        <v>1.3714290332377798E-2</v>
      </c>
      <c r="W47" s="2"/>
      <c r="X47" s="6">
        <f t="shared" si="23"/>
        <v>-172.87999999999965</v>
      </c>
      <c r="Y47" s="2"/>
      <c r="Z47" s="7">
        <f t="shared" si="24"/>
        <v>-4.5480374618541423E-2</v>
      </c>
    </row>
    <row r="48" spans="1:26" s="24" customFormat="1" hidden="1" outlineLevel="2" x14ac:dyDescent="0.25">
      <c r="A48" s="26"/>
      <c r="B48" s="11" t="str">
        <f>CONCATENATE("          ", "6156", " - ", "EMPLOYEE MEALS")</f>
        <v xml:space="preserve">          6156 - EMPLOYEE MEALS</v>
      </c>
      <c r="C48" s="11"/>
      <c r="D48" s="6">
        <v>309.67</v>
      </c>
      <c r="E48" s="2"/>
      <c r="F48" s="7">
        <f t="shared" si="17"/>
        <v>7.5410359031429699E-3</v>
      </c>
      <c r="G48" s="2"/>
      <c r="H48" s="6">
        <v>299.93</v>
      </c>
      <c r="I48" s="2"/>
      <c r="J48" s="7">
        <f t="shared" si="18"/>
        <v>7.6671555193013278E-3</v>
      </c>
      <c r="K48" s="2"/>
      <c r="L48" s="6">
        <f t="shared" si="19"/>
        <v>9.7400000000000091</v>
      </c>
      <c r="M48" s="2"/>
      <c r="N48" s="7">
        <f t="shared" si="20"/>
        <v>3.2474243990264426E-2</v>
      </c>
      <c r="O48" s="11"/>
      <c r="P48" s="6">
        <v>1349.28</v>
      </c>
      <c r="Q48" s="2"/>
      <c r="R48" s="7">
        <f t="shared" si="21"/>
        <v>4.9870570405367671E-3</v>
      </c>
      <c r="S48" s="2"/>
      <c r="T48" s="6">
        <v>1449.47</v>
      </c>
      <c r="U48" s="2"/>
      <c r="V48" s="7">
        <f t="shared" si="22"/>
        <v>5.2295202588844699E-3</v>
      </c>
      <c r="W48" s="2"/>
      <c r="X48" s="6">
        <f t="shared" si="23"/>
        <v>-100.19000000000005</v>
      </c>
      <c r="Y48" s="2"/>
      <c r="Z48" s="7">
        <f t="shared" si="24"/>
        <v>-6.9121816939984995E-2</v>
      </c>
    </row>
    <row r="49" spans="1:26" s="25" customFormat="1" outlineLevel="1" collapsed="1" x14ac:dyDescent="0.25">
      <c r="A49" s="27"/>
      <c r="B49" s="13" t="str">
        <f>CONCATENATE("     ","*Payroll                                          ")</f>
        <v xml:space="preserve">     *Payroll                                          </v>
      </c>
      <c r="C49" s="13"/>
      <c r="D49" s="1">
        <f>SUM(OSRRefD22_1x_0)</f>
        <v>14617.57</v>
      </c>
      <c r="E49" s="1"/>
      <c r="F49" s="5">
        <f t="shared" ref="F49:F53" si="25">IF(D$12=0,0,D49/D$12)</f>
        <v>0.35596480184294754</v>
      </c>
      <c r="G49" s="1"/>
      <c r="H49" s="1">
        <f>SUM(OSRRefH22_1x_0)</f>
        <v>18874.5</v>
      </c>
      <c r="I49" s="1"/>
      <c r="J49" s="5">
        <f t="shared" ref="J49:J53" si="26">IF(H$12=0,0,H49/H$12)</f>
        <v>0.48249167088671657</v>
      </c>
      <c r="K49" s="1"/>
      <c r="L49" s="1">
        <f t="shared" ref="L49:L53" si="27">+D49-H49</f>
        <v>-4256.93</v>
      </c>
      <c r="M49" s="1"/>
      <c r="N49" s="5">
        <f t="shared" ref="N49:N53" si="28">IF(H49=0,0,L49/H49)</f>
        <v>-0.22553868976661634</v>
      </c>
      <c r="O49" s="13"/>
      <c r="P49" s="1">
        <f>SUM(OSRRefP22_1x_0)</f>
        <v>87785.209999999992</v>
      </c>
      <c r="Q49" s="1"/>
      <c r="R49" s="5">
        <f t="shared" ref="R49:R53" si="29">IF(P$12=0,0,P49/P$12)</f>
        <v>0.32446182377675392</v>
      </c>
      <c r="S49" s="1"/>
      <c r="T49" s="1">
        <f>SUM(OSRRefT22_1x_0)</f>
        <v>82515.960000000006</v>
      </c>
      <c r="U49" s="1"/>
      <c r="V49" s="5">
        <f t="shared" ref="V49:V53" si="30">IF(T$12=0,0,T49/T$12)</f>
        <v>0.29770804811503554</v>
      </c>
      <c r="W49" s="1"/>
      <c r="X49" s="1">
        <f t="shared" ref="X49:X53" si="31">+P49-T49</f>
        <v>5269.2499999999854</v>
      </c>
      <c r="Y49" s="1"/>
      <c r="Z49" s="5">
        <f t="shared" ref="Z49:Z53" si="32">IF(T49=0,0,X49/T49)</f>
        <v>6.3857343476340644E-2</v>
      </c>
    </row>
    <row r="50" spans="1:26" s="24" customFormat="1" hidden="1" outlineLevel="2" x14ac:dyDescent="0.25">
      <c r="A50" s="26"/>
      <c r="B50" s="11" t="str">
        <f>CONCATENATE("          ", "6002", " - ", "STAFF SALARIES")</f>
        <v xml:space="preserve">          6002 - STAFF SALARIES</v>
      </c>
      <c r="C50" s="11"/>
      <c r="D50" s="6">
        <v>9872.81</v>
      </c>
      <c r="E50" s="2"/>
      <c r="F50" s="7">
        <f t="shared" si="25"/>
        <v>0.24042114081089203</v>
      </c>
      <c r="G50" s="2"/>
      <c r="H50" s="6">
        <v>14915.92</v>
      </c>
      <c r="I50" s="2"/>
      <c r="J50" s="7">
        <f t="shared" si="26"/>
        <v>0.38129789735423952</v>
      </c>
      <c r="K50" s="2"/>
      <c r="L50" s="6">
        <f t="shared" si="27"/>
        <v>-5043.1100000000006</v>
      </c>
      <c r="M50" s="2"/>
      <c r="N50" s="7">
        <f t="shared" si="28"/>
        <v>-0.33810251060611751</v>
      </c>
      <c r="O50" s="11"/>
      <c r="P50" s="6">
        <v>57718.559999999998</v>
      </c>
      <c r="Q50" s="2"/>
      <c r="R50" s="7">
        <f t="shared" si="29"/>
        <v>0.21333285234913715</v>
      </c>
      <c r="S50" s="2"/>
      <c r="T50" s="6">
        <v>57044.11</v>
      </c>
      <c r="U50" s="2"/>
      <c r="V50" s="7">
        <f t="shared" si="30"/>
        <v>0.20580855684838884</v>
      </c>
      <c r="W50" s="2"/>
      <c r="X50" s="6">
        <f t="shared" si="31"/>
        <v>674.44999999999709</v>
      </c>
      <c r="Y50" s="2"/>
      <c r="Z50" s="7">
        <f t="shared" si="32"/>
        <v>1.1823306560484458E-2</v>
      </c>
    </row>
    <row r="51" spans="1:26" s="24" customFormat="1" hidden="1" outlineLevel="2" x14ac:dyDescent="0.25">
      <c r="A51" s="26"/>
      <c r="B51" s="11" t="str">
        <f>CONCATENATE("          ", "6005", " - ", "TEMPORARY WAGES-HOURLY")</f>
        <v xml:space="preserve">          6005 - TEMPORARY WAGES-HOURLY</v>
      </c>
      <c r="C51" s="11"/>
      <c r="D51" s="6">
        <v>1765.75</v>
      </c>
      <c r="E51" s="2"/>
      <c r="F51" s="7">
        <f t="shared" si="25"/>
        <v>4.2999270662236244E-2</v>
      </c>
      <c r="G51" s="2"/>
      <c r="H51" s="6">
        <v>923.14</v>
      </c>
      <c r="I51" s="2"/>
      <c r="J51" s="7">
        <f t="shared" si="26"/>
        <v>2.3598366105717423E-2</v>
      </c>
      <c r="K51" s="2"/>
      <c r="L51" s="6">
        <f t="shared" si="27"/>
        <v>842.61</v>
      </c>
      <c r="M51" s="2"/>
      <c r="N51" s="7">
        <f t="shared" si="28"/>
        <v>0.91276512771627272</v>
      </c>
      <c r="O51" s="11"/>
      <c r="P51" s="6">
        <v>9961</v>
      </c>
      <c r="Q51" s="2"/>
      <c r="R51" s="7">
        <f t="shared" si="29"/>
        <v>3.6816728314943328E-2</v>
      </c>
      <c r="S51" s="2"/>
      <c r="T51" s="6">
        <v>6011.82</v>
      </c>
      <c r="U51" s="2"/>
      <c r="V51" s="7">
        <f t="shared" si="30"/>
        <v>2.1689951832577999E-2</v>
      </c>
      <c r="W51" s="2"/>
      <c r="X51" s="6">
        <f t="shared" si="31"/>
        <v>3949.1800000000003</v>
      </c>
      <c r="Y51" s="2"/>
      <c r="Z51" s="7">
        <f t="shared" si="32"/>
        <v>0.65690256860651197</v>
      </c>
    </row>
    <row r="52" spans="1:26" s="24" customFormat="1" hidden="1" outlineLevel="2" x14ac:dyDescent="0.25">
      <c r="A52" s="26"/>
      <c r="B52" s="11" t="str">
        <f>CONCATENATE("          ", "6006", " - ", "TEMPORARY PART TIME")</f>
        <v xml:space="preserve">          6006 - TEMPORARY PART TIME</v>
      </c>
      <c r="C52" s="11"/>
      <c r="D52" s="6"/>
      <c r="E52" s="2"/>
      <c r="F52" s="7">
        <f t="shared" si="25"/>
        <v>0</v>
      </c>
      <c r="G52" s="2"/>
      <c r="H52" s="6">
        <v>414.69</v>
      </c>
      <c r="I52" s="2"/>
      <c r="J52" s="7">
        <f t="shared" si="26"/>
        <v>1.0600782590267954E-2</v>
      </c>
      <c r="K52" s="2"/>
      <c r="L52" s="6">
        <f t="shared" si="27"/>
        <v>-414.69</v>
      </c>
      <c r="M52" s="2"/>
      <c r="N52" s="7">
        <f t="shared" si="28"/>
        <v>-1</v>
      </c>
      <c r="O52" s="11"/>
      <c r="P52" s="6">
        <v>57.37</v>
      </c>
      <c r="Q52" s="2"/>
      <c r="R52" s="7">
        <f t="shared" si="29"/>
        <v>2.1204454406468213E-4</v>
      </c>
      <c r="S52" s="2"/>
      <c r="T52" s="6">
        <v>4686.1499999999996</v>
      </c>
      <c r="U52" s="2"/>
      <c r="V52" s="7">
        <f t="shared" si="30"/>
        <v>1.6907087667334581E-2</v>
      </c>
      <c r="W52" s="2"/>
      <c r="X52" s="6">
        <f t="shared" si="31"/>
        <v>-4628.78</v>
      </c>
      <c r="Y52" s="2"/>
      <c r="Z52" s="7">
        <f t="shared" si="32"/>
        <v>-0.98775754083842815</v>
      </c>
    </row>
    <row r="53" spans="1:26" s="24" customFormat="1" hidden="1" outlineLevel="2" x14ac:dyDescent="0.25">
      <c r="A53" s="26"/>
      <c r="B53" s="11" t="str">
        <f>CONCATENATE("          ", "6007", " - ", "STUDENT HOURLY")</f>
        <v xml:space="preserve">          6007 - STUDENT HOURLY</v>
      </c>
      <c r="C53" s="11"/>
      <c r="D53" s="6">
        <v>2979.01</v>
      </c>
      <c r="E53" s="2"/>
      <c r="F53" s="7">
        <f t="shared" si="25"/>
        <v>7.2544390369819287E-2</v>
      </c>
      <c r="G53" s="2"/>
      <c r="H53" s="6">
        <v>2620.75</v>
      </c>
      <c r="I53" s="2"/>
      <c r="J53" s="7">
        <f t="shared" si="26"/>
        <v>6.6994624836491698E-2</v>
      </c>
      <c r="K53" s="2"/>
      <c r="L53" s="6">
        <f t="shared" si="27"/>
        <v>358.26000000000022</v>
      </c>
      <c r="M53" s="2"/>
      <c r="N53" s="7">
        <f t="shared" si="28"/>
        <v>0.13670132595631029</v>
      </c>
      <c r="O53" s="11"/>
      <c r="P53" s="6">
        <v>20048.28</v>
      </c>
      <c r="Q53" s="2"/>
      <c r="R53" s="7">
        <f t="shared" si="29"/>
        <v>7.4100198568608777E-2</v>
      </c>
      <c r="S53" s="2"/>
      <c r="T53" s="6">
        <v>14773.88</v>
      </c>
      <c r="U53" s="2"/>
      <c r="V53" s="7">
        <f t="shared" si="30"/>
        <v>5.3302451766734107E-2</v>
      </c>
      <c r="W53" s="2"/>
      <c r="X53" s="6">
        <f t="shared" si="31"/>
        <v>5274.4</v>
      </c>
      <c r="Y53" s="2"/>
      <c r="Z53" s="7">
        <f t="shared" si="32"/>
        <v>0.35700845004832854</v>
      </c>
    </row>
    <row r="54" spans="1:26" s="25" customFormat="1" outlineLevel="1" collapsed="1" x14ac:dyDescent="0.25">
      <c r="A54" s="27"/>
      <c r="B54" s="13" t="str">
        <f>CONCATENATE("     ","Advertising/Promo                                 ")</f>
        <v xml:space="preserve">     Advertising/Promo                                 </v>
      </c>
      <c r="C54" s="13"/>
      <c r="D54" s="1">
        <f>SUM(OSRRefD22_2x_0)</f>
        <v>0</v>
      </c>
      <c r="E54" s="1"/>
      <c r="F54" s="5">
        <f t="shared" ref="F54:F62" si="33">IF(D$12=0,0,D54/D$12)</f>
        <v>0</v>
      </c>
      <c r="G54" s="1"/>
      <c r="H54" s="1">
        <f>SUM(OSRRefH22_2x_0)</f>
        <v>0</v>
      </c>
      <c r="I54" s="1"/>
      <c r="J54" s="5">
        <f t="shared" ref="J54:J62" si="34">IF(H$12=0,0,H54/H$12)</f>
        <v>0</v>
      </c>
      <c r="K54" s="1"/>
      <c r="L54" s="1">
        <f t="shared" ref="L54:L62" si="35">+D54-H54</f>
        <v>0</v>
      </c>
      <c r="M54" s="1"/>
      <c r="N54" s="5">
        <f t="shared" ref="N54:N62" si="36">IF(H54=0,0,L54/H54)</f>
        <v>0</v>
      </c>
      <c r="O54" s="13"/>
      <c r="P54" s="1">
        <f>SUM(OSRRefP22_2x_0)</f>
        <v>-857.46</v>
      </c>
      <c r="Q54" s="1"/>
      <c r="R54" s="5">
        <f t="shared" ref="R54:R62" si="37">IF(P$12=0,0,P54/P$12)</f>
        <v>-3.1692472503695719E-3</v>
      </c>
      <c r="S54" s="1"/>
      <c r="T54" s="1">
        <f>SUM(OSRRefT22_2x_0)</f>
        <v>551.5</v>
      </c>
      <c r="U54" s="1"/>
      <c r="V54" s="5">
        <f t="shared" ref="V54:V62" si="38">IF(T$12=0,0,T54/T$12)</f>
        <v>1.9897482685221394E-3</v>
      </c>
      <c r="W54" s="1"/>
      <c r="X54" s="1">
        <f t="shared" ref="X54:X62" si="39">+P54-T54</f>
        <v>-1408.96</v>
      </c>
      <c r="Y54" s="1"/>
      <c r="Z54" s="5">
        <f t="shared" ref="Z54:Z62" si="40">IF(T54=0,0,X54/T54)</f>
        <v>-2.5547778785131459</v>
      </c>
    </row>
    <row r="55" spans="1:26" s="24" customFormat="1" hidden="1" outlineLevel="2" x14ac:dyDescent="0.25">
      <c r="A55" s="26"/>
      <c r="B55" s="11" t="str">
        <f>CONCATENATE("          ", "6362", " - ", "ADVERTISING EXPENSE")</f>
        <v xml:space="preserve">          6362 - ADVERTISING EXPENSE</v>
      </c>
      <c r="C55" s="11"/>
      <c r="D55" s="6"/>
      <c r="E55" s="2"/>
      <c r="F55" s="7">
        <f t="shared" si="33"/>
        <v>0</v>
      </c>
      <c r="G55" s="2"/>
      <c r="H55" s="6"/>
      <c r="I55" s="2"/>
      <c r="J55" s="7">
        <f t="shared" si="34"/>
        <v>0</v>
      </c>
      <c r="K55" s="2"/>
      <c r="L55" s="6">
        <f t="shared" si="35"/>
        <v>0</v>
      </c>
      <c r="M55" s="2"/>
      <c r="N55" s="7">
        <f t="shared" si="36"/>
        <v>0</v>
      </c>
      <c r="O55" s="11"/>
      <c r="P55" s="6">
        <v>-857.46</v>
      </c>
      <c r="Q55" s="2"/>
      <c r="R55" s="7">
        <f t="shared" si="37"/>
        <v>-3.1692472503695719E-3</v>
      </c>
      <c r="S55" s="2"/>
      <c r="T55" s="6">
        <v>551.5</v>
      </c>
      <c r="U55" s="2"/>
      <c r="V55" s="7">
        <f t="shared" si="38"/>
        <v>1.9897482685221394E-3</v>
      </c>
      <c r="W55" s="2"/>
      <c r="X55" s="6">
        <f t="shared" si="39"/>
        <v>-1408.96</v>
      </c>
      <c r="Y55" s="2"/>
      <c r="Z55" s="7">
        <f t="shared" si="40"/>
        <v>-2.5547778785131459</v>
      </c>
    </row>
    <row r="56" spans="1:26" s="25" customFormat="1" outlineLevel="1" collapsed="1" x14ac:dyDescent="0.25">
      <c r="A56" s="27"/>
      <c r="B56" s="13" t="str">
        <f>CONCATENATE("     ","Discounts and Markdowns                           ")</f>
        <v xml:space="preserve">     Discounts and Markdowns                           </v>
      </c>
      <c r="C56" s="13"/>
      <c r="D56" s="1">
        <f>SUM(OSRRefD22_3x_0)</f>
        <v>80.040000000000006</v>
      </c>
      <c r="E56" s="1"/>
      <c r="F56" s="5">
        <f t="shared" si="33"/>
        <v>1.9491216898232418E-3</v>
      </c>
      <c r="G56" s="1"/>
      <c r="H56" s="1">
        <f>SUM(OSRRefH22_3x_0)</f>
        <v>370.95</v>
      </c>
      <c r="I56" s="1"/>
      <c r="J56" s="5">
        <f t="shared" si="34"/>
        <v>9.482650418046969E-3</v>
      </c>
      <c r="K56" s="1"/>
      <c r="L56" s="1">
        <f t="shared" si="35"/>
        <v>-290.90999999999997</v>
      </c>
      <c r="M56" s="1"/>
      <c r="N56" s="5">
        <f t="shared" si="36"/>
        <v>-0.78422968054993925</v>
      </c>
      <c r="O56" s="13"/>
      <c r="P56" s="1">
        <f>SUM(OSRRefP22_3x_0)</f>
        <v>707.76</v>
      </c>
      <c r="Q56" s="1"/>
      <c r="R56" s="5">
        <f t="shared" si="37"/>
        <v>2.6159429406871085E-3</v>
      </c>
      <c r="S56" s="1"/>
      <c r="T56" s="1">
        <f>SUM(OSRRefT22_3x_0)</f>
        <v>1136.6099999999999</v>
      </c>
      <c r="U56" s="1"/>
      <c r="V56" s="5">
        <f t="shared" si="38"/>
        <v>4.1007575330642768E-3</v>
      </c>
      <c r="W56" s="1"/>
      <c r="X56" s="1">
        <f t="shared" si="39"/>
        <v>-428.84999999999991</v>
      </c>
      <c r="Y56" s="1"/>
      <c r="Z56" s="5">
        <f t="shared" si="40"/>
        <v>-0.37730620001583653</v>
      </c>
    </row>
    <row r="57" spans="1:26" s="24" customFormat="1" hidden="1" outlineLevel="2" x14ac:dyDescent="0.25">
      <c r="A57" s="26"/>
      <c r="B57" s="11" t="str">
        <f>CONCATENATE("          ", "6382", " - ", "DISCOUNTS/MARK DOWNS")</f>
        <v xml:space="preserve">          6382 - DISCOUNTS/MARK DOWNS</v>
      </c>
      <c r="C57" s="11"/>
      <c r="D57" s="6">
        <v>80.040000000000006</v>
      </c>
      <c r="E57" s="2"/>
      <c r="F57" s="7">
        <f t="shared" si="33"/>
        <v>1.9491216898232418E-3</v>
      </c>
      <c r="G57" s="2"/>
      <c r="H57" s="6">
        <v>370.95</v>
      </c>
      <c r="I57" s="2"/>
      <c r="J57" s="7">
        <f t="shared" si="34"/>
        <v>9.482650418046969E-3</v>
      </c>
      <c r="K57" s="2"/>
      <c r="L57" s="6">
        <f t="shared" si="35"/>
        <v>-290.90999999999997</v>
      </c>
      <c r="M57" s="2"/>
      <c r="N57" s="7">
        <f t="shared" si="36"/>
        <v>-0.78422968054993925</v>
      </c>
      <c r="O57" s="11"/>
      <c r="P57" s="6">
        <v>707.76</v>
      </c>
      <c r="Q57" s="2"/>
      <c r="R57" s="7">
        <f t="shared" si="37"/>
        <v>2.6159429406871085E-3</v>
      </c>
      <c r="S57" s="2"/>
      <c r="T57" s="6">
        <v>1136.6099999999999</v>
      </c>
      <c r="U57" s="2"/>
      <c r="V57" s="7">
        <f t="shared" si="38"/>
        <v>4.1007575330642768E-3</v>
      </c>
      <c r="W57" s="2"/>
      <c r="X57" s="6">
        <f t="shared" si="39"/>
        <v>-428.84999999999991</v>
      </c>
      <c r="Y57" s="2"/>
      <c r="Z57" s="7">
        <f t="shared" si="40"/>
        <v>-0.37730620001583653</v>
      </c>
    </row>
    <row r="58" spans="1:26" s="25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SUM(OSRRefD22_4x_0)</f>
        <v>3903.96</v>
      </c>
      <c r="E58" s="1"/>
      <c r="F58" s="5">
        <f t="shared" si="33"/>
        <v>9.5068629587735418E-2</v>
      </c>
      <c r="G58" s="1"/>
      <c r="H58" s="1">
        <f>SUM(OSRRefH22_4x_0)</f>
        <v>3309.15</v>
      </c>
      <c r="I58" s="1"/>
      <c r="J58" s="5">
        <f t="shared" si="34"/>
        <v>8.4592297158323573E-2</v>
      </c>
      <c r="K58" s="1"/>
      <c r="L58" s="1">
        <f t="shared" si="35"/>
        <v>594.80999999999995</v>
      </c>
      <c r="M58" s="1"/>
      <c r="N58" s="5">
        <f t="shared" si="36"/>
        <v>0.17974706495625764</v>
      </c>
      <c r="O58" s="13"/>
      <c r="P58" s="1">
        <f>SUM(OSRRefP22_4x_0)</f>
        <v>9932.16</v>
      </c>
      <c r="Q58" s="1"/>
      <c r="R58" s="5">
        <f t="shared" si="37"/>
        <v>3.6710133149337167E-2</v>
      </c>
      <c r="S58" s="1"/>
      <c r="T58" s="1">
        <f>SUM(OSRRefT22_4x_0)</f>
        <v>15882.070000000002</v>
      </c>
      <c r="U58" s="1"/>
      <c r="V58" s="5">
        <f t="shared" si="38"/>
        <v>5.7300673224020694E-2</v>
      </c>
      <c r="W58" s="1"/>
      <c r="X58" s="1">
        <f t="shared" si="39"/>
        <v>-5949.9100000000017</v>
      </c>
      <c r="Y58" s="1"/>
      <c r="Z58" s="5">
        <f t="shared" si="40"/>
        <v>-0.37463063693838405</v>
      </c>
    </row>
    <row r="59" spans="1:26" s="24" customFormat="1" hidden="1" outlineLevel="2" x14ac:dyDescent="0.25">
      <c r="A59" s="26"/>
      <c r="B59" s="11" t="str">
        <f>CONCATENATE("          ", "6351", " - ", "EQUIPMENT RENTAL")</f>
        <v xml:space="preserve">          6351 - EQUIPMENT RENTAL</v>
      </c>
      <c r="C59" s="11"/>
      <c r="D59" s="6">
        <v>3903.96</v>
      </c>
      <c r="E59" s="2"/>
      <c r="F59" s="7">
        <f t="shared" si="33"/>
        <v>9.5068629587735418E-2</v>
      </c>
      <c r="G59" s="2"/>
      <c r="H59" s="6">
        <v>3309.15</v>
      </c>
      <c r="I59" s="2"/>
      <c r="J59" s="7">
        <f t="shared" si="34"/>
        <v>8.4592297158323573E-2</v>
      </c>
      <c r="K59" s="2"/>
      <c r="L59" s="6">
        <f t="shared" si="35"/>
        <v>594.80999999999995</v>
      </c>
      <c r="M59" s="2"/>
      <c r="N59" s="7">
        <f t="shared" si="36"/>
        <v>0.17974706495625764</v>
      </c>
      <c r="O59" s="11"/>
      <c r="P59" s="6">
        <v>9932.16</v>
      </c>
      <c r="Q59" s="2"/>
      <c r="R59" s="7">
        <f t="shared" si="37"/>
        <v>3.6710133149337167E-2</v>
      </c>
      <c r="S59" s="2"/>
      <c r="T59" s="6">
        <v>15882.070000000002</v>
      </c>
      <c r="U59" s="2"/>
      <c r="V59" s="7">
        <f t="shared" si="38"/>
        <v>5.7300673224020694E-2</v>
      </c>
      <c r="W59" s="2"/>
      <c r="X59" s="6">
        <f t="shared" si="39"/>
        <v>-5949.9100000000017</v>
      </c>
      <c r="Y59" s="2"/>
      <c r="Z59" s="7">
        <f t="shared" si="40"/>
        <v>-0.37463063693838405</v>
      </c>
    </row>
    <row r="60" spans="1:26" s="25" customFormat="1" outlineLevel="1" collapsed="1" x14ac:dyDescent="0.25">
      <c r="A60" s="27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SUM(OSRRefD22_5x_0)</f>
        <v>3081.3</v>
      </c>
      <c r="E60" s="1"/>
      <c r="F60" s="5">
        <f t="shared" si="33"/>
        <v>7.5035340615346766E-2</v>
      </c>
      <c r="G60" s="1"/>
      <c r="H60" s="1">
        <f>SUM(OSRRefH22_5x_0)</f>
        <v>-1464.95</v>
      </c>
      <c r="I60" s="1"/>
      <c r="J60" s="5">
        <f t="shared" si="34"/>
        <v>-3.7448736298471244E-2</v>
      </c>
      <c r="K60" s="1"/>
      <c r="L60" s="1">
        <f t="shared" si="35"/>
        <v>4546.25</v>
      </c>
      <c r="M60" s="1"/>
      <c r="N60" s="5">
        <f t="shared" si="36"/>
        <v>-3.1033482371411991</v>
      </c>
      <c r="O60" s="13"/>
      <c r="P60" s="1">
        <f>SUM(OSRRefP22_5x_0)</f>
        <v>-5197.1700000000019</v>
      </c>
      <c r="Q60" s="1"/>
      <c r="R60" s="5">
        <f t="shared" si="37"/>
        <v>-1.9209195451919896E-2</v>
      </c>
      <c r="S60" s="1"/>
      <c r="T60" s="1">
        <f>SUM(OSRRefT22_5x_0)</f>
        <v>-2641.1499999999978</v>
      </c>
      <c r="U60" s="1"/>
      <c r="V60" s="5">
        <f t="shared" si="38"/>
        <v>-9.5289639880457716E-3</v>
      </c>
      <c r="W60" s="1"/>
      <c r="X60" s="1">
        <f t="shared" si="39"/>
        <v>-2556.0200000000041</v>
      </c>
      <c r="Y60" s="1"/>
      <c r="Z60" s="5">
        <f t="shared" si="40"/>
        <v>0.96776782840808218</v>
      </c>
    </row>
    <row r="61" spans="1:26" s="24" customFormat="1" hidden="1" outlineLevel="2" x14ac:dyDescent="0.25">
      <c r="A61" s="26"/>
      <c r="B61" s="11" t="str">
        <f>CONCATENATE("          ", "6305", " - ", "FREIGHT OUT")</f>
        <v xml:space="preserve">          6305 - FREIGHT OUT</v>
      </c>
      <c r="C61" s="11"/>
      <c r="D61" s="6">
        <v>3940.67</v>
      </c>
      <c r="E61" s="2"/>
      <c r="F61" s="7">
        <f t="shared" si="33"/>
        <v>9.5962585825034405E-2</v>
      </c>
      <c r="G61" s="2"/>
      <c r="H61" s="6">
        <v>1559.7</v>
      </c>
      <c r="I61" s="2"/>
      <c r="J61" s="7">
        <f t="shared" si="34"/>
        <v>3.9870844741954056E-2</v>
      </c>
      <c r="K61" s="2"/>
      <c r="L61" s="6">
        <f t="shared" si="35"/>
        <v>2380.9700000000003</v>
      </c>
      <c r="M61" s="2"/>
      <c r="N61" s="7">
        <f t="shared" si="36"/>
        <v>1.5265563890491762</v>
      </c>
      <c r="O61" s="11"/>
      <c r="P61" s="6">
        <v>19265.82</v>
      </c>
      <c r="Q61" s="2"/>
      <c r="R61" s="7">
        <f t="shared" si="37"/>
        <v>7.1208157886216386E-2</v>
      </c>
      <c r="S61" s="2"/>
      <c r="T61" s="6">
        <v>20538.38</v>
      </c>
      <c r="U61" s="2"/>
      <c r="V61" s="7">
        <f t="shared" si="38"/>
        <v>7.4100101619673134E-2</v>
      </c>
      <c r="W61" s="2"/>
      <c r="X61" s="6">
        <f t="shared" si="39"/>
        <v>-1272.5600000000013</v>
      </c>
      <c r="Y61" s="2"/>
      <c r="Z61" s="7">
        <f t="shared" si="40"/>
        <v>-6.1960096171168377E-2</v>
      </c>
    </row>
    <row r="62" spans="1:26" s="24" customFormat="1" hidden="1" outlineLevel="2" x14ac:dyDescent="0.25">
      <c r="A62" s="26"/>
      <c r="B62" s="11" t="str">
        <f>CONCATENATE("          ", "6307", " - ", "POSTAGE")</f>
        <v xml:space="preserve">          6307 - POSTAGE</v>
      </c>
      <c r="C62" s="11"/>
      <c r="D62" s="6">
        <v>-859.37</v>
      </c>
      <c r="E62" s="2"/>
      <c r="F62" s="7">
        <f t="shared" si="33"/>
        <v>-2.0927245209687646E-2</v>
      </c>
      <c r="G62" s="2"/>
      <c r="H62" s="6">
        <v>-3024.65</v>
      </c>
      <c r="I62" s="2"/>
      <c r="J62" s="7">
        <f t="shared" si="34"/>
        <v>-7.73195810404253E-2</v>
      </c>
      <c r="K62" s="2"/>
      <c r="L62" s="6">
        <f t="shared" si="35"/>
        <v>2165.2800000000002</v>
      </c>
      <c r="M62" s="2"/>
      <c r="N62" s="7">
        <f t="shared" si="36"/>
        <v>-0.71587787016679616</v>
      </c>
      <c r="O62" s="11"/>
      <c r="P62" s="6">
        <v>-24462.99</v>
      </c>
      <c r="Q62" s="2"/>
      <c r="R62" s="7">
        <f t="shared" si="37"/>
        <v>-9.0417353338136289E-2</v>
      </c>
      <c r="S62" s="2"/>
      <c r="T62" s="6">
        <v>-23179.53</v>
      </c>
      <c r="U62" s="2"/>
      <c r="V62" s="7">
        <f t="shared" si="38"/>
        <v>-8.3629065607718905E-2</v>
      </c>
      <c r="W62" s="2"/>
      <c r="X62" s="6">
        <f t="shared" si="39"/>
        <v>-1283.4600000000028</v>
      </c>
      <c r="Y62" s="2"/>
      <c r="Z62" s="7">
        <f t="shared" si="40"/>
        <v>5.5370406561306588E-2</v>
      </c>
    </row>
    <row r="63" spans="1:26" s="25" customFormat="1" outlineLevel="1" collapsed="1" x14ac:dyDescent="0.25">
      <c r="A63" s="27"/>
      <c r="B63" s="13" t="str">
        <f>CONCATENATE("     ","General                                           ")</f>
        <v xml:space="preserve">     General                                           </v>
      </c>
      <c r="C63" s="13"/>
      <c r="D63" s="1">
        <f>SUM(OSRRefD22_6x_0)</f>
        <v>0</v>
      </c>
      <c r="E63" s="1"/>
      <c r="F63" s="5">
        <f t="shared" ref="F63:F69" si="41">IF(D$12=0,0,D63/D$12)</f>
        <v>0</v>
      </c>
      <c r="G63" s="1"/>
      <c r="H63" s="1">
        <f>SUM(OSRRefH22_6x_0)</f>
        <v>185.21</v>
      </c>
      <c r="I63" s="1"/>
      <c r="J63" s="5">
        <f t="shared" ref="J63:J69" si="42">IF(H$12=0,0,H63/H$12)</f>
        <v>4.7345509743266729E-3</v>
      </c>
      <c r="K63" s="1"/>
      <c r="L63" s="1">
        <f t="shared" ref="L63:L69" si="43">+D63-H63</f>
        <v>-185.21</v>
      </c>
      <c r="M63" s="1"/>
      <c r="N63" s="5">
        <f t="shared" ref="N63:N69" si="44">IF(H63=0,0,L63/H63)</f>
        <v>-1</v>
      </c>
      <c r="O63" s="13"/>
      <c r="P63" s="1">
        <f>SUM(OSRRefP22_6x_0)</f>
        <v>80.17</v>
      </c>
      <c r="Q63" s="1"/>
      <c r="R63" s="5">
        <f t="shared" ref="R63:R69" si="45">IF(P$12=0,0,P63/P$12)</f>
        <v>2.9631534072974667E-4</v>
      </c>
      <c r="S63" s="1"/>
      <c r="T63" s="1">
        <f>SUM(OSRRefT22_6x_0)</f>
        <v>268.68</v>
      </c>
      <c r="U63" s="1"/>
      <c r="V63" s="5">
        <f t="shared" ref="V63:V69" si="46">IF(T$12=0,0,T63/T$12)</f>
        <v>9.6936639127203695E-4</v>
      </c>
      <c r="W63" s="1"/>
      <c r="X63" s="1">
        <f t="shared" ref="X63:X69" si="47">+P63-T63</f>
        <v>-188.51</v>
      </c>
      <c r="Y63" s="1"/>
      <c r="Z63" s="5">
        <f t="shared" ref="Z63:Z69" si="48">IF(T63=0,0,X63/T63)</f>
        <v>-0.70161530445139197</v>
      </c>
    </row>
    <row r="64" spans="1:26" s="24" customFormat="1" hidden="1" outlineLevel="2" x14ac:dyDescent="0.25">
      <c r="A64" s="26"/>
      <c r="B64" s="11" t="str">
        <f>CONCATENATE("          ", "6279", " - ", "GENERAL EXPENSE")</f>
        <v xml:space="preserve">          6279 - GENERAL EXPENSE</v>
      </c>
      <c r="C64" s="11"/>
      <c r="D64" s="6"/>
      <c r="E64" s="2"/>
      <c r="F64" s="7">
        <f t="shared" si="41"/>
        <v>0</v>
      </c>
      <c r="G64" s="2"/>
      <c r="H64" s="6">
        <v>185.21</v>
      </c>
      <c r="I64" s="2"/>
      <c r="J64" s="7">
        <f t="shared" si="42"/>
        <v>4.7345509743266729E-3</v>
      </c>
      <c r="K64" s="2"/>
      <c r="L64" s="6">
        <f t="shared" si="43"/>
        <v>-185.21</v>
      </c>
      <c r="M64" s="2"/>
      <c r="N64" s="7">
        <f t="shared" si="44"/>
        <v>-1</v>
      </c>
      <c r="O64" s="11"/>
      <c r="P64" s="6">
        <v>80.17</v>
      </c>
      <c r="Q64" s="2"/>
      <c r="R64" s="7">
        <f t="shared" si="45"/>
        <v>2.9631534072974667E-4</v>
      </c>
      <c r="S64" s="2"/>
      <c r="T64" s="6">
        <v>268.68</v>
      </c>
      <c r="U64" s="2"/>
      <c r="V64" s="7">
        <f t="shared" si="46"/>
        <v>9.6936639127203695E-4</v>
      </c>
      <c r="W64" s="2"/>
      <c r="X64" s="6">
        <f t="shared" si="47"/>
        <v>-188.51</v>
      </c>
      <c r="Y64" s="2"/>
      <c r="Z64" s="7">
        <f t="shared" si="48"/>
        <v>-0.70161530445139197</v>
      </c>
    </row>
    <row r="65" spans="1:26" s="25" customFormat="1" outlineLevel="1" collapsed="1" x14ac:dyDescent="0.25">
      <c r="A65" s="27"/>
      <c r="B65" s="13" t="str">
        <f>CONCATENATE("     ","Inventory Adjustment                              ")</f>
        <v xml:space="preserve">     Inventory Adjustment                              </v>
      </c>
      <c r="C65" s="13"/>
      <c r="D65" s="1">
        <f>SUM(OSRRefD22_7x_0)</f>
        <v>100</v>
      </c>
      <c r="E65" s="1"/>
      <c r="F65" s="5">
        <f t="shared" si="41"/>
        <v>2.4351845200190425E-3</v>
      </c>
      <c r="G65" s="1"/>
      <c r="H65" s="1">
        <f>SUM(OSRRefH22_7x_0)</f>
        <v>100</v>
      </c>
      <c r="I65" s="1"/>
      <c r="J65" s="5">
        <f t="shared" si="42"/>
        <v>2.5563149799290928E-3</v>
      </c>
      <c r="K65" s="1"/>
      <c r="L65" s="1">
        <f t="shared" si="43"/>
        <v>0</v>
      </c>
      <c r="M65" s="1"/>
      <c r="N65" s="5">
        <f t="shared" si="44"/>
        <v>0</v>
      </c>
      <c r="O65" s="13"/>
      <c r="P65" s="1">
        <f>SUM(OSRRefP22_7x_0)</f>
        <v>400</v>
      </c>
      <c r="Q65" s="1"/>
      <c r="R65" s="5">
        <f t="shared" si="45"/>
        <v>1.4784350292116586E-3</v>
      </c>
      <c r="S65" s="1"/>
      <c r="T65" s="1">
        <f>SUM(OSRRefT22_7x_0)</f>
        <v>500</v>
      </c>
      <c r="U65" s="1"/>
      <c r="V65" s="5">
        <f t="shared" si="46"/>
        <v>1.8039422198750129E-3</v>
      </c>
      <c r="W65" s="1"/>
      <c r="X65" s="1">
        <f t="shared" si="47"/>
        <v>-100</v>
      </c>
      <c r="Y65" s="1"/>
      <c r="Z65" s="5">
        <f t="shared" si="48"/>
        <v>-0.2</v>
      </c>
    </row>
    <row r="66" spans="1:26" s="24" customFormat="1" hidden="1" outlineLevel="2" x14ac:dyDescent="0.25">
      <c r="A66" s="26"/>
      <c r="B66" s="11" t="str">
        <f>CONCATENATE("          ", "6408", " - ", "INVENTORY ADJUSTMENT")</f>
        <v xml:space="preserve">          6408 - INVENTORY ADJUSTMENT</v>
      </c>
      <c r="C66" s="11"/>
      <c r="D66" s="6">
        <v>100</v>
      </c>
      <c r="E66" s="2"/>
      <c r="F66" s="7">
        <f t="shared" si="41"/>
        <v>2.4351845200190425E-3</v>
      </c>
      <c r="G66" s="2"/>
      <c r="H66" s="6">
        <v>100</v>
      </c>
      <c r="I66" s="2"/>
      <c r="J66" s="7">
        <f t="shared" si="42"/>
        <v>2.5563149799290928E-3</v>
      </c>
      <c r="K66" s="2"/>
      <c r="L66" s="6">
        <f t="shared" si="43"/>
        <v>0</v>
      </c>
      <c r="M66" s="2"/>
      <c r="N66" s="7">
        <f t="shared" si="44"/>
        <v>0</v>
      </c>
      <c r="O66" s="11"/>
      <c r="P66" s="6">
        <v>400</v>
      </c>
      <c r="Q66" s="2"/>
      <c r="R66" s="7">
        <f t="shared" si="45"/>
        <v>1.4784350292116586E-3</v>
      </c>
      <c r="S66" s="2"/>
      <c r="T66" s="6">
        <v>500</v>
      </c>
      <c r="U66" s="2"/>
      <c r="V66" s="7">
        <f t="shared" si="46"/>
        <v>1.8039422198750129E-3</v>
      </c>
      <c r="W66" s="2"/>
      <c r="X66" s="6">
        <f t="shared" si="47"/>
        <v>-100</v>
      </c>
      <c r="Y66" s="2"/>
      <c r="Z66" s="7">
        <f t="shared" si="48"/>
        <v>-0.2</v>
      </c>
    </row>
    <row r="67" spans="1:26" s="25" customFormat="1" outlineLevel="1" collapsed="1" x14ac:dyDescent="0.25">
      <c r="A67" s="27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SUM(OSRRefD22_8x_0)</f>
        <v>1404.99</v>
      </c>
      <c r="E67" s="1"/>
      <c r="F67" s="5">
        <f t="shared" si="41"/>
        <v>3.421409898781555E-2</v>
      </c>
      <c r="G67" s="1"/>
      <c r="H67" s="1">
        <f>SUM(OSRRefH22_8x_0)</f>
        <v>14787.28</v>
      </c>
      <c r="I67" s="1"/>
      <c r="J67" s="5">
        <f t="shared" si="42"/>
        <v>0.37800945376405876</v>
      </c>
      <c r="K67" s="1"/>
      <c r="L67" s="1">
        <f t="shared" si="43"/>
        <v>-13382.29</v>
      </c>
      <c r="M67" s="1"/>
      <c r="N67" s="5">
        <f t="shared" si="44"/>
        <v>-0.90498658306328139</v>
      </c>
      <c r="O67" s="13"/>
      <c r="P67" s="1">
        <f>SUM(OSRRefP22_8x_0)</f>
        <v>29449.96</v>
      </c>
      <c r="Q67" s="1"/>
      <c r="R67" s="5">
        <f t="shared" si="45"/>
        <v>0.10884963118220543</v>
      </c>
      <c r="S67" s="1"/>
      <c r="T67" s="1">
        <f>SUM(OSRRefT22_8x_0)</f>
        <v>40901.379999999997</v>
      </c>
      <c r="U67" s="1"/>
      <c r="V67" s="5">
        <f t="shared" si="46"/>
        <v>0.1475674524663029</v>
      </c>
      <c r="W67" s="1"/>
      <c r="X67" s="1">
        <f t="shared" si="47"/>
        <v>-11451.419999999998</v>
      </c>
      <c r="Y67" s="1"/>
      <c r="Z67" s="5">
        <f t="shared" si="48"/>
        <v>-0.27997637243535545</v>
      </c>
    </row>
    <row r="68" spans="1:26" s="24" customFormat="1" hidden="1" outlineLevel="2" x14ac:dyDescent="0.25">
      <c r="A68" s="26"/>
      <c r="B68" s="11" t="str">
        <f>CONCATENATE("          ", "6373", " - ", "MAINTENANCE CONTRACTS")</f>
        <v xml:space="preserve">          6373 - MAINTENANCE CONTRACTS</v>
      </c>
      <c r="C68" s="11"/>
      <c r="D68" s="6">
        <v>1404.99</v>
      </c>
      <c r="E68" s="2"/>
      <c r="F68" s="7">
        <f t="shared" si="41"/>
        <v>3.421409898781555E-2</v>
      </c>
      <c r="G68" s="2"/>
      <c r="H68" s="6">
        <v>14754.36</v>
      </c>
      <c r="I68" s="2"/>
      <c r="J68" s="7">
        <f t="shared" si="42"/>
        <v>0.3771679148726661</v>
      </c>
      <c r="K68" s="2"/>
      <c r="L68" s="6">
        <f t="shared" si="43"/>
        <v>-13349.37</v>
      </c>
      <c r="M68" s="2"/>
      <c r="N68" s="7">
        <f t="shared" si="44"/>
        <v>-0.9047745886639611</v>
      </c>
      <c r="O68" s="11"/>
      <c r="P68" s="6">
        <v>29449.96</v>
      </c>
      <c r="Q68" s="2"/>
      <c r="R68" s="7">
        <f t="shared" si="45"/>
        <v>0.10884963118220543</v>
      </c>
      <c r="S68" s="2"/>
      <c r="T68" s="6">
        <v>40752.839999999997</v>
      </c>
      <c r="U68" s="2"/>
      <c r="V68" s="7">
        <f t="shared" si="46"/>
        <v>0.14703153731162241</v>
      </c>
      <c r="W68" s="2"/>
      <c r="X68" s="6">
        <f t="shared" si="47"/>
        <v>-11302.879999999997</v>
      </c>
      <c r="Y68" s="2"/>
      <c r="Z68" s="7">
        <f t="shared" si="48"/>
        <v>-0.27735195878373137</v>
      </c>
    </row>
    <row r="69" spans="1:26" s="24" customFormat="1" hidden="1" outlineLevel="2" x14ac:dyDescent="0.25">
      <c r="A69" s="26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41"/>
        <v>0</v>
      </c>
      <c r="G69" s="2"/>
      <c r="H69" s="6">
        <v>32.92</v>
      </c>
      <c r="I69" s="2"/>
      <c r="J69" s="7">
        <f t="shared" si="42"/>
        <v>8.4153889139265735E-4</v>
      </c>
      <c r="K69" s="2"/>
      <c r="L69" s="6">
        <f t="shared" si="43"/>
        <v>-32.92</v>
      </c>
      <c r="M69" s="2"/>
      <c r="N69" s="7">
        <f t="shared" si="44"/>
        <v>-1</v>
      </c>
      <c r="O69" s="11"/>
      <c r="P69" s="6"/>
      <c r="Q69" s="2"/>
      <c r="R69" s="7">
        <f t="shared" si="45"/>
        <v>0</v>
      </c>
      <c r="S69" s="2"/>
      <c r="T69" s="6">
        <v>148.54</v>
      </c>
      <c r="U69" s="2"/>
      <c r="V69" s="7">
        <f t="shared" si="46"/>
        <v>5.3591515468046883E-4</v>
      </c>
      <c r="W69" s="2"/>
      <c r="X69" s="6">
        <f t="shared" si="47"/>
        <v>-148.54</v>
      </c>
      <c r="Y69" s="2"/>
      <c r="Z69" s="7">
        <f t="shared" si="48"/>
        <v>-1</v>
      </c>
    </row>
    <row r="70" spans="1:26" s="25" customFormat="1" outlineLevel="1" collapsed="1" x14ac:dyDescent="0.25">
      <c r="A70" s="27"/>
      <c r="B70" s="13" t="str">
        <f>CONCATENATE("     ","Royalty &amp; Commissions                             ")</f>
        <v xml:space="preserve">     Royalty &amp; Commissions                             </v>
      </c>
      <c r="C70" s="13"/>
      <c r="D70" s="1">
        <f>SUM(OSRRefD22_9x_0)</f>
        <v>17653.419999999998</v>
      </c>
      <c r="E70" s="1"/>
      <c r="F70" s="5">
        <f t="shared" ref="F70:F77" si="49">IF(D$12=0,0,D70/D$12)</f>
        <v>0.42989335109394561</v>
      </c>
      <c r="G70" s="1"/>
      <c r="H70" s="1">
        <f>SUM(OSRRefH22_9x_0)</f>
        <v>19578.32</v>
      </c>
      <c r="I70" s="1"/>
      <c r="J70" s="5">
        <f t="shared" ref="J70:J77" si="50">IF(H$12=0,0,H70/H$12)</f>
        <v>0.50048352697845355</v>
      </c>
      <c r="K70" s="1"/>
      <c r="L70" s="1">
        <f t="shared" ref="L70:L77" si="51">+D70-H70</f>
        <v>-1924.9000000000015</v>
      </c>
      <c r="M70" s="1"/>
      <c r="N70" s="5">
        <f t="shared" ref="N70:N77" si="52">IF(H70=0,0,L70/H70)</f>
        <v>-9.8317935348896199E-2</v>
      </c>
      <c r="O70" s="13"/>
      <c r="P70" s="1">
        <f>SUM(OSRRefP22_9x_0)</f>
        <v>43867.68</v>
      </c>
      <c r="Q70" s="1"/>
      <c r="R70" s="5">
        <f t="shared" ref="R70:R77" si="53">IF(P$12=0,0,P70/P$12)</f>
        <v>0.16213878690561923</v>
      </c>
      <c r="S70" s="1"/>
      <c r="T70" s="1">
        <f>SUM(OSRRefT22_9x_0)</f>
        <v>45940.700000000004</v>
      </c>
      <c r="U70" s="1"/>
      <c r="V70" s="5">
        <f t="shared" ref="V70:V77" si="54">IF(T$12=0,0,T70/T$12)</f>
        <v>0.16574873668122403</v>
      </c>
      <c r="W70" s="1"/>
      <c r="X70" s="1">
        <f t="shared" ref="X70:X77" si="55">+P70-T70</f>
        <v>-2073.0200000000041</v>
      </c>
      <c r="Y70" s="1"/>
      <c r="Z70" s="5">
        <f t="shared" ref="Z70:Z77" si="56">IF(T70=0,0,X70/T70)</f>
        <v>-4.5123822667046953E-2</v>
      </c>
    </row>
    <row r="71" spans="1:26" s="24" customFormat="1" hidden="1" outlineLevel="2" x14ac:dyDescent="0.25">
      <c r="A71" s="26"/>
      <c r="B71" s="11" t="str">
        <f>CONCATENATE("          ", "6259", " - ", "ROYALTY &amp; COMMISSIONS")</f>
        <v xml:space="preserve">          6259 - ROYALTY &amp; COMMISSIONS</v>
      </c>
      <c r="C71" s="11"/>
      <c r="D71" s="6">
        <v>17653.419999999998</v>
      </c>
      <c r="E71" s="2"/>
      <c r="F71" s="7">
        <f t="shared" si="49"/>
        <v>0.42989335109394561</v>
      </c>
      <c r="G71" s="2"/>
      <c r="H71" s="6">
        <v>19578.32</v>
      </c>
      <c r="I71" s="2"/>
      <c r="J71" s="7">
        <f t="shared" si="50"/>
        <v>0.50048352697845355</v>
      </c>
      <c r="K71" s="2"/>
      <c r="L71" s="6">
        <f t="shared" si="51"/>
        <v>-1924.9000000000015</v>
      </c>
      <c r="M71" s="2"/>
      <c r="N71" s="7">
        <f t="shared" si="52"/>
        <v>-9.8317935348896199E-2</v>
      </c>
      <c r="O71" s="11"/>
      <c r="P71" s="6">
        <v>43867.68</v>
      </c>
      <c r="Q71" s="2"/>
      <c r="R71" s="7">
        <f t="shared" si="53"/>
        <v>0.16213878690561923</v>
      </c>
      <c r="S71" s="2"/>
      <c r="T71" s="6">
        <v>45940.700000000004</v>
      </c>
      <c r="U71" s="2"/>
      <c r="V71" s="7">
        <f t="shared" si="54"/>
        <v>0.16574873668122403</v>
      </c>
      <c r="W71" s="2"/>
      <c r="X71" s="6">
        <f t="shared" si="55"/>
        <v>-2073.0200000000041</v>
      </c>
      <c r="Y71" s="2"/>
      <c r="Z71" s="7">
        <f t="shared" si="56"/>
        <v>-4.5123822667046953E-2</v>
      </c>
    </row>
    <row r="72" spans="1:26" s="25" customFormat="1" outlineLevel="1" collapsed="1" x14ac:dyDescent="0.25">
      <c r="A72" s="27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SUM(OSRRefD22_10x_0)</f>
        <v>1828.3600000000001</v>
      </c>
      <c r="E72" s="1"/>
      <c r="F72" s="5">
        <f t="shared" si="49"/>
        <v>4.4523939690220171E-2</v>
      </c>
      <c r="G72" s="1"/>
      <c r="H72" s="1">
        <f>SUM(OSRRefH22_10x_0)</f>
        <v>2133.13</v>
      </c>
      <c r="I72" s="1"/>
      <c r="J72" s="5">
        <f t="shared" si="50"/>
        <v>5.4529521731361455E-2</v>
      </c>
      <c r="K72" s="1"/>
      <c r="L72" s="1">
        <f t="shared" si="51"/>
        <v>-304.77</v>
      </c>
      <c r="M72" s="1"/>
      <c r="N72" s="5">
        <f t="shared" si="52"/>
        <v>-0.14287455523104545</v>
      </c>
      <c r="O72" s="13"/>
      <c r="P72" s="1">
        <f>SUM(OSRRefP22_10x_0)</f>
        <v>19158.36</v>
      </c>
      <c r="Q72" s="1"/>
      <c r="R72" s="5">
        <f t="shared" si="53"/>
        <v>7.0810976315618682E-2</v>
      </c>
      <c r="S72" s="1"/>
      <c r="T72" s="1">
        <f>SUM(OSRRefT22_10x_0)</f>
        <v>32502.270000000004</v>
      </c>
      <c r="U72" s="1"/>
      <c r="V72" s="5">
        <f t="shared" si="54"/>
        <v>0.11726443418955408</v>
      </c>
      <c r="W72" s="1"/>
      <c r="X72" s="1">
        <f t="shared" si="55"/>
        <v>-13343.910000000003</v>
      </c>
      <c r="Y72" s="1"/>
      <c r="Z72" s="5">
        <f t="shared" si="56"/>
        <v>-0.41055317059393087</v>
      </c>
    </row>
    <row r="73" spans="1:26" s="24" customFormat="1" hidden="1" outlineLevel="2" x14ac:dyDescent="0.25">
      <c r="A73" s="26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49"/>
        <v>0</v>
      </c>
      <c r="G73" s="2"/>
      <c r="H73" s="6"/>
      <c r="I73" s="2"/>
      <c r="J73" s="7">
        <f t="shared" si="50"/>
        <v>0</v>
      </c>
      <c r="K73" s="2"/>
      <c r="L73" s="6">
        <f t="shared" si="51"/>
        <v>0</v>
      </c>
      <c r="M73" s="2"/>
      <c r="N73" s="7">
        <f t="shared" si="52"/>
        <v>0</v>
      </c>
      <c r="O73" s="11"/>
      <c r="P73" s="6">
        <v>1017.27</v>
      </c>
      <c r="Q73" s="2"/>
      <c r="R73" s="7">
        <f t="shared" si="53"/>
        <v>3.7599190054153596E-3</v>
      </c>
      <c r="S73" s="2"/>
      <c r="T73" s="6">
        <v>856.68</v>
      </c>
      <c r="U73" s="2"/>
      <c r="V73" s="7">
        <f t="shared" si="54"/>
        <v>3.090802441845052E-3</v>
      </c>
      <c r="W73" s="2"/>
      <c r="X73" s="6">
        <f t="shared" si="55"/>
        <v>160.59000000000003</v>
      </c>
      <c r="Y73" s="2"/>
      <c r="Z73" s="7">
        <f t="shared" si="56"/>
        <v>0.18745622636223566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49"/>
        <v>0</v>
      </c>
      <c r="G74" s="2"/>
      <c r="H74" s="6"/>
      <c r="I74" s="2"/>
      <c r="J74" s="7">
        <f t="shared" si="50"/>
        <v>0</v>
      </c>
      <c r="K74" s="2"/>
      <c r="L74" s="6">
        <f t="shared" si="51"/>
        <v>0</v>
      </c>
      <c r="M74" s="2"/>
      <c r="N74" s="7">
        <f t="shared" si="52"/>
        <v>0</v>
      </c>
      <c r="O74" s="11"/>
      <c r="P74" s="6">
        <v>115.02</v>
      </c>
      <c r="Q74" s="2"/>
      <c r="R74" s="7">
        <f t="shared" si="53"/>
        <v>4.2512399264981241E-4</v>
      </c>
      <c r="S74" s="2"/>
      <c r="T74" s="6">
        <v>1.59</v>
      </c>
      <c r="U74" s="2"/>
      <c r="V74" s="7">
        <f t="shared" si="54"/>
        <v>5.7365362592025412E-6</v>
      </c>
      <c r="W74" s="2"/>
      <c r="X74" s="6">
        <f t="shared" si="55"/>
        <v>113.42999999999999</v>
      </c>
      <c r="Y74" s="2"/>
      <c r="Z74" s="7">
        <f t="shared" si="56"/>
        <v>71.339622641509422</v>
      </c>
    </row>
    <row r="75" spans="1:26" s="24" customFormat="1" hidden="1" outlineLevel="2" x14ac:dyDescent="0.25">
      <c r="A75" s="26"/>
      <c r="B75" s="11" t="str">
        <f>CONCATENATE("          ", "6243", " - ", "PAPER SUPPLIES")</f>
        <v xml:space="preserve">          6243 - PAPER SUPPLIES</v>
      </c>
      <c r="C75" s="11"/>
      <c r="D75" s="6">
        <v>1423.15</v>
      </c>
      <c r="E75" s="2"/>
      <c r="F75" s="7">
        <f t="shared" si="49"/>
        <v>3.4656328496651005E-2</v>
      </c>
      <c r="G75" s="2"/>
      <c r="H75" s="6">
        <v>1616.13</v>
      </c>
      <c r="I75" s="2"/>
      <c r="J75" s="7">
        <f t="shared" si="50"/>
        <v>4.1313373285128047E-2</v>
      </c>
      <c r="K75" s="2"/>
      <c r="L75" s="6">
        <f t="shared" si="51"/>
        <v>-192.98000000000002</v>
      </c>
      <c r="M75" s="2"/>
      <c r="N75" s="7">
        <f t="shared" si="52"/>
        <v>-0.11940871093290763</v>
      </c>
      <c r="O75" s="11"/>
      <c r="P75" s="6">
        <v>6329.48</v>
      </c>
      <c r="Q75" s="2"/>
      <c r="R75" s="7">
        <f t="shared" si="53"/>
        <v>2.339431237173652E-2</v>
      </c>
      <c r="S75" s="2"/>
      <c r="T75" s="6">
        <v>18272.030000000002</v>
      </c>
      <c r="U75" s="2"/>
      <c r="V75" s="7">
        <f t="shared" si="54"/>
        <v>6.592337271964567E-2</v>
      </c>
      <c r="W75" s="2"/>
      <c r="X75" s="6">
        <f t="shared" si="55"/>
        <v>-11942.550000000003</v>
      </c>
      <c r="Y75" s="2"/>
      <c r="Z75" s="7">
        <f t="shared" si="56"/>
        <v>-0.65359732881349264</v>
      </c>
    </row>
    <row r="76" spans="1:26" s="24" customFormat="1" hidden="1" outlineLevel="2" x14ac:dyDescent="0.25">
      <c r="A76" s="26"/>
      <c r="B76" s="11" t="str">
        <f>CONCATENATE("          ", "6245", " - ", "PRINTING")</f>
        <v xml:space="preserve">          6245 - PRINTING</v>
      </c>
      <c r="C76" s="11"/>
      <c r="D76" s="6">
        <v>214.98</v>
      </c>
      <c r="E76" s="2"/>
      <c r="F76" s="7">
        <f t="shared" si="49"/>
        <v>5.2351596811369373E-3</v>
      </c>
      <c r="G76" s="2"/>
      <c r="H76" s="6">
        <v>182.57</v>
      </c>
      <c r="I76" s="2"/>
      <c r="J76" s="7">
        <f t="shared" si="50"/>
        <v>4.6670642588565441E-3</v>
      </c>
      <c r="K76" s="2"/>
      <c r="L76" s="6">
        <f t="shared" si="51"/>
        <v>32.409999999999997</v>
      </c>
      <c r="M76" s="2"/>
      <c r="N76" s="7">
        <f t="shared" si="52"/>
        <v>0.17752095086816014</v>
      </c>
      <c r="O76" s="11"/>
      <c r="P76" s="6">
        <v>464.42</v>
      </c>
      <c r="Q76" s="2"/>
      <c r="R76" s="7">
        <f t="shared" si="53"/>
        <v>1.7165369906661963E-3</v>
      </c>
      <c r="S76" s="2"/>
      <c r="T76" s="6">
        <v>4569.7</v>
      </c>
      <c r="U76" s="2"/>
      <c r="V76" s="7">
        <f t="shared" si="54"/>
        <v>1.6486949524325691E-2</v>
      </c>
      <c r="W76" s="2"/>
      <c r="X76" s="6">
        <f t="shared" si="55"/>
        <v>-4105.28</v>
      </c>
      <c r="Y76" s="2"/>
      <c r="Z76" s="7">
        <f t="shared" si="56"/>
        <v>-0.89836969604131556</v>
      </c>
    </row>
    <row r="77" spans="1:26" s="24" customFormat="1" hidden="1" outlineLevel="2" x14ac:dyDescent="0.25">
      <c r="A77" s="26"/>
      <c r="B77" s="11" t="str">
        <f>CONCATENATE("          ", "6247", " - ", "STORE SUPPLIES")</f>
        <v xml:space="preserve">          6247 - STORE SUPPLIES</v>
      </c>
      <c r="C77" s="11"/>
      <c r="D77" s="6">
        <v>190.23</v>
      </c>
      <c r="E77" s="2"/>
      <c r="F77" s="7">
        <f t="shared" si="49"/>
        <v>4.6324515124322244E-3</v>
      </c>
      <c r="G77" s="2"/>
      <c r="H77" s="6">
        <v>334.43</v>
      </c>
      <c r="I77" s="2"/>
      <c r="J77" s="7">
        <f t="shared" si="50"/>
        <v>8.5490841873768642E-3</v>
      </c>
      <c r="K77" s="2"/>
      <c r="L77" s="6">
        <f t="shared" si="51"/>
        <v>-144.20000000000002</v>
      </c>
      <c r="M77" s="2"/>
      <c r="N77" s="7">
        <f t="shared" si="52"/>
        <v>-0.43118141315073411</v>
      </c>
      <c r="O77" s="11"/>
      <c r="P77" s="6">
        <v>11232.17</v>
      </c>
      <c r="Q77" s="2"/>
      <c r="R77" s="7">
        <f t="shared" si="53"/>
        <v>4.1515083955150786E-2</v>
      </c>
      <c r="S77" s="2"/>
      <c r="T77" s="6">
        <v>8802.27</v>
      </c>
      <c r="U77" s="2"/>
      <c r="V77" s="7">
        <f t="shared" si="54"/>
        <v>3.1757572967478463E-2</v>
      </c>
      <c r="W77" s="2"/>
      <c r="X77" s="6">
        <f t="shared" si="55"/>
        <v>2429.8999999999996</v>
      </c>
      <c r="Y77" s="2"/>
      <c r="Z77" s="7">
        <f t="shared" si="56"/>
        <v>0.27605379066990671</v>
      </c>
    </row>
    <row r="78" spans="1:26" s="25" customFormat="1" outlineLevel="1" collapsed="1" x14ac:dyDescent="0.25">
      <c r="A78" s="27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SUM(OSRRefD22_11x_0)</f>
        <v>194.7</v>
      </c>
      <c r="E78" s="1"/>
      <c r="F78" s="5">
        <f t="shared" ref="F78:F81" si="57">IF(D$12=0,0,D78/D$12)</f>
        <v>4.7413042604770757E-3</v>
      </c>
      <c r="G78" s="1"/>
      <c r="H78" s="1">
        <f>SUM(OSRRefH22_11x_0)</f>
        <v>304.75</v>
      </c>
      <c r="I78" s="1"/>
      <c r="J78" s="5">
        <f t="shared" ref="J78:J81" si="58">IF(H$12=0,0,H78/H$12)</f>
        <v>7.7903699013339095E-3</v>
      </c>
      <c r="K78" s="1"/>
      <c r="L78" s="1">
        <f t="shared" ref="L78:L81" si="59">+D78-H78</f>
        <v>-110.05000000000001</v>
      </c>
      <c r="M78" s="1"/>
      <c r="N78" s="5">
        <f t="shared" ref="N78:N81" si="60">IF(H78=0,0,L78/H78)</f>
        <v>-0.36111566858080396</v>
      </c>
      <c r="O78" s="13"/>
      <c r="P78" s="1">
        <f>SUM(OSRRefP22_11x_0)</f>
        <v>1029.6500000000001</v>
      </c>
      <c r="Q78" s="1"/>
      <c r="R78" s="5">
        <f t="shared" ref="R78:R81" si="61">IF(P$12=0,0,P78/P$12)</f>
        <v>3.8056765695694611E-3</v>
      </c>
      <c r="S78" s="1"/>
      <c r="T78" s="1">
        <f>SUM(OSRRefT22_11x_0)</f>
        <v>1519.2</v>
      </c>
      <c r="U78" s="1"/>
      <c r="V78" s="5">
        <f t="shared" ref="V78:V81" si="62">IF(T$12=0,0,T78/T$12)</f>
        <v>5.4810980408682396E-3</v>
      </c>
      <c r="W78" s="1"/>
      <c r="X78" s="1">
        <f t="shared" ref="X78:X81" si="63">+P78-T78</f>
        <v>-489.54999999999995</v>
      </c>
      <c r="Y78" s="1"/>
      <c r="Z78" s="5">
        <f t="shared" ref="Z78:Z81" si="64">IF(T78=0,0,X78/T78)</f>
        <v>-0.32224196945760925</v>
      </c>
    </row>
    <row r="79" spans="1:26" s="24" customFormat="1" hidden="1" outlineLevel="2" x14ac:dyDescent="0.25">
      <c r="A79" s="26"/>
      <c r="B79" s="11" t="str">
        <f>CONCATENATE("          ", "6309", " - ", "TELEPHONE")</f>
        <v xml:space="preserve">          6309 - TELEPHONE</v>
      </c>
      <c r="C79" s="11"/>
      <c r="D79" s="6">
        <v>194.7</v>
      </c>
      <c r="E79" s="2"/>
      <c r="F79" s="7">
        <f t="shared" si="57"/>
        <v>4.7413042604770757E-3</v>
      </c>
      <c r="G79" s="2"/>
      <c r="H79" s="6">
        <v>304.75</v>
      </c>
      <c r="I79" s="2"/>
      <c r="J79" s="7">
        <f t="shared" si="58"/>
        <v>7.7903699013339095E-3</v>
      </c>
      <c r="K79" s="2"/>
      <c r="L79" s="6">
        <f t="shared" si="59"/>
        <v>-110.05000000000001</v>
      </c>
      <c r="M79" s="2"/>
      <c r="N79" s="7">
        <f t="shared" si="60"/>
        <v>-0.36111566858080396</v>
      </c>
      <c r="O79" s="11"/>
      <c r="P79" s="6">
        <v>1029.6500000000001</v>
      </c>
      <c r="Q79" s="2"/>
      <c r="R79" s="7">
        <f t="shared" si="61"/>
        <v>3.8056765695694611E-3</v>
      </c>
      <c r="S79" s="2"/>
      <c r="T79" s="6">
        <v>1519.2</v>
      </c>
      <c r="U79" s="2"/>
      <c r="V79" s="7">
        <f t="shared" si="62"/>
        <v>5.4810980408682396E-3</v>
      </c>
      <c r="W79" s="2"/>
      <c r="X79" s="6">
        <f t="shared" si="63"/>
        <v>-489.54999999999995</v>
      </c>
      <c r="Y79" s="2"/>
      <c r="Z79" s="7">
        <f t="shared" si="64"/>
        <v>-0.32224196945760925</v>
      </c>
    </row>
    <row r="80" spans="1:26" s="25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SUM(OSRRefD22_12x_0)</f>
        <v>0</v>
      </c>
      <c r="E80" s="1"/>
      <c r="F80" s="5">
        <f t="shared" si="57"/>
        <v>0</v>
      </c>
      <c r="G80" s="1"/>
      <c r="H80" s="1">
        <f>SUM(OSRRefH22_12x_0)</f>
        <v>0</v>
      </c>
      <c r="I80" s="1"/>
      <c r="J80" s="5">
        <f t="shared" si="58"/>
        <v>0</v>
      </c>
      <c r="K80" s="1"/>
      <c r="L80" s="1">
        <f t="shared" si="59"/>
        <v>0</v>
      </c>
      <c r="M80" s="1"/>
      <c r="N80" s="5">
        <f t="shared" si="60"/>
        <v>0</v>
      </c>
      <c r="O80" s="13"/>
      <c r="P80" s="1">
        <f>SUM(OSRRefP22_12x_0)</f>
        <v>97.71</v>
      </c>
      <c r="Q80" s="1"/>
      <c r="R80" s="5">
        <f t="shared" si="61"/>
        <v>3.6114471676067787E-4</v>
      </c>
      <c r="S80" s="1"/>
      <c r="T80" s="1">
        <f>SUM(OSRRefT22_12x_0)</f>
        <v>0</v>
      </c>
      <c r="U80" s="1"/>
      <c r="V80" s="5">
        <f t="shared" si="62"/>
        <v>0</v>
      </c>
      <c r="W80" s="1"/>
      <c r="X80" s="1">
        <f t="shared" si="63"/>
        <v>97.71</v>
      </c>
      <c r="Y80" s="1"/>
      <c r="Z80" s="5">
        <f t="shared" si="64"/>
        <v>0</v>
      </c>
    </row>
    <row r="81" spans="1:26" s="24" customFormat="1" hidden="1" outlineLevel="2" x14ac:dyDescent="0.25">
      <c r="A81" s="26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57"/>
        <v>0</v>
      </c>
      <c r="G81" s="2"/>
      <c r="H81" s="6"/>
      <c r="I81" s="2"/>
      <c r="J81" s="7">
        <f t="shared" si="58"/>
        <v>0</v>
      </c>
      <c r="K81" s="2"/>
      <c r="L81" s="6">
        <f t="shared" si="59"/>
        <v>0</v>
      </c>
      <c r="M81" s="2"/>
      <c r="N81" s="7">
        <f t="shared" si="60"/>
        <v>0</v>
      </c>
      <c r="O81" s="11"/>
      <c r="P81" s="6">
        <v>97.71</v>
      </c>
      <c r="Q81" s="2"/>
      <c r="R81" s="7">
        <f t="shared" si="61"/>
        <v>3.6114471676067787E-4</v>
      </c>
      <c r="S81" s="2"/>
      <c r="T81" s="6"/>
      <c r="U81" s="2"/>
      <c r="V81" s="7">
        <f t="shared" si="62"/>
        <v>0</v>
      </c>
      <c r="W81" s="2"/>
      <c r="X81" s="6">
        <f t="shared" si="63"/>
        <v>97.71</v>
      </c>
      <c r="Y81" s="2"/>
      <c r="Z81" s="7">
        <f t="shared" si="64"/>
        <v>0</v>
      </c>
    </row>
    <row r="82" spans="1:26" s="53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8" t="s">
        <v>0</v>
      </c>
      <c r="C83" s="10"/>
      <c r="D83" s="4">
        <f>SUM(OSRRefD25x_0)</f>
        <v>14574</v>
      </c>
      <c r="E83" s="4"/>
      <c r="F83" s="12">
        <f t="shared" ref="F83:F89" si="65">IF(D$12=0,0,D83/D$12)</f>
        <v>0.35490379194757526</v>
      </c>
      <c r="G83" s="4"/>
      <c r="H83" s="4">
        <f>SUM(OSRRefH25x_0)</f>
        <v>13078.5</v>
      </c>
      <c r="I83" s="4"/>
      <c r="J83" s="12">
        <f t="shared" ref="J83:J89" si="66">IF(H$12=0,0,H83/H$12)</f>
        <v>0.3343276546500264</v>
      </c>
      <c r="K83" s="4"/>
      <c r="L83" s="4">
        <f t="shared" ref="L83:L89" si="67">+D83-H83</f>
        <v>1495.5</v>
      </c>
      <c r="M83" s="4"/>
      <c r="N83" s="12">
        <f t="shared" ref="N83:N89" si="68">IF(H83=0,0,L83/H83)</f>
        <v>0.11434797568528501</v>
      </c>
      <c r="O83" s="10"/>
      <c r="P83" s="4">
        <f>SUM(OSRRefP25x_0)</f>
        <v>152078.40000000002</v>
      </c>
      <c r="Q83" s="4"/>
      <c r="R83" s="12">
        <f t="shared" ref="R83:R89" si="69">IF(P$12=0,0,P83/P$12)</f>
        <v>0.56209508436615585</v>
      </c>
      <c r="S83" s="4"/>
      <c r="T83" s="4">
        <f>SUM(OSRRefT25x_0)</f>
        <v>62395.5</v>
      </c>
      <c r="U83" s="4"/>
      <c r="V83" s="12">
        <f t="shared" ref="V83:V89" si="70">IF(T$12=0,0,T83/T$12)</f>
        <v>0.22511575356042274</v>
      </c>
      <c r="W83" s="4"/>
      <c r="X83" s="4">
        <f t="shared" ref="X83:X89" si="71">+P83-T83</f>
        <v>89682.900000000023</v>
      </c>
      <c r="Y83" s="4"/>
      <c r="Z83" s="12">
        <f t="shared" ref="Z83:Z89" si="72">IF(T83=0,0,X83/T83)</f>
        <v>1.4373296151164752</v>
      </c>
    </row>
    <row r="84" spans="1:26" s="24" customFormat="1" hidden="1" outlineLevel="1" x14ac:dyDescent="0.25">
      <c r="A84" s="44"/>
      <c r="B84" s="11" t="str">
        <f>CONCATENATE("          ", "4098", " - ", "TAXABLE SALES-GRAD RENTALS")</f>
        <v xml:space="preserve">          4098 - TAXABLE SALES-GRAD RENTALS</v>
      </c>
      <c r="C84" s="11"/>
      <c r="D84" s="2">
        <f t="shared" ref="D84:D86" si="73">0</f>
        <v>0</v>
      </c>
      <c r="E84" s="2"/>
      <c r="F84" s="19">
        <f t="shared" si="65"/>
        <v>0</v>
      </c>
      <c r="G84" s="2"/>
      <c r="H84" s="2">
        <f>--980.5</f>
        <v>980.5</v>
      </c>
      <c r="I84" s="2"/>
      <c r="J84" s="19">
        <f t="shared" si="66"/>
        <v>2.5064668378204754E-2</v>
      </c>
      <c r="K84" s="2"/>
      <c r="L84" s="2">
        <f t="shared" si="67"/>
        <v>-980.5</v>
      </c>
      <c r="M84" s="2"/>
      <c r="N84" s="19">
        <f t="shared" si="68"/>
        <v>-1</v>
      </c>
      <c r="O84" s="11"/>
      <c r="P84" s="2">
        <f>--1626.85</f>
        <v>1626.85</v>
      </c>
      <c r="Q84" s="2"/>
      <c r="R84" s="19">
        <f t="shared" si="69"/>
        <v>6.0129800681824669E-3</v>
      </c>
      <c r="S84" s="2"/>
      <c r="T84" s="2">
        <f>--980.5</f>
        <v>980.5</v>
      </c>
      <c r="U84" s="2"/>
      <c r="V84" s="19">
        <f t="shared" si="70"/>
        <v>3.5375306931749004E-3</v>
      </c>
      <c r="W84" s="2"/>
      <c r="X84" s="2">
        <f t="shared" si="71"/>
        <v>646.34999999999991</v>
      </c>
      <c r="Y84" s="2"/>
      <c r="Z84" s="19">
        <f t="shared" si="72"/>
        <v>0.65920448750637417</v>
      </c>
    </row>
    <row r="85" spans="1:26" s="24" customFormat="1" hidden="1" outlineLevel="1" x14ac:dyDescent="0.25">
      <c r="A85" s="44"/>
      <c r="B85" s="11" t="str">
        <f>CONCATENATE("          ", "4197", " - ", "NON-TAXABLE SALES-RETURNED CHE")</f>
        <v xml:space="preserve">          4197 - NON-TAXABLE SALES-RETURNED CHE</v>
      </c>
      <c r="C85" s="11"/>
      <c r="D85" s="2">
        <f t="shared" si="73"/>
        <v>0</v>
      </c>
      <c r="E85" s="2"/>
      <c r="F85" s="19">
        <f t="shared" si="65"/>
        <v>0</v>
      </c>
      <c r="G85" s="2"/>
      <c r="H85" s="2">
        <f>0</f>
        <v>0</v>
      </c>
      <c r="I85" s="2"/>
      <c r="J85" s="19">
        <f t="shared" si="66"/>
        <v>0</v>
      </c>
      <c r="K85" s="2"/>
      <c r="L85" s="2">
        <f t="shared" si="67"/>
        <v>0</v>
      </c>
      <c r="M85" s="2"/>
      <c r="N85" s="19">
        <f t="shared" si="68"/>
        <v>0</v>
      </c>
      <c r="O85" s="11"/>
      <c r="P85" s="2">
        <f>--30</f>
        <v>30</v>
      </c>
      <c r="Q85" s="2"/>
      <c r="R85" s="19">
        <f t="shared" si="69"/>
        <v>1.1088262719087439E-4</v>
      </c>
      <c r="S85" s="2"/>
      <c r="T85" s="2">
        <f>--260</f>
        <v>260</v>
      </c>
      <c r="U85" s="2"/>
      <c r="V85" s="19">
        <f t="shared" si="70"/>
        <v>9.3804995433500668E-4</v>
      </c>
      <c r="W85" s="2"/>
      <c r="X85" s="2">
        <f t="shared" si="71"/>
        <v>-230</v>
      </c>
      <c r="Y85" s="2"/>
      <c r="Z85" s="19">
        <f t="shared" si="72"/>
        <v>-0.88461538461538458</v>
      </c>
    </row>
    <row r="86" spans="1:26" s="24" customFormat="1" hidden="1" outlineLevel="1" x14ac:dyDescent="0.25">
      <c r="A86" s="44"/>
      <c r="B86" s="11" t="str">
        <f>CONCATENATE("          ", "4198", " - ", "NON-TAXABLE SALES-GRAD RENTALS")</f>
        <v xml:space="preserve">          4198 - NON-TAXABLE SALES-GRAD RENTALS</v>
      </c>
      <c r="C86" s="11"/>
      <c r="D86" s="2">
        <f t="shared" si="73"/>
        <v>0</v>
      </c>
      <c r="E86" s="2"/>
      <c r="F86" s="19">
        <f t="shared" si="65"/>
        <v>0</v>
      </c>
      <c r="G86" s="2"/>
      <c r="H86" s="2">
        <f>--15</f>
        <v>15</v>
      </c>
      <c r="I86" s="2"/>
      <c r="J86" s="19">
        <f t="shared" si="66"/>
        <v>3.8344724698936389E-4</v>
      </c>
      <c r="K86" s="2"/>
      <c r="L86" s="2">
        <f t="shared" si="67"/>
        <v>-15</v>
      </c>
      <c r="M86" s="2"/>
      <c r="N86" s="19">
        <f t="shared" si="68"/>
        <v>-1</v>
      </c>
      <c r="O86" s="11"/>
      <c r="P86" s="2">
        <f>--495</f>
        <v>495</v>
      </c>
      <c r="Q86" s="2"/>
      <c r="R86" s="19">
        <f t="shared" si="69"/>
        <v>1.8295633486494275E-3</v>
      </c>
      <c r="S86" s="2"/>
      <c r="T86" s="2">
        <f>--450</f>
        <v>450</v>
      </c>
      <c r="U86" s="2"/>
      <c r="V86" s="19">
        <f t="shared" si="70"/>
        <v>1.6235479978875115E-3</v>
      </c>
      <c r="W86" s="2"/>
      <c r="X86" s="2">
        <f t="shared" si="71"/>
        <v>45</v>
      </c>
      <c r="Y86" s="2"/>
      <c r="Z86" s="19">
        <f t="shared" si="72"/>
        <v>0.1</v>
      </c>
    </row>
    <row r="87" spans="1:26" s="24" customFormat="1" hidden="1" outlineLevel="1" x14ac:dyDescent="0.25">
      <c r="A87" s="44"/>
      <c r="B87" s="11" t="str">
        <f>CONCATENATE("          ", "9150", " - ", "MISC. INCOME")</f>
        <v xml:space="preserve">          9150 - MISC. INCOME</v>
      </c>
      <c r="C87" s="11"/>
      <c r="D87" s="2">
        <f>--13269</f>
        <v>13269</v>
      </c>
      <c r="E87" s="2"/>
      <c r="F87" s="19">
        <f t="shared" si="65"/>
        <v>0.32312463396132679</v>
      </c>
      <c r="G87" s="2"/>
      <c r="H87" s="2">
        <f>--12083</f>
        <v>12083</v>
      </c>
      <c r="I87" s="2"/>
      <c r="J87" s="19">
        <f t="shared" si="66"/>
        <v>0.30887953902483228</v>
      </c>
      <c r="K87" s="2"/>
      <c r="L87" s="2">
        <f t="shared" si="67"/>
        <v>1186</v>
      </c>
      <c r="M87" s="2"/>
      <c r="N87" s="19">
        <f t="shared" si="68"/>
        <v>9.8154431846395759E-2</v>
      </c>
      <c r="O87" s="11"/>
      <c r="P87" s="2">
        <f>--66345</f>
        <v>66345</v>
      </c>
      <c r="Q87" s="2"/>
      <c r="R87" s="19">
        <f t="shared" si="69"/>
        <v>0.24521693003261871</v>
      </c>
      <c r="S87" s="2"/>
      <c r="T87" s="2">
        <f>--60415</f>
        <v>60415</v>
      </c>
      <c r="U87" s="2"/>
      <c r="V87" s="19">
        <f t="shared" si="70"/>
        <v>0.2179703384274978</v>
      </c>
      <c r="W87" s="2"/>
      <c r="X87" s="2">
        <f t="shared" si="71"/>
        <v>5930</v>
      </c>
      <c r="Y87" s="2"/>
      <c r="Z87" s="19">
        <f t="shared" si="72"/>
        <v>9.8154431846395759E-2</v>
      </c>
    </row>
    <row r="88" spans="1:26" s="24" customFormat="1" hidden="1" outlineLevel="1" x14ac:dyDescent="0.25">
      <c r="A88" s="44"/>
      <c r="B88" s="11" t="str">
        <f>CONCATENATE("          ", "9160", " - ", "MISC. INCOME")</f>
        <v xml:space="preserve">          9160 - MISC. INCOME</v>
      </c>
      <c r="C88" s="11"/>
      <c r="D88" s="2">
        <f>--1305</f>
        <v>1305</v>
      </c>
      <c r="E88" s="2"/>
      <c r="F88" s="19">
        <f t="shared" si="65"/>
        <v>3.1779157986248509E-2</v>
      </c>
      <c r="G88" s="2"/>
      <c r="H88" s="2">
        <f t="shared" ref="H88:H89" si="74">0</f>
        <v>0</v>
      </c>
      <c r="I88" s="2"/>
      <c r="J88" s="19">
        <f t="shared" si="66"/>
        <v>0</v>
      </c>
      <c r="K88" s="2"/>
      <c r="L88" s="2">
        <f t="shared" si="67"/>
        <v>1305</v>
      </c>
      <c r="M88" s="2"/>
      <c r="N88" s="19">
        <f t="shared" si="68"/>
        <v>0</v>
      </c>
      <c r="O88" s="11"/>
      <c r="P88" s="2">
        <f>--22475</f>
        <v>22475</v>
      </c>
      <c r="Q88" s="2"/>
      <c r="R88" s="19">
        <f t="shared" si="69"/>
        <v>8.3069568203830074E-2</v>
      </c>
      <c r="S88" s="2"/>
      <c r="T88" s="2">
        <f>--290</f>
        <v>290</v>
      </c>
      <c r="U88" s="2"/>
      <c r="V88" s="19">
        <f t="shared" si="70"/>
        <v>1.0462864875275075E-3</v>
      </c>
      <c r="W88" s="2"/>
      <c r="X88" s="2">
        <f t="shared" si="71"/>
        <v>22185</v>
      </c>
      <c r="Y88" s="2"/>
      <c r="Z88" s="19">
        <f t="shared" si="72"/>
        <v>76.5</v>
      </c>
    </row>
    <row r="89" spans="1:26" s="24" customFormat="1" hidden="1" outlineLevel="1" x14ac:dyDescent="0.25">
      <c r="A89" s="44"/>
      <c r="B89" s="11" t="str">
        <f>CONCATENATE("          ", "9163", " - ", "MISC. INCOME")</f>
        <v xml:space="preserve">          9163 - MISC. INCOME</v>
      </c>
      <c r="C89" s="11"/>
      <c r="D89" s="2">
        <f>0</f>
        <v>0</v>
      </c>
      <c r="E89" s="2"/>
      <c r="F89" s="19">
        <f t="shared" si="65"/>
        <v>0</v>
      </c>
      <c r="G89" s="2"/>
      <c r="H89" s="2">
        <f t="shared" si="74"/>
        <v>0</v>
      </c>
      <c r="I89" s="2"/>
      <c r="J89" s="19">
        <f t="shared" si="66"/>
        <v>0</v>
      </c>
      <c r="K89" s="2"/>
      <c r="L89" s="2">
        <f t="shared" si="67"/>
        <v>0</v>
      </c>
      <c r="M89" s="2"/>
      <c r="N89" s="19">
        <f t="shared" si="68"/>
        <v>0</v>
      </c>
      <c r="O89" s="11"/>
      <c r="P89" s="2">
        <f>--61106.55</f>
        <v>61106.55</v>
      </c>
      <c r="Q89" s="2"/>
      <c r="R89" s="19">
        <f t="shared" si="69"/>
        <v>0.22585516008568421</v>
      </c>
      <c r="S89" s="2"/>
      <c r="T89" s="2">
        <f>0</f>
        <v>0</v>
      </c>
      <c r="U89" s="2"/>
      <c r="V89" s="19">
        <f t="shared" si="70"/>
        <v>0</v>
      </c>
      <c r="W89" s="2"/>
      <c r="X89" s="2">
        <f t="shared" si="71"/>
        <v>61106.55</v>
      </c>
      <c r="Y89" s="2"/>
      <c r="Z89" s="19">
        <f t="shared" si="72"/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9" t="s">
        <v>3</v>
      </c>
      <c r="C91" s="29"/>
      <c r="D91" s="21">
        <f>+D37-D39+D83</f>
        <v>4106.760000000002</v>
      </c>
      <c r="E91" s="14"/>
      <c r="F91" s="20">
        <f>IF(D$12=0,0,D91/D$12)</f>
        <v>0.10000718379433408</v>
      </c>
      <c r="G91" s="14"/>
      <c r="H91" s="21">
        <f>+H37-H39+H83</f>
        <v>-13854.389999999992</v>
      </c>
      <c r="I91" s="14"/>
      <c r="J91" s="20">
        <f>IF(H$12=0,0,H91/H$12)</f>
        <v>-0.35416184694779801</v>
      </c>
      <c r="K91" s="15"/>
      <c r="L91" s="21">
        <f>+D91-H91</f>
        <v>17961.149999999994</v>
      </c>
      <c r="M91" s="15"/>
      <c r="N91" s="20">
        <f>IF(H91=0,0,L91/H91)</f>
        <v>-1.2964230110455968</v>
      </c>
      <c r="O91" s="28"/>
      <c r="P91" s="21">
        <f>+P37-P39+P83</f>
        <v>191928.71000000002</v>
      </c>
      <c r="Q91" s="14"/>
      <c r="R91" s="20">
        <f>IF(P$12=0,0,P91/P$12)</f>
        <v>0.70938531993851495</v>
      </c>
      <c r="S91" s="14"/>
      <c r="T91" s="21">
        <f>+T37-T39+T83</f>
        <v>80812.290000000008</v>
      </c>
      <c r="U91" s="14"/>
      <c r="V91" s="20">
        <f>IF(T$12=0,0,T91/T$12)</f>
        <v>0.29156140363156663</v>
      </c>
      <c r="W91" s="15"/>
      <c r="X91" s="21">
        <f>+P91-T91</f>
        <v>111116.42000000001</v>
      </c>
      <c r="Y91" s="15"/>
      <c r="Z91" s="20">
        <f>IF(T91=0,0,X91/T91)</f>
        <v>1.3749940757773353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13</v>
      </c>
      <c r="C93" s="10"/>
      <c r="D93" s="4">
        <v>5548.86</v>
      </c>
      <c r="E93" s="4"/>
      <c r="F93" s="12">
        <f>IF(D$12=0,0,D93/D$12)</f>
        <v>0.13512497975752863</v>
      </c>
      <c r="G93" s="4"/>
      <c r="H93" s="4">
        <v>7301.93</v>
      </c>
      <c r="I93" s="4"/>
      <c r="J93" s="12">
        <f>IF(H$12=0,0,H93/H$12)</f>
        <v>0.1866603304139364</v>
      </c>
      <c r="K93" s="4"/>
      <c r="L93" s="4">
        <f>+D93-H93</f>
        <v>-1753.0700000000006</v>
      </c>
      <c r="M93" s="4"/>
      <c r="N93" s="12">
        <f>IF(H93=0,0,L93/H93)</f>
        <v>-0.24008310131704913</v>
      </c>
      <c r="O93" s="10"/>
      <c r="P93" s="4">
        <v>28650.080000000002</v>
      </c>
      <c r="Q93" s="4"/>
      <c r="R93" s="12">
        <f>IF(P$12=0,0,P93/P$12)</f>
        <v>0.10589320465429089</v>
      </c>
      <c r="S93" s="4"/>
      <c r="T93" s="4">
        <v>29164.57</v>
      </c>
      <c r="U93" s="4"/>
      <c r="V93" s="12">
        <f>IF(T$12=0,0,T93/T$12)</f>
        <v>0.10522239829500041</v>
      </c>
      <c r="W93" s="4"/>
      <c r="X93" s="4">
        <f>+P93-T93</f>
        <v>-514.48999999999796</v>
      </c>
      <c r="Y93" s="4"/>
      <c r="Z93" s="12">
        <f>IF(T93=0,0,X93/T93)</f>
        <v>-1.7640925273371012E-2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4</v>
      </c>
      <c r="C95" s="29"/>
      <c r="D95" s="31">
        <f>+D91-D93</f>
        <v>-1442.0999999999976</v>
      </c>
      <c r="E95" s="14"/>
      <c r="F95" s="32">
        <f>IF(D$12=0,0,D95/D$12)</f>
        <v>-3.5117795963194559E-2</v>
      </c>
      <c r="G95" s="14"/>
      <c r="H95" s="31">
        <f>+H91-H93</f>
        <v>-21156.319999999992</v>
      </c>
      <c r="I95" s="14"/>
      <c r="J95" s="32">
        <f>IF(H$12=0,0,H95/H$12)</f>
        <v>-0.54082217736173444</v>
      </c>
      <c r="K95" s="15"/>
      <c r="L95" s="31">
        <f>D95-H95</f>
        <v>19714.219999999994</v>
      </c>
      <c r="M95" s="15"/>
      <c r="N95" s="32">
        <f>IF(H95=0,0,L95/H95)</f>
        <v>-0.93183597147329977</v>
      </c>
      <c r="O95" s="28"/>
      <c r="P95" s="31">
        <f>+P91-P93</f>
        <v>163278.63</v>
      </c>
      <c r="Q95" s="14"/>
      <c r="R95" s="32">
        <f>IF(P$12=0,0,P95/P$12)</f>
        <v>0.60349211528422397</v>
      </c>
      <c r="S95" s="14"/>
      <c r="T95" s="31">
        <f>+T91-T93</f>
        <v>51647.720000000008</v>
      </c>
      <c r="U95" s="14"/>
      <c r="V95" s="32">
        <f>IF(T$12=0,0,T95/T$12)</f>
        <v>0.18633900533656622</v>
      </c>
      <c r="W95" s="15"/>
      <c r="X95" s="31">
        <f>P95-T95</f>
        <v>111630.91</v>
      </c>
      <c r="Y95" s="15"/>
      <c r="Z95" s="32">
        <f>IF(T95=0,0,X95/T95)</f>
        <v>2.1613908610099339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5</v>
      </c>
      <c r="C98" s="29"/>
      <c r="D98" s="34">
        <f>SUM(D95:D97)</f>
        <v>-1442.0999999999976</v>
      </c>
      <c r="E98" s="14"/>
      <c r="F98" s="30">
        <f>IF(D$12=0,0,D98/D$12)</f>
        <v>-3.5117795963194559E-2</v>
      </c>
      <c r="G98" s="14"/>
      <c r="H98" s="34">
        <f>SUM(H95:H97)</f>
        <v>-21156.319999999992</v>
      </c>
      <c r="I98" s="14"/>
      <c r="J98" s="30">
        <f>IF(H$12=0,0,H98/H$12)</f>
        <v>-0.54082217736173444</v>
      </c>
      <c r="K98" s="15"/>
      <c r="L98" s="34">
        <f>+D98-H98</f>
        <v>19714.219999999994</v>
      </c>
      <c r="M98" s="15"/>
      <c r="N98" s="30">
        <f>IF(H98=0,0,L98/H98)</f>
        <v>-0.93183597147329977</v>
      </c>
      <c r="O98" s="28"/>
      <c r="P98" s="34">
        <f>SUM(P95:P97)</f>
        <v>163278.63</v>
      </c>
      <c r="Q98" s="14"/>
      <c r="R98" s="30">
        <f>IF(P$12=0,0,P98/P$12)</f>
        <v>0.60349211528422397</v>
      </c>
      <c r="S98" s="14"/>
      <c r="T98" s="34">
        <f>SUM(T95:T97)</f>
        <v>51647.720000000008</v>
      </c>
      <c r="U98" s="14"/>
      <c r="V98" s="30">
        <f>IF(T$12=0,0,T98/T$12)</f>
        <v>0.18633900533656622</v>
      </c>
      <c r="W98" s="15"/>
      <c r="X98" s="34">
        <f>+P98-T98</f>
        <v>111630.91</v>
      </c>
      <c r="Y98" s="15"/>
      <c r="Z98" s="30">
        <f>IF(T98=0,0,X98/T98)</f>
        <v>2.1613908610099339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9">
        <v>43815.491342245368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62" t="s">
        <v>313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61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","316", " - ", "Campus Copy Center")</f>
        <v>Department 316 - Campus Copy Center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38654.22</v>
      </c>
      <c r="E12" s="4"/>
      <c r="F12" s="12"/>
      <c r="G12" s="4"/>
      <c r="H12" s="4">
        <f>SUM(OSRRefH13x_0)</f>
        <v>36758.61</v>
      </c>
      <c r="I12" s="4"/>
      <c r="J12" s="12"/>
      <c r="K12" s="4"/>
      <c r="L12" s="4">
        <f t="shared" ref="L12:L24" si="0">+D12-H12</f>
        <v>1895.6100000000006</v>
      </c>
      <c r="M12" s="4"/>
      <c r="N12" s="12">
        <f t="shared" ref="N12:N24" si="1">IF(H12=0,0,L12/H12)</f>
        <v>5.1569142576392321E-2</v>
      </c>
      <c r="O12" s="10"/>
      <c r="P12" s="4">
        <f>SUM(OSRRefP13x_0)</f>
        <v>263246.12</v>
      </c>
      <c r="Q12" s="4"/>
      <c r="R12" s="12"/>
      <c r="S12" s="4"/>
      <c r="T12" s="4">
        <f>SUM(OSRRefT13x_0)</f>
        <v>269933.47999999992</v>
      </c>
      <c r="U12" s="4"/>
      <c r="V12" s="12"/>
      <c r="W12" s="4"/>
      <c r="X12" s="4">
        <f t="shared" ref="X12:X24" si="2">+P12-T12</f>
        <v>-6687.3599999999278</v>
      </c>
      <c r="Y12" s="4"/>
      <c r="Z12" s="12">
        <f t="shared" ref="Z12:Z24" si="3">IF(T12=0,0,X12/T12)</f>
        <v>-2.4774103605080516E-2</v>
      </c>
    </row>
    <row r="13" spans="1:26" s="24" customFormat="1" hidden="1" outlineLevel="1" x14ac:dyDescent="0.25">
      <c r="A13" s="44"/>
      <c r="B13" s="11" t="str">
        <f>CONCATENATE("          ", "4041", " - ", "TAXABLE SALES-LOGO GIFTS")</f>
        <v xml:space="preserve">          4041 - TAXABLE SALES-LOGO GIFTS</v>
      </c>
      <c r="C13" s="11"/>
      <c r="D13" s="2">
        <f>--194.1</f>
        <v>194.1</v>
      </c>
      <c r="E13" s="2"/>
      <c r="F13" s="19"/>
      <c r="G13" s="2"/>
      <c r="H13" s="2">
        <f>--1429.1</f>
        <v>1429.1</v>
      </c>
      <c r="I13" s="2"/>
      <c r="J13" s="19"/>
      <c r="K13" s="2"/>
      <c r="L13" s="2">
        <f t="shared" si="0"/>
        <v>-1235</v>
      </c>
      <c r="M13" s="2"/>
      <c r="N13" s="19">
        <f t="shared" si="1"/>
        <v>-0.86418025330627668</v>
      </c>
      <c r="O13" s="11"/>
      <c r="P13" s="2">
        <f>--96968.35</f>
        <v>96968.35</v>
      </c>
      <c r="Q13" s="2"/>
      <c r="R13" s="19"/>
      <c r="S13" s="2"/>
      <c r="T13" s="2">
        <f>--109390.75</f>
        <v>109390.75</v>
      </c>
      <c r="U13" s="2"/>
      <c r="V13" s="19"/>
      <c r="W13" s="2"/>
      <c r="X13" s="2">
        <f t="shared" si="2"/>
        <v>-12422.399999999994</v>
      </c>
      <c r="Y13" s="2"/>
      <c r="Z13" s="19">
        <f t="shared" si="3"/>
        <v>-0.11355987594929182</v>
      </c>
    </row>
    <row r="14" spans="1:26" s="24" customFormat="1" hidden="1" outlineLevel="1" x14ac:dyDescent="0.25">
      <c r="A14" s="44"/>
      <c r="B14" s="11" t="str">
        <f>CONCATENATE("          ", "4042", " - ", "TAXABLE SALES-EVERYDAY GIFTS")</f>
        <v xml:space="preserve">          4042 - TAXABLE SALES-EVERYDAY GIFTS</v>
      </c>
      <c r="C14" s="11"/>
      <c r="D14" s="2">
        <f>--7977.42</f>
        <v>7977.42</v>
      </c>
      <c r="E14" s="2"/>
      <c r="F14" s="19"/>
      <c r="G14" s="2"/>
      <c r="H14" s="2">
        <f>--5587.91</f>
        <v>5587.91</v>
      </c>
      <c r="I14" s="2"/>
      <c r="J14" s="19"/>
      <c r="K14" s="2"/>
      <c r="L14" s="2">
        <f t="shared" si="0"/>
        <v>2389.5100000000002</v>
      </c>
      <c r="M14" s="2"/>
      <c r="N14" s="19">
        <f t="shared" si="1"/>
        <v>0.42762141838361756</v>
      </c>
      <c r="O14" s="11"/>
      <c r="P14" s="2">
        <f>--39895.64</f>
        <v>39895.64</v>
      </c>
      <c r="Q14" s="2"/>
      <c r="R14" s="19"/>
      <c r="S14" s="2"/>
      <c r="T14" s="2">
        <f>--33746.11</f>
        <v>33746.11</v>
      </c>
      <c r="U14" s="2"/>
      <c r="V14" s="19"/>
      <c r="W14" s="2"/>
      <c r="X14" s="2">
        <f t="shared" si="2"/>
        <v>6149.5299999999988</v>
      </c>
      <c r="Y14" s="2"/>
      <c r="Z14" s="19">
        <f t="shared" si="3"/>
        <v>0.18222929991041928</v>
      </c>
    </row>
    <row r="15" spans="1:26" s="24" customFormat="1" hidden="1" outlineLevel="1" x14ac:dyDescent="0.25">
      <c r="A15" s="44"/>
      <c r="B15" s="11" t="str">
        <f>CONCATENATE("          ", "4043", " - ", "TAXABLE SALES-CARDS")</f>
        <v xml:space="preserve">          4043 - TAXABLE SALES-CARDS</v>
      </c>
      <c r="C15" s="11"/>
      <c r="D15" s="2">
        <f>--3.7</f>
        <v>3.7</v>
      </c>
      <c r="E15" s="2"/>
      <c r="F15" s="19"/>
      <c r="G15" s="2"/>
      <c r="H15" s="2">
        <f>--28.99</f>
        <v>28.99</v>
      </c>
      <c r="I15" s="2"/>
      <c r="J15" s="19"/>
      <c r="K15" s="2"/>
      <c r="L15" s="2">
        <f t="shared" si="0"/>
        <v>-25.29</v>
      </c>
      <c r="M15" s="2"/>
      <c r="N15" s="19">
        <f t="shared" si="1"/>
        <v>-0.87236978268368404</v>
      </c>
      <c r="O15" s="11"/>
      <c r="P15" s="2">
        <f>--101.98</f>
        <v>101.98</v>
      </c>
      <c r="Q15" s="2"/>
      <c r="R15" s="19"/>
      <c r="S15" s="2"/>
      <c r="T15" s="2">
        <f>--420.22</f>
        <v>420.22</v>
      </c>
      <c r="U15" s="2"/>
      <c r="V15" s="19"/>
      <c r="W15" s="2"/>
      <c r="X15" s="2">
        <f t="shared" si="2"/>
        <v>-318.24</v>
      </c>
      <c r="Y15" s="2"/>
      <c r="Z15" s="19">
        <f t="shared" si="3"/>
        <v>-0.75731759554519062</v>
      </c>
    </row>
    <row r="16" spans="1:26" s="24" customFormat="1" hidden="1" outlineLevel="1" x14ac:dyDescent="0.25">
      <c r="A16" s="44"/>
      <c r="B16" s="11" t="str">
        <f>CONCATENATE("          ", "4047", " - ", "TAXABLE SALES-MISC")</f>
        <v xml:space="preserve">          4047 - TAXABLE SALES-MISC</v>
      </c>
      <c r="C16" s="11"/>
      <c r="D16" s="2">
        <f>--304.55</f>
        <v>304.55</v>
      </c>
      <c r="E16" s="2"/>
      <c r="F16" s="19"/>
      <c r="G16" s="2"/>
      <c r="H16" s="2">
        <f>--427.56</f>
        <v>427.56</v>
      </c>
      <c r="I16" s="2"/>
      <c r="J16" s="19"/>
      <c r="K16" s="2"/>
      <c r="L16" s="2">
        <f t="shared" si="0"/>
        <v>-123.00999999999999</v>
      </c>
      <c r="M16" s="2"/>
      <c r="N16" s="19">
        <f t="shared" si="1"/>
        <v>-0.28770231078679015</v>
      </c>
      <c r="O16" s="11"/>
      <c r="P16" s="2">
        <f>--1678.55</f>
        <v>1678.55</v>
      </c>
      <c r="Q16" s="2"/>
      <c r="R16" s="19"/>
      <c r="S16" s="2"/>
      <c r="T16" s="2">
        <f>--1609.41</f>
        <v>1609.41</v>
      </c>
      <c r="U16" s="2"/>
      <c r="V16" s="19"/>
      <c r="W16" s="2"/>
      <c r="X16" s="2">
        <f t="shared" si="2"/>
        <v>69.139999999999873</v>
      </c>
      <c r="Y16" s="2"/>
      <c r="Z16" s="19">
        <f t="shared" si="3"/>
        <v>4.2959842426727728E-2</v>
      </c>
    </row>
    <row r="17" spans="1:26" s="24" customFormat="1" hidden="1" outlineLevel="1" x14ac:dyDescent="0.25">
      <c r="A17" s="44"/>
      <c r="B17" s="11" t="str">
        <f>CONCATENATE("          ", "4141", " - ", "NON-TAXABLE SALES-LOGO GIFTS")</f>
        <v xml:space="preserve">          4141 - NON-TAXABLE SALES-LOGO GIFTS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--152.75</f>
        <v>152.75</v>
      </c>
      <c r="Q17" s="2"/>
      <c r="R17" s="19"/>
      <c r="S17" s="2"/>
      <c r="T17" s="2">
        <f>--1187.45</f>
        <v>1187.45</v>
      </c>
      <c r="U17" s="2"/>
      <c r="V17" s="19"/>
      <c r="W17" s="2"/>
      <c r="X17" s="2">
        <f t="shared" si="2"/>
        <v>-1034.7</v>
      </c>
      <c r="Y17" s="2"/>
      <c r="Z17" s="19">
        <f t="shared" si="3"/>
        <v>-0.87136300475809503</v>
      </c>
    </row>
    <row r="18" spans="1:26" s="24" customFormat="1" hidden="1" outlineLevel="1" x14ac:dyDescent="0.25">
      <c r="A18" s="44"/>
      <c r="B18" s="11" t="str">
        <f>CONCATENATE("          ", "4142", " - ", "NON-TAXABLE SALES-EVERYDAY GIF")</f>
        <v xml:space="preserve">          4142 - NON-TAXABLE SALES-EVERYDAY GIF</v>
      </c>
      <c r="C18" s="11"/>
      <c r="D18" s="2">
        <f>--1168.7</f>
        <v>1168.7</v>
      </c>
      <c r="E18" s="2"/>
      <c r="F18" s="19"/>
      <c r="G18" s="2"/>
      <c r="H18" s="2">
        <f>--1391</f>
        <v>1391</v>
      </c>
      <c r="I18" s="2"/>
      <c r="J18" s="19"/>
      <c r="K18" s="2"/>
      <c r="L18" s="2">
        <f t="shared" si="0"/>
        <v>-222.29999999999995</v>
      </c>
      <c r="M18" s="2"/>
      <c r="N18" s="19">
        <f t="shared" si="1"/>
        <v>-0.15981308411214951</v>
      </c>
      <c r="O18" s="11"/>
      <c r="P18" s="2">
        <f>--5517</f>
        <v>5517</v>
      </c>
      <c r="Q18" s="2"/>
      <c r="R18" s="19"/>
      <c r="S18" s="2"/>
      <c r="T18" s="2">
        <f>--5941.49</f>
        <v>5941.49</v>
      </c>
      <c r="U18" s="2"/>
      <c r="V18" s="19"/>
      <c r="W18" s="2"/>
      <c r="X18" s="2">
        <f t="shared" si="2"/>
        <v>-424.48999999999978</v>
      </c>
      <c r="Y18" s="2"/>
      <c r="Z18" s="19">
        <f t="shared" si="3"/>
        <v>-7.1445041563648143E-2</v>
      </c>
    </row>
    <row r="19" spans="1:26" s="24" customFormat="1" hidden="1" outlineLevel="1" x14ac:dyDescent="0.25">
      <c r="A19" s="44"/>
      <c r="B19" s="11" t="str">
        <f>CONCATENATE("          ", "4146", " - ", "NON-TAXABLE SALES-COIN OP MACH")</f>
        <v xml:space="preserve">          4146 - NON-TAXABLE SALES-COIN OP MACH</v>
      </c>
      <c r="C19" s="11"/>
      <c r="D19" s="2">
        <f>--28930.75</f>
        <v>28930.75</v>
      </c>
      <c r="E19" s="2"/>
      <c r="F19" s="19"/>
      <c r="G19" s="2"/>
      <c r="H19" s="2">
        <f>--27810.05</f>
        <v>27810.05</v>
      </c>
      <c r="I19" s="2"/>
      <c r="J19" s="19"/>
      <c r="K19" s="2"/>
      <c r="L19" s="2">
        <f t="shared" si="0"/>
        <v>1120.7000000000007</v>
      </c>
      <c r="M19" s="2"/>
      <c r="N19" s="19">
        <f t="shared" si="1"/>
        <v>4.0298381340558569E-2</v>
      </c>
      <c r="O19" s="11"/>
      <c r="P19" s="2">
        <f>--119341.05</f>
        <v>119341.05</v>
      </c>
      <c r="Q19" s="2"/>
      <c r="R19" s="19"/>
      <c r="S19" s="2"/>
      <c r="T19" s="2">
        <f>--118051.15</f>
        <v>118051.15</v>
      </c>
      <c r="U19" s="2"/>
      <c r="V19" s="19"/>
      <c r="W19" s="2"/>
      <c r="X19" s="2">
        <f t="shared" si="2"/>
        <v>1289.9000000000087</v>
      </c>
      <c r="Y19" s="2"/>
      <c r="Z19" s="19">
        <f t="shared" si="3"/>
        <v>1.0926619520436767E-2</v>
      </c>
    </row>
    <row r="20" spans="1:26" s="24" customFormat="1" hidden="1" outlineLevel="1" x14ac:dyDescent="0.25">
      <c r="A20" s="44"/>
      <c r="B20" s="11" t="str">
        <f>CONCATENATE("          ", "4147", " - ", "NON-TAXABLE SALES-MISC")</f>
        <v xml:space="preserve">          4147 - NON-TAXABLE SALES-MISC</v>
      </c>
      <c r="C20" s="11"/>
      <c r="D20" s="2">
        <f>--75</f>
        <v>75</v>
      </c>
      <c r="E20" s="2"/>
      <c r="F20" s="19"/>
      <c r="G20" s="2"/>
      <c r="H20" s="2">
        <f>--84</f>
        <v>84</v>
      </c>
      <c r="I20" s="2"/>
      <c r="J20" s="19"/>
      <c r="K20" s="2"/>
      <c r="L20" s="2">
        <f t="shared" si="0"/>
        <v>-9</v>
      </c>
      <c r="M20" s="2"/>
      <c r="N20" s="19">
        <f t="shared" si="1"/>
        <v>-0.10714285714285714</v>
      </c>
      <c r="O20" s="11"/>
      <c r="P20" s="2">
        <f>--249.9</f>
        <v>249.9</v>
      </c>
      <c r="Q20" s="2"/>
      <c r="R20" s="19"/>
      <c r="S20" s="2"/>
      <c r="T20" s="2">
        <f>--370</f>
        <v>370</v>
      </c>
      <c r="U20" s="2"/>
      <c r="V20" s="19"/>
      <c r="W20" s="2"/>
      <c r="X20" s="2">
        <f t="shared" si="2"/>
        <v>-120.1</v>
      </c>
      <c r="Y20" s="2"/>
      <c r="Z20" s="19">
        <f t="shared" si="3"/>
        <v>-0.32459459459459455</v>
      </c>
    </row>
    <row r="21" spans="1:26" s="24" customFormat="1" hidden="1" outlineLevel="1" x14ac:dyDescent="0.25">
      <c r="A21" s="44"/>
      <c r="B21" s="11" t="str">
        <f>CONCATENATE("          ", "4241", " - ", "SALES RETURN TAXABLE-LOGO GIFT")</f>
        <v xml:space="preserve">          4241 - SALES RETURN TAXABLE-LOGO GIFT</v>
      </c>
      <c r="C21" s="11"/>
      <c r="D21" s="2">
        <f t="shared" ref="D21:D24" si="4">0</f>
        <v>0</v>
      </c>
      <c r="E21" s="2"/>
      <c r="F21" s="19"/>
      <c r="G21" s="2"/>
      <c r="H21" s="2">
        <f t="shared" ref="H21:H24" si="5"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-634.75</f>
        <v>-634.75</v>
      </c>
      <c r="Q21" s="2"/>
      <c r="R21" s="19"/>
      <c r="S21" s="2"/>
      <c r="T21" s="2">
        <f>-774.95</f>
        <v>-774.95</v>
      </c>
      <c r="U21" s="2"/>
      <c r="V21" s="19"/>
      <c r="W21" s="2"/>
      <c r="X21" s="2">
        <f t="shared" si="2"/>
        <v>140.20000000000005</v>
      </c>
      <c r="Y21" s="2"/>
      <c r="Z21" s="19">
        <f t="shared" si="3"/>
        <v>-0.18091489773533781</v>
      </c>
    </row>
    <row r="22" spans="1:26" s="24" customFormat="1" hidden="1" outlineLevel="1" x14ac:dyDescent="0.25">
      <c r="A22" s="44"/>
      <c r="B22" s="11" t="str">
        <f>CONCATENATE("          ", "4242", " - ", "SALES RETURN TAXABLE-EVERYDAY")</f>
        <v xml:space="preserve">          4242 - SALES RETURN TAXABLE-EVERYDAY</v>
      </c>
      <c r="C22" s="11"/>
      <c r="D22" s="2">
        <f t="shared" si="4"/>
        <v>0</v>
      </c>
      <c r="E22" s="2"/>
      <c r="F22" s="19"/>
      <c r="G22" s="2"/>
      <c r="H22" s="2">
        <f t="shared" si="5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-16.2</f>
        <v>-16.2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-16.2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"4341", " - ", "SALES RETURN NON TAXABLE-LOGO")</f>
        <v xml:space="preserve">          4341 - SALES RETURN NON TAXABLE-LOGO</v>
      </c>
      <c r="C23" s="11"/>
      <c r="D23" s="2">
        <f t="shared" si="4"/>
        <v>0</v>
      </c>
      <c r="E23" s="2"/>
      <c r="F23" s="19"/>
      <c r="G23" s="2"/>
      <c r="H23" s="2">
        <f t="shared" si="5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0</f>
        <v>0</v>
      </c>
      <c r="Q23" s="2"/>
      <c r="R23" s="19"/>
      <c r="S23" s="2"/>
      <c r="T23" s="2">
        <f>-8.15</f>
        <v>-8.15</v>
      </c>
      <c r="U23" s="2"/>
      <c r="V23" s="19"/>
      <c r="W23" s="2"/>
      <c r="X23" s="2">
        <f t="shared" si="2"/>
        <v>8.15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"4346", " - ", "SALES RETURN NON TAXABLE-COIN-")</f>
        <v xml:space="preserve">          4346 - SALES RETURN NON TAXABLE-COIN-</v>
      </c>
      <c r="C24" s="11"/>
      <c r="D24" s="2">
        <f t="shared" si="4"/>
        <v>0</v>
      </c>
      <c r="E24" s="2"/>
      <c r="F24" s="19"/>
      <c r="G24" s="2"/>
      <c r="H24" s="2">
        <f t="shared" si="5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-8.15</f>
        <v>-8.15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-8.15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8" t="s">
        <v>8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6</v>
      </c>
      <c r="C28" s="29"/>
      <c r="D28" s="21">
        <f>D12-D26</f>
        <v>38654.22</v>
      </c>
      <c r="E28" s="14"/>
      <c r="F28" s="20">
        <f>IF(D$12=0,0,D28/D$12)</f>
        <v>1</v>
      </c>
      <c r="G28" s="14"/>
      <c r="H28" s="21">
        <f>H12-H26</f>
        <v>36758.61</v>
      </c>
      <c r="I28" s="14"/>
      <c r="J28" s="20">
        <f>IF(H$12=0,0,H28/H$12)</f>
        <v>1</v>
      </c>
      <c r="K28" s="15"/>
      <c r="L28" s="21">
        <f>+D28-H28</f>
        <v>1895.6100000000006</v>
      </c>
      <c r="M28" s="15"/>
      <c r="N28" s="20">
        <f>IF(H28=0,0,L28/H28)</f>
        <v>5.1569142576392321E-2</v>
      </c>
      <c r="O28" s="28"/>
      <c r="P28" s="21">
        <f>P12-P26</f>
        <v>263246.12</v>
      </c>
      <c r="Q28" s="14"/>
      <c r="R28" s="20">
        <f>IF(P$12=0,0,P28/P$12)</f>
        <v>1</v>
      </c>
      <c r="S28" s="14"/>
      <c r="T28" s="21">
        <f>T12-T26</f>
        <v>269933.47999999992</v>
      </c>
      <c r="U28" s="14"/>
      <c r="V28" s="20">
        <f>IF(T$12=0,0,T28/T$12)</f>
        <v>1</v>
      </c>
      <c r="W28" s="15"/>
      <c r="X28" s="21">
        <f>+P28-T28</f>
        <v>-6687.3599999999278</v>
      </c>
      <c r="Y28" s="15"/>
      <c r="Z28" s="20">
        <f>IF(T28=0,0,X28/T28)</f>
        <v>-2.4774103605080516E-2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8" t="s">
        <v>9</v>
      </c>
      <c r="C30" s="10"/>
      <c r="D30" s="22">
        <f>SUM(OSRRefD22x_0)</f>
        <v>46998.730000000018</v>
      </c>
      <c r="E30" s="22"/>
      <c r="F30" s="33">
        <f t="shared" ref="F30:F39" si="6">IF(D$12=0,0,D30/D$12)</f>
        <v>1.2158757827735243</v>
      </c>
      <c r="G30" s="22"/>
      <c r="H30" s="22">
        <f>SUM(OSRRefH22x_0)</f>
        <v>60220.579999999994</v>
      </c>
      <c r="I30" s="22"/>
      <c r="J30" s="33">
        <f t="shared" ref="J30:J39" si="7">IF(H$12=0,0,H30/H$12)</f>
        <v>1.6382714145066963</v>
      </c>
      <c r="K30" s="4"/>
      <c r="L30" s="22">
        <f t="shared" ref="L30:L39" si="8">+D30-H30</f>
        <v>-13221.849999999977</v>
      </c>
      <c r="M30" s="4"/>
      <c r="N30" s="33">
        <f t="shared" ref="N30:N39" si="9">IF(H30=0,0,L30/H30)</f>
        <v>-0.2195570019418607</v>
      </c>
      <c r="O30" s="10"/>
      <c r="P30" s="22">
        <f>SUM(OSRRefP22x_0)</f>
        <v>224012.31999999998</v>
      </c>
      <c r="Q30" s="22"/>
      <c r="R30" s="33">
        <f t="shared" ref="R30:R39" si="10">IF(P$12=0,0,P30/P$12)</f>
        <v>0.85096152604262498</v>
      </c>
      <c r="S30" s="22"/>
      <c r="T30" s="22">
        <f>SUM(OSRRefT22x_0)</f>
        <v>244104.96000000002</v>
      </c>
      <c r="U30" s="22"/>
      <c r="V30" s="33">
        <f t="shared" ref="V30:V39" si="11">IF(T$12=0,0,T30/T$12)</f>
        <v>0.90431524092528315</v>
      </c>
      <c r="W30" s="4"/>
      <c r="X30" s="22">
        <f t="shared" ref="X30:X39" si="12">+P30-T30</f>
        <v>-20092.640000000043</v>
      </c>
      <c r="Y30" s="4"/>
      <c r="Z30" s="33">
        <f t="shared" ref="Z30:Z39" si="13">IF(T30=0,0,X30/T30)</f>
        <v>-8.2311477816755713E-2</v>
      </c>
    </row>
    <row r="31" spans="1:26" s="25" customFormat="1" outlineLevel="1" collapsed="1" x14ac:dyDescent="0.25">
      <c r="A31" s="27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7441.55</v>
      </c>
      <c r="E31" s="1"/>
      <c r="F31" s="5">
        <f t="shared" si="6"/>
        <v>0.19251584949845063</v>
      </c>
      <c r="G31" s="1"/>
      <c r="H31" s="1">
        <f>SUM(OSRRefH22_0x_0)</f>
        <v>6579.3200000000006</v>
      </c>
      <c r="I31" s="1"/>
      <c r="J31" s="5">
        <f t="shared" si="7"/>
        <v>0.17898718150659126</v>
      </c>
      <c r="K31" s="1"/>
      <c r="L31" s="1">
        <f t="shared" si="8"/>
        <v>862.22999999999956</v>
      </c>
      <c r="M31" s="1"/>
      <c r="N31" s="5">
        <f t="shared" si="9"/>
        <v>0.1310515372409306</v>
      </c>
      <c r="O31" s="13"/>
      <c r="P31" s="1">
        <f>SUM(OSRRefP22_0x_0)</f>
        <v>39742.61</v>
      </c>
      <c r="Q31" s="1"/>
      <c r="R31" s="5">
        <f t="shared" si="10"/>
        <v>0.15097130396451808</v>
      </c>
      <c r="S31" s="1"/>
      <c r="T31" s="1">
        <f>SUM(OSRRefT22_0x_0)</f>
        <v>36734.51</v>
      </c>
      <c r="U31" s="1"/>
      <c r="V31" s="5">
        <f t="shared" si="11"/>
        <v>0.1360872686115113</v>
      </c>
      <c r="W31" s="1"/>
      <c r="X31" s="1">
        <f t="shared" si="12"/>
        <v>3008.0999999999985</v>
      </c>
      <c r="Y31" s="1"/>
      <c r="Z31" s="5">
        <f t="shared" si="13"/>
        <v>8.1887576559480396E-2</v>
      </c>
    </row>
    <row r="32" spans="1:26" s="24" customFormat="1" hidden="1" outlineLevel="2" x14ac:dyDescent="0.25">
      <c r="A32" s="26"/>
      <c r="B32" s="11" t="str">
        <f>CONCATENATE("          ", "6111", " - ", "F.I.C.A.")</f>
        <v xml:space="preserve">          6111 - F.I.C.A.</v>
      </c>
      <c r="C32" s="11"/>
      <c r="D32" s="6">
        <v>1059.4000000000001</v>
      </c>
      <c r="E32" s="2"/>
      <c r="F32" s="7">
        <f t="shared" si="6"/>
        <v>2.7407098112444128E-2</v>
      </c>
      <c r="G32" s="2"/>
      <c r="H32" s="6">
        <v>918.19</v>
      </c>
      <c r="I32" s="2"/>
      <c r="J32" s="7">
        <f t="shared" si="7"/>
        <v>2.4978909703060045E-2</v>
      </c>
      <c r="K32" s="2"/>
      <c r="L32" s="6">
        <f t="shared" si="8"/>
        <v>141.21000000000004</v>
      </c>
      <c r="M32" s="2"/>
      <c r="N32" s="7">
        <f t="shared" si="9"/>
        <v>0.15379169888585154</v>
      </c>
      <c r="O32" s="11"/>
      <c r="P32" s="6">
        <v>6806.77</v>
      </c>
      <c r="Q32" s="2"/>
      <c r="R32" s="7">
        <f t="shared" si="10"/>
        <v>2.5857057266409095E-2</v>
      </c>
      <c r="S32" s="2"/>
      <c r="T32" s="6">
        <v>6485.38</v>
      </c>
      <c r="U32" s="2"/>
      <c r="V32" s="7">
        <f t="shared" si="11"/>
        <v>2.4025845182301959E-2</v>
      </c>
      <c r="W32" s="2"/>
      <c r="X32" s="6">
        <f t="shared" si="12"/>
        <v>321.39000000000033</v>
      </c>
      <c r="Y32" s="2"/>
      <c r="Z32" s="7">
        <f t="shared" si="13"/>
        <v>4.9556078441047452E-2</v>
      </c>
    </row>
    <row r="33" spans="1:26" s="24" customFormat="1" hidden="1" outlineLevel="2" x14ac:dyDescent="0.25">
      <c r="A33" s="26"/>
      <c r="B33" s="11" t="str">
        <f>CONCATENATE("          ", "6112", " - ", "COMPENSATION INSURANCE")</f>
        <v xml:space="preserve">          6112 - COMPENSATION INSURANCE</v>
      </c>
      <c r="C33" s="11"/>
      <c r="D33" s="6">
        <v>235.76</v>
      </c>
      <c r="E33" s="2"/>
      <c r="F33" s="7">
        <f t="shared" si="6"/>
        <v>6.0992046922690455E-3</v>
      </c>
      <c r="G33" s="2"/>
      <c r="H33" s="6">
        <v>180.07</v>
      </c>
      <c r="I33" s="2"/>
      <c r="J33" s="7">
        <f t="shared" si="7"/>
        <v>4.8987162463433737E-3</v>
      </c>
      <c r="K33" s="2"/>
      <c r="L33" s="6">
        <f t="shared" si="8"/>
        <v>55.69</v>
      </c>
      <c r="M33" s="2"/>
      <c r="N33" s="7">
        <f t="shared" si="9"/>
        <v>0.30926861775976011</v>
      </c>
      <c r="O33" s="11"/>
      <c r="P33" s="6">
        <v>891.91</v>
      </c>
      <c r="Q33" s="2"/>
      <c r="R33" s="7">
        <f t="shared" si="10"/>
        <v>3.3881221117333087E-3</v>
      </c>
      <c r="S33" s="2"/>
      <c r="T33" s="6">
        <v>1111</v>
      </c>
      <c r="U33" s="2"/>
      <c r="V33" s="7">
        <f t="shared" si="11"/>
        <v>4.1158288330888047E-3</v>
      </c>
      <c r="W33" s="2"/>
      <c r="X33" s="6">
        <f t="shared" si="12"/>
        <v>-219.09000000000003</v>
      </c>
      <c r="Y33" s="2"/>
      <c r="Z33" s="7">
        <f t="shared" si="13"/>
        <v>-0.19720072007200723</v>
      </c>
    </row>
    <row r="34" spans="1:26" s="24" customFormat="1" hidden="1" outlineLevel="2" x14ac:dyDescent="0.25">
      <c r="A34" s="26"/>
      <c r="B34" s="11" t="str">
        <f>CONCATENATE("          ", "6113", " - ", "GROUP INSURANCE")</f>
        <v xml:space="preserve">          6113 - GROUP INSURANCE</v>
      </c>
      <c r="C34" s="11"/>
      <c r="D34" s="6">
        <v>3051.28</v>
      </c>
      <c r="E34" s="2"/>
      <c r="F34" s="7">
        <f t="shared" si="6"/>
        <v>7.893782360632294E-2</v>
      </c>
      <c r="G34" s="2"/>
      <c r="H34" s="6">
        <v>2722.97</v>
      </c>
      <c r="I34" s="2"/>
      <c r="J34" s="7">
        <f t="shared" si="7"/>
        <v>7.4077066570253869E-2</v>
      </c>
      <c r="K34" s="2"/>
      <c r="L34" s="6">
        <f t="shared" si="8"/>
        <v>328.3100000000004</v>
      </c>
      <c r="M34" s="2"/>
      <c r="N34" s="7">
        <f t="shared" si="9"/>
        <v>0.12057055347653498</v>
      </c>
      <c r="O34" s="11"/>
      <c r="P34" s="6">
        <v>14332.16</v>
      </c>
      <c r="Q34" s="2"/>
      <c r="R34" s="7">
        <f t="shared" si="10"/>
        <v>5.4443955337309433E-2</v>
      </c>
      <c r="S34" s="2"/>
      <c r="T34" s="6">
        <v>11917.71</v>
      </c>
      <c r="U34" s="2"/>
      <c r="V34" s="7">
        <f t="shared" si="11"/>
        <v>4.4150544052556959E-2</v>
      </c>
      <c r="W34" s="2"/>
      <c r="X34" s="6">
        <f t="shared" si="12"/>
        <v>2414.4500000000007</v>
      </c>
      <c r="Y34" s="2"/>
      <c r="Z34" s="7">
        <f t="shared" si="13"/>
        <v>0.20259345125867309</v>
      </c>
    </row>
    <row r="35" spans="1:26" s="24" customFormat="1" hidden="1" outlineLevel="2" x14ac:dyDescent="0.25">
      <c r="A35" s="26"/>
      <c r="B35" s="11" t="str">
        <f>CONCATENATE("          ", "6114", " - ", "STATE UNEMPLOYMENT INSURANCE")</f>
        <v xml:space="preserve">          6114 - STATE UNEMPLOYMENT INSURANCE</v>
      </c>
      <c r="C35" s="11"/>
      <c r="D35" s="6">
        <v>45.79</v>
      </c>
      <c r="E35" s="2"/>
      <c r="F35" s="7">
        <f t="shared" si="6"/>
        <v>1.1846054583432286E-3</v>
      </c>
      <c r="G35" s="2"/>
      <c r="H35" s="6">
        <v>39.340000000000003</v>
      </c>
      <c r="I35" s="2"/>
      <c r="J35" s="7">
        <f t="shared" si="7"/>
        <v>1.0702254519417357E-3</v>
      </c>
      <c r="K35" s="2"/>
      <c r="L35" s="6">
        <f t="shared" si="8"/>
        <v>6.4499999999999957</v>
      </c>
      <c r="M35" s="2"/>
      <c r="N35" s="7">
        <f t="shared" si="9"/>
        <v>0.16395526182003037</v>
      </c>
      <c r="O35" s="11"/>
      <c r="P35" s="6">
        <v>248.12</v>
      </c>
      <c r="Q35" s="2"/>
      <c r="R35" s="7">
        <f t="shared" si="10"/>
        <v>9.4254000780714269E-4</v>
      </c>
      <c r="S35" s="2"/>
      <c r="T35" s="6">
        <v>242.74</v>
      </c>
      <c r="U35" s="2"/>
      <c r="V35" s="7">
        <f t="shared" si="11"/>
        <v>8.9925858770834976E-4</v>
      </c>
      <c r="W35" s="2"/>
      <c r="X35" s="6">
        <f t="shared" si="12"/>
        <v>5.3799999999999955</v>
      </c>
      <c r="Y35" s="2"/>
      <c r="Z35" s="7">
        <f t="shared" si="13"/>
        <v>2.2163631869489969E-2</v>
      </c>
    </row>
    <row r="36" spans="1:26" s="24" customFormat="1" hidden="1" outlineLevel="2" x14ac:dyDescent="0.25">
      <c r="A36" s="26"/>
      <c r="B36" s="11" t="str">
        <f>CONCATENATE("          ", "6115", " - ", "P.E.R.S.")</f>
        <v xml:space="preserve">          6115 - P.E.R.S.</v>
      </c>
      <c r="C36" s="11"/>
      <c r="D36" s="6">
        <v>1187.75</v>
      </c>
      <c r="E36" s="2"/>
      <c r="F36" s="7">
        <f t="shared" si="6"/>
        <v>3.0727563510530027E-2</v>
      </c>
      <c r="G36" s="2"/>
      <c r="H36" s="6">
        <v>984.68</v>
      </c>
      <c r="I36" s="2"/>
      <c r="J36" s="7">
        <f t="shared" si="7"/>
        <v>2.6787737621199494E-2</v>
      </c>
      <c r="K36" s="2"/>
      <c r="L36" s="6">
        <f t="shared" si="8"/>
        <v>203.07000000000005</v>
      </c>
      <c r="M36" s="2"/>
      <c r="N36" s="7">
        <f t="shared" si="9"/>
        <v>0.2062294349433319</v>
      </c>
      <c r="O36" s="11"/>
      <c r="P36" s="6">
        <v>6633.66</v>
      </c>
      <c r="Q36" s="2"/>
      <c r="R36" s="7">
        <f t="shared" si="10"/>
        <v>2.5199459729928785E-2</v>
      </c>
      <c r="S36" s="2"/>
      <c r="T36" s="6">
        <v>6536.41</v>
      </c>
      <c r="U36" s="2"/>
      <c r="V36" s="7">
        <f t="shared" si="11"/>
        <v>2.4214891757776774E-2</v>
      </c>
      <c r="W36" s="2"/>
      <c r="X36" s="6">
        <f t="shared" si="12"/>
        <v>97.25</v>
      </c>
      <c r="Y36" s="2"/>
      <c r="Z36" s="7">
        <f t="shared" si="13"/>
        <v>1.4878197665079149E-2</v>
      </c>
    </row>
    <row r="37" spans="1:26" s="24" customFormat="1" hidden="1" outlineLevel="2" x14ac:dyDescent="0.25">
      <c r="A37" s="26"/>
      <c r="B37" s="11" t="str">
        <f>CONCATENATE("          ", "6118", " - ", "VACATION")</f>
        <v xml:space="preserve">          6118 - VACATION</v>
      </c>
      <c r="C37" s="11"/>
      <c r="D37" s="6">
        <v>995.36</v>
      </c>
      <c r="E37" s="2"/>
      <c r="F37" s="7">
        <f t="shared" si="6"/>
        <v>2.5750357916936365E-2</v>
      </c>
      <c r="G37" s="2"/>
      <c r="H37" s="6">
        <v>951.42</v>
      </c>
      <c r="I37" s="2"/>
      <c r="J37" s="7">
        <f t="shared" si="7"/>
        <v>2.5882915594468887E-2</v>
      </c>
      <c r="K37" s="2"/>
      <c r="L37" s="6">
        <f t="shared" si="8"/>
        <v>43.940000000000055</v>
      </c>
      <c r="M37" s="2"/>
      <c r="N37" s="7">
        <f t="shared" si="9"/>
        <v>4.6183599251644968E-2</v>
      </c>
      <c r="O37" s="11"/>
      <c r="P37" s="6">
        <v>5940.95</v>
      </c>
      <c r="Q37" s="2"/>
      <c r="R37" s="7">
        <f t="shared" si="10"/>
        <v>2.256804392786492E-2</v>
      </c>
      <c r="S37" s="2"/>
      <c r="T37" s="6">
        <v>5232.8100000000004</v>
      </c>
      <c r="U37" s="2"/>
      <c r="V37" s="7">
        <f t="shared" si="11"/>
        <v>1.9385553803848272E-2</v>
      </c>
      <c r="W37" s="2"/>
      <c r="X37" s="6">
        <f t="shared" si="12"/>
        <v>708.13999999999942</v>
      </c>
      <c r="Y37" s="2"/>
      <c r="Z37" s="7">
        <f t="shared" si="13"/>
        <v>0.13532690848702691</v>
      </c>
    </row>
    <row r="38" spans="1:26" s="24" customFormat="1" hidden="1" outlineLevel="2" x14ac:dyDescent="0.25">
      <c r="A38" s="26"/>
      <c r="B38" s="11" t="str">
        <f>CONCATENATE("          ", "6119", " - ", "SICK LEAVE")</f>
        <v xml:space="preserve">          6119 - SICK LEAVE</v>
      </c>
      <c r="C38" s="11"/>
      <c r="D38" s="6">
        <v>556.54</v>
      </c>
      <c r="E38" s="2"/>
      <c r="F38" s="7">
        <f t="shared" si="6"/>
        <v>1.4397910499810885E-2</v>
      </c>
      <c r="G38" s="2"/>
      <c r="H38" s="6">
        <v>482.72</v>
      </c>
      <c r="I38" s="2"/>
      <c r="J38" s="7">
        <f t="shared" si="7"/>
        <v>1.31321614174203E-2</v>
      </c>
      <c r="K38" s="2"/>
      <c r="L38" s="6">
        <f t="shared" si="8"/>
        <v>73.819999999999936</v>
      </c>
      <c r="M38" s="2"/>
      <c r="N38" s="7">
        <f t="shared" si="9"/>
        <v>0.15292509115014902</v>
      </c>
      <c r="O38" s="11"/>
      <c r="P38" s="6">
        <v>3539.76</v>
      </c>
      <c r="Q38" s="2"/>
      <c r="R38" s="7">
        <f t="shared" si="10"/>
        <v>1.3446579953391147E-2</v>
      </c>
      <c r="S38" s="2"/>
      <c r="T38" s="6">
        <v>3758.99</v>
      </c>
      <c r="U38" s="2"/>
      <c r="V38" s="7">
        <f t="shared" si="11"/>
        <v>1.3925616044367675E-2</v>
      </c>
      <c r="W38" s="2"/>
      <c r="X38" s="6">
        <f t="shared" si="12"/>
        <v>-219.22999999999956</v>
      </c>
      <c r="Y38" s="2"/>
      <c r="Z38" s="7">
        <f t="shared" si="13"/>
        <v>-5.8321517216060582E-2</v>
      </c>
    </row>
    <row r="39" spans="1:26" s="24" customFormat="1" hidden="1" outlineLevel="2" x14ac:dyDescent="0.25">
      <c r="A39" s="26"/>
      <c r="B39" s="11" t="str">
        <f>CONCATENATE("          ", "6156", " - ", "EMPLOYEE MEALS")</f>
        <v xml:space="preserve">          6156 - EMPLOYEE MEALS</v>
      </c>
      <c r="C39" s="11"/>
      <c r="D39" s="6">
        <v>309.67</v>
      </c>
      <c r="E39" s="2"/>
      <c r="F39" s="7">
        <f t="shared" si="6"/>
        <v>8.0112857017940083E-3</v>
      </c>
      <c r="G39" s="2"/>
      <c r="H39" s="6">
        <v>299.93</v>
      </c>
      <c r="I39" s="2"/>
      <c r="J39" s="7">
        <f t="shared" si="7"/>
        <v>8.1594489019035273E-3</v>
      </c>
      <c r="K39" s="2"/>
      <c r="L39" s="6">
        <f t="shared" si="8"/>
        <v>9.7400000000000091</v>
      </c>
      <c r="M39" s="2"/>
      <c r="N39" s="7">
        <f t="shared" si="9"/>
        <v>3.2474243990264426E-2</v>
      </c>
      <c r="O39" s="11"/>
      <c r="P39" s="6">
        <v>1349.28</v>
      </c>
      <c r="Q39" s="2"/>
      <c r="R39" s="7">
        <f t="shared" si="10"/>
        <v>5.1255456300742441E-3</v>
      </c>
      <c r="S39" s="2"/>
      <c r="T39" s="6">
        <v>1449.47</v>
      </c>
      <c r="U39" s="2"/>
      <c r="V39" s="7">
        <f t="shared" si="11"/>
        <v>5.3697303498624937E-3</v>
      </c>
      <c r="W39" s="2"/>
      <c r="X39" s="6">
        <f t="shared" si="12"/>
        <v>-100.19000000000005</v>
      </c>
      <c r="Y39" s="2"/>
      <c r="Z39" s="7">
        <f t="shared" si="13"/>
        <v>-6.9121816939984995E-2</v>
      </c>
    </row>
    <row r="40" spans="1:26" s="25" customFormat="1" outlineLevel="1" collapsed="1" x14ac:dyDescent="0.25">
      <c r="A40" s="27"/>
      <c r="B40" s="13" t="str">
        <f>CONCATENATE("     ","*Payroll                                          ")</f>
        <v xml:space="preserve">     *Payroll                                          </v>
      </c>
      <c r="C40" s="13"/>
      <c r="D40" s="1">
        <f>SUM(OSRRefD22_1x_0)</f>
        <v>14617.57</v>
      </c>
      <c r="E40" s="1"/>
      <c r="F40" s="5">
        <f t="shared" ref="F40:F44" si="14">IF(D$12=0,0,D40/D$12)</f>
        <v>0.37816233259913146</v>
      </c>
      <c r="G40" s="1"/>
      <c r="H40" s="1">
        <f>SUM(OSRRefH22_1x_0)</f>
        <v>13789.84</v>
      </c>
      <c r="I40" s="1"/>
      <c r="J40" s="5">
        <f t="shared" ref="J40:J44" si="15">IF(H$12=0,0,H40/H$12)</f>
        <v>0.37514585018312718</v>
      </c>
      <c r="K40" s="1"/>
      <c r="L40" s="1">
        <f t="shared" ref="L40:L44" si="16">+D40-H40</f>
        <v>827.72999999999956</v>
      </c>
      <c r="M40" s="1"/>
      <c r="N40" s="5">
        <f t="shared" ref="N40:N44" si="17">IF(H40=0,0,L40/H40)</f>
        <v>6.0024626826707166E-2</v>
      </c>
      <c r="O40" s="13"/>
      <c r="P40" s="1">
        <f>SUM(OSRRefP22_1x_0)</f>
        <v>85798.47</v>
      </c>
      <c r="Q40" s="1"/>
      <c r="R40" s="5">
        <f t="shared" ref="R40:R44" si="18">IF(P$12=0,0,P40/P$12)</f>
        <v>0.3259249177157863</v>
      </c>
      <c r="S40" s="1"/>
      <c r="T40" s="1">
        <f>SUM(OSRRefT22_1x_0)</f>
        <v>76873.86</v>
      </c>
      <c r="U40" s="1"/>
      <c r="V40" s="5">
        <f t="shared" ref="V40:V44" si="19">IF(T$12=0,0,T40/T$12)</f>
        <v>0.28478816336528551</v>
      </c>
      <c r="W40" s="1"/>
      <c r="X40" s="1">
        <f t="shared" ref="X40:X44" si="20">+P40-T40</f>
        <v>8924.61</v>
      </c>
      <c r="Y40" s="1"/>
      <c r="Z40" s="5">
        <f t="shared" ref="Z40:Z44" si="21">IF(T40=0,0,X40/T40)</f>
        <v>0.11609420939705643</v>
      </c>
    </row>
    <row r="41" spans="1:26" s="24" customFormat="1" hidden="1" outlineLevel="2" x14ac:dyDescent="0.25">
      <c r="A41" s="26"/>
      <c r="B41" s="11" t="str">
        <f>CONCATENATE("          ", "6002", " - ", "STAFF SALARIES")</f>
        <v xml:space="preserve">          6002 - STAFF SALARIES</v>
      </c>
      <c r="C41" s="11"/>
      <c r="D41" s="6">
        <v>9872.81</v>
      </c>
      <c r="E41" s="2"/>
      <c r="F41" s="7">
        <f t="shared" si="14"/>
        <v>0.25541350983152677</v>
      </c>
      <c r="G41" s="2"/>
      <c r="H41" s="6">
        <v>9831.26</v>
      </c>
      <c r="I41" s="2"/>
      <c r="J41" s="7">
        <f t="shared" si="15"/>
        <v>0.26745461811532045</v>
      </c>
      <c r="K41" s="2"/>
      <c r="L41" s="6">
        <f t="shared" si="16"/>
        <v>41.549999999999272</v>
      </c>
      <c r="M41" s="2"/>
      <c r="N41" s="7">
        <f t="shared" si="17"/>
        <v>4.2263148365519042E-3</v>
      </c>
      <c r="O41" s="11"/>
      <c r="P41" s="6">
        <v>55846.559999999998</v>
      </c>
      <c r="Q41" s="2"/>
      <c r="R41" s="7">
        <f t="shared" si="18"/>
        <v>0.21214580484605053</v>
      </c>
      <c r="S41" s="2"/>
      <c r="T41" s="6">
        <v>51501.89</v>
      </c>
      <c r="U41" s="2"/>
      <c r="V41" s="7">
        <f t="shared" si="19"/>
        <v>0.19079474691320253</v>
      </c>
      <c r="W41" s="2"/>
      <c r="X41" s="6">
        <f t="shared" si="20"/>
        <v>4344.6699999999983</v>
      </c>
      <c r="Y41" s="2"/>
      <c r="Z41" s="7">
        <f t="shared" si="21"/>
        <v>8.4359428362726072E-2</v>
      </c>
    </row>
    <row r="42" spans="1:26" s="24" customFormat="1" hidden="1" outlineLevel="2" x14ac:dyDescent="0.25">
      <c r="A42" s="26"/>
      <c r="B42" s="11" t="str">
        <f>CONCATENATE("          ", "6005", " - ", "TEMPORARY WAGES-HOURLY")</f>
        <v xml:space="preserve">          6005 - TEMPORARY WAGES-HOURLY</v>
      </c>
      <c r="C42" s="11"/>
      <c r="D42" s="6">
        <v>1765.75</v>
      </c>
      <c r="E42" s="2"/>
      <c r="F42" s="7">
        <f t="shared" si="14"/>
        <v>4.5680652720453289E-2</v>
      </c>
      <c r="G42" s="2"/>
      <c r="H42" s="6">
        <v>923.14</v>
      </c>
      <c r="I42" s="2"/>
      <c r="J42" s="7">
        <f t="shared" si="15"/>
        <v>2.5113572031151339E-2</v>
      </c>
      <c r="K42" s="2"/>
      <c r="L42" s="6">
        <f t="shared" si="16"/>
        <v>842.61</v>
      </c>
      <c r="M42" s="2"/>
      <c r="N42" s="7">
        <f t="shared" si="17"/>
        <v>0.91276512771627272</v>
      </c>
      <c r="O42" s="11"/>
      <c r="P42" s="6">
        <v>9961</v>
      </c>
      <c r="Q42" s="2"/>
      <c r="R42" s="7">
        <f t="shared" si="18"/>
        <v>3.7839114209926437E-2</v>
      </c>
      <c r="S42" s="2"/>
      <c r="T42" s="6">
        <v>6011.82</v>
      </c>
      <c r="U42" s="2"/>
      <c r="V42" s="7">
        <f t="shared" si="19"/>
        <v>2.2271487034509395E-2</v>
      </c>
      <c r="W42" s="2"/>
      <c r="X42" s="6">
        <f t="shared" si="20"/>
        <v>3949.1800000000003</v>
      </c>
      <c r="Y42" s="2"/>
      <c r="Z42" s="7">
        <f t="shared" si="21"/>
        <v>0.65690256860651197</v>
      </c>
    </row>
    <row r="43" spans="1:26" s="24" customFormat="1" hidden="1" outlineLevel="2" x14ac:dyDescent="0.25">
      <c r="A43" s="26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14"/>
        <v>0</v>
      </c>
      <c r="G43" s="2"/>
      <c r="H43" s="6">
        <v>414.69</v>
      </c>
      <c r="I43" s="2"/>
      <c r="J43" s="7">
        <f t="shared" si="15"/>
        <v>1.1281438552763557E-2</v>
      </c>
      <c r="K43" s="2"/>
      <c r="L43" s="6">
        <f t="shared" si="16"/>
        <v>-414.69</v>
      </c>
      <c r="M43" s="2"/>
      <c r="N43" s="7">
        <f t="shared" si="17"/>
        <v>-1</v>
      </c>
      <c r="O43" s="11"/>
      <c r="P43" s="6"/>
      <c r="Q43" s="2"/>
      <c r="R43" s="7">
        <f t="shared" si="18"/>
        <v>0</v>
      </c>
      <c r="S43" s="2"/>
      <c r="T43" s="6">
        <v>4686.1499999999996</v>
      </c>
      <c r="U43" s="2"/>
      <c r="V43" s="7">
        <f t="shared" si="19"/>
        <v>1.7360388196380829E-2</v>
      </c>
      <c r="W43" s="2"/>
      <c r="X43" s="6">
        <f t="shared" si="20"/>
        <v>-4686.1499999999996</v>
      </c>
      <c r="Y43" s="2"/>
      <c r="Z43" s="7">
        <f t="shared" si="21"/>
        <v>-1</v>
      </c>
    </row>
    <row r="44" spans="1:26" s="24" customFormat="1" hidden="1" outlineLevel="2" x14ac:dyDescent="0.25">
      <c r="A44" s="26"/>
      <c r="B44" s="11" t="str">
        <f>CONCATENATE("          ", "6007", " - ", "STUDENT HOURLY")</f>
        <v xml:space="preserve">          6007 - STUDENT HOURLY</v>
      </c>
      <c r="C44" s="11"/>
      <c r="D44" s="6">
        <v>2979.01</v>
      </c>
      <c r="E44" s="2"/>
      <c r="F44" s="7">
        <f t="shared" si="14"/>
        <v>7.7068170047151385E-2</v>
      </c>
      <c r="G44" s="2"/>
      <c r="H44" s="6">
        <v>2620.75</v>
      </c>
      <c r="I44" s="2"/>
      <c r="J44" s="7">
        <f t="shared" si="15"/>
        <v>7.1296221483891795E-2</v>
      </c>
      <c r="K44" s="2"/>
      <c r="L44" s="6">
        <f t="shared" si="16"/>
        <v>358.26000000000022</v>
      </c>
      <c r="M44" s="2"/>
      <c r="N44" s="7">
        <f t="shared" si="17"/>
        <v>0.13670132595631029</v>
      </c>
      <c r="O44" s="11"/>
      <c r="P44" s="6">
        <v>19990.91</v>
      </c>
      <c r="Q44" s="2"/>
      <c r="R44" s="7">
        <f t="shared" si="18"/>
        <v>7.5939998659809313E-2</v>
      </c>
      <c r="S44" s="2"/>
      <c r="T44" s="6">
        <v>14674</v>
      </c>
      <c r="U44" s="2"/>
      <c r="V44" s="7">
        <f t="shared" si="19"/>
        <v>5.436154122119273E-2</v>
      </c>
      <c r="W44" s="2"/>
      <c r="X44" s="6">
        <f t="shared" si="20"/>
        <v>5316.91</v>
      </c>
      <c r="Y44" s="2"/>
      <c r="Z44" s="7">
        <f t="shared" si="21"/>
        <v>0.36233542319749218</v>
      </c>
    </row>
    <row r="45" spans="1:26" s="25" customFormat="1" outlineLevel="1" collapsed="1" x14ac:dyDescent="0.25">
      <c r="A45" s="27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57" si="22">IF(D$12=0,0,D45/D$12)</f>
        <v>0</v>
      </c>
      <c r="G45" s="1"/>
      <c r="H45" s="1">
        <f>SUM(OSRRefH22_2x_0)</f>
        <v>0</v>
      </c>
      <c r="I45" s="1"/>
      <c r="J45" s="5">
        <f t="shared" ref="J45:J57" si="23">IF(H$12=0,0,H45/H$12)</f>
        <v>0</v>
      </c>
      <c r="K45" s="1"/>
      <c r="L45" s="1">
        <f t="shared" ref="L45:L57" si="24">+D45-H45</f>
        <v>0</v>
      </c>
      <c r="M45" s="1"/>
      <c r="N45" s="5">
        <f t="shared" ref="N45:N57" si="25">IF(H45=0,0,L45/H45)</f>
        <v>0</v>
      </c>
      <c r="O45" s="13"/>
      <c r="P45" s="1">
        <f>SUM(OSRRefP22_2x_0)</f>
        <v>0</v>
      </c>
      <c r="Q45" s="1"/>
      <c r="R45" s="5">
        <f t="shared" ref="R45:R57" si="26">IF(P$12=0,0,P45/P$12)</f>
        <v>0</v>
      </c>
      <c r="S45" s="1"/>
      <c r="T45" s="1">
        <f>SUM(OSRRefT22_2x_0)</f>
        <v>551.5</v>
      </c>
      <c r="U45" s="1"/>
      <c r="V45" s="5">
        <f t="shared" ref="V45:V57" si="27">IF(T$12=0,0,T45/T$12)</f>
        <v>2.0430959508987183E-3</v>
      </c>
      <c r="W45" s="1"/>
      <c r="X45" s="1">
        <f t="shared" ref="X45:X57" si="28">+P45-T45</f>
        <v>-551.5</v>
      </c>
      <c r="Y45" s="1"/>
      <c r="Z45" s="5">
        <f t="shared" ref="Z45:Z57" si="29">IF(T45=0,0,X45/T45)</f>
        <v>-1</v>
      </c>
    </row>
    <row r="46" spans="1:26" s="24" customFormat="1" hidden="1" outlineLevel="2" x14ac:dyDescent="0.25">
      <c r="A46" s="26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2"/>
        <v>0</v>
      </c>
      <c r="G46" s="2"/>
      <c r="H46" s="6"/>
      <c r="I46" s="2"/>
      <c r="J46" s="7">
        <f t="shared" si="23"/>
        <v>0</v>
      </c>
      <c r="K46" s="2"/>
      <c r="L46" s="6">
        <f t="shared" si="24"/>
        <v>0</v>
      </c>
      <c r="M46" s="2"/>
      <c r="N46" s="7">
        <f t="shared" si="25"/>
        <v>0</v>
      </c>
      <c r="O46" s="11"/>
      <c r="P46" s="6"/>
      <c r="Q46" s="2"/>
      <c r="R46" s="7">
        <f t="shared" si="26"/>
        <v>0</v>
      </c>
      <c r="S46" s="2"/>
      <c r="T46" s="6">
        <v>551.5</v>
      </c>
      <c r="U46" s="2"/>
      <c r="V46" s="7">
        <f t="shared" si="27"/>
        <v>2.0430959508987183E-3</v>
      </c>
      <c r="W46" s="2"/>
      <c r="X46" s="6">
        <f t="shared" si="28"/>
        <v>-551.5</v>
      </c>
      <c r="Y46" s="2"/>
      <c r="Z46" s="7">
        <f t="shared" si="29"/>
        <v>-1</v>
      </c>
    </row>
    <row r="47" spans="1:26" s="25" customFormat="1" outlineLevel="1" collapsed="1" x14ac:dyDescent="0.25">
      <c r="A47" s="27"/>
      <c r="B47" s="13" t="str">
        <f>CONCATENATE("     ","Discounts and Markdowns                           ")</f>
        <v xml:space="preserve">     Discounts and Markdowns                           </v>
      </c>
      <c r="C47" s="13"/>
      <c r="D47" s="1">
        <f>SUM(OSRRefD22_3x_0)</f>
        <v>31.7</v>
      </c>
      <c r="E47" s="1"/>
      <c r="F47" s="5">
        <f t="shared" si="22"/>
        <v>8.2009157085565301E-4</v>
      </c>
      <c r="G47" s="1"/>
      <c r="H47" s="1">
        <f>SUM(OSRRefH22_3x_0)</f>
        <v>45.91</v>
      </c>
      <c r="I47" s="1"/>
      <c r="J47" s="5">
        <f t="shared" si="23"/>
        <v>1.2489590874083648E-3</v>
      </c>
      <c r="K47" s="1"/>
      <c r="L47" s="1">
        <f t="shared" si="24"/>
        <v>-14.209999999999997</v>
      </c>
      <c r="M47" s="1"/>
      <c r="N47" s="5">
        <f t="shared" si="25"/>
        <v>-0.30951862339359615</v>
      </c>
      <c r="O47" s="13"/>
      <c r="P47" s="1">
        <f>SUM(OSRRefP22_3x_0)</f>
        <v>420.47</v>
      </c>
      <c r="Q47" s="1"/>
      <c r="R47" s="5">
        <f t="shared" si="26"/>
        <v>1.597250512182288E-3</v>
      </c>
      <c r="S47" s="1"/>
      <c r="T47" s="1">
        <f>SUM(OSRRefT22_3x_0)</f>
        <v>677.51</v>
      </c>
      <c r="U47" s="1"/>
      <c r="V47" s="5">
        <f t="shared" si="27"/>
        <v>2.5099146649018868E-3</v>
      </c>
      <c r="W47" s="1"/>
      <c r="X47" s="1">
        <f t="shared" si="28"/>
        <v>-257.03999999999996</v>
      </c>
      <c r="Y47" s="1"/>
      <c r="Z47" s="5">
        <f t="shared" si="29"/>
        <v>-0.37938923410724562</v>
      </c>
    </row>
    <row r="48" spans="1:26" s="24" customFormat="1" hidden="1" outlineLevel="2" x14ac:dyDescent="0.25">
      <c r="A48" s="26"/>
      <c r="B48" s="11" t="str">
        <f>CONCATENATE("          ", "6382", " - ", "DISCOUNTS/MARK DOWNS")</f>
        <v xml:space="preserve">          6382 - DISCOUNTS/MARK DOWNS</v>
      </c>
      <c r="C48" s="11"/>
      <c r="D48" s="6">
        <v>31.7</v>
      </c>
      <c r="E48" s="2"/>
      <c r="F48" s="7">
        <f t="shared" si="22"/>
        <v>8.2009157085565301E-4</v>
      </c>
      <c r="G48" s="2"/>
      <c r="H48" s="6">
        <v>45.91</v>
      </c>
      <c r="I48" s="2"/>
      <c r="J48" s="7">
        <f t="shared" si="23"/>
        <v>1.2489590874083648E-3</v>
      </c>
      <c r="K48" s="2"/>
      <c r="L48" s="6">
        <f t="shared" si="24"/>
        <v>-14.209999999999997</v>
      </c>
      <c r="M48" s="2"/>
      <c r="N48" s="7">
        <f t="shared" si="25"/>
        <v>-0.30951862339359615</v>
      </c>
      <c r="O48" s="11"/>
      <c r="P48" s="6">
        <v>420.47</v>
      </c>
      <c r="Q48" s="2"/>
      <c r="R48" s="7">
        <f t="shared" si="26"/>
        <v>1.597250512182288E-3</v>
      </c>
      <c r="S48" s="2"/>
      <c r="T48" s="6">
        <v>677.51</v>
      </c>
      <c r="U48" s="2"/>
      <c r="V48" s="7">
        <f t="shared" si="27"/>
        <v>2.5099146649018868E-3</v>
      </c>
      <c r="W48" s="2"/>
      <c r="X48" s="6">
        <f t="shared" si="28"/>
        <v>-257.03999999999996</v>
      </c>
      <c r="Y48" s="2"/>
      <c r="Z48" s="7">
        <f t="shared" si="29"/>
        <v>-0.37938923410724562</v>
      </c>
    </row>
    <row r="49" spans="1:26" s="25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SUM(OSRRefD22_4x_0)</f>
        <v>3903.96</v>
      </c>
      <c r="E49" s="1"/>
      <c r="F49" s="5">
        <f t="shared" si="22"/>
        <v>0.10099699334251215</v>
      </c>
      <c r="G49" s="1"/>
      <c r="H49" s="1">
        <f>SUM(OSRRefH22_4x_0)</f>
        <v>3309.15</v>
      </c>
      <c r="I49" s="1"/>
      <c r="J49" s="5">
        <f t="shared" si="23"/>
        <v>9.0023806667335893E-2</v>
      </c>
      <c r="K49" s="1"/>
      <c r="L49" s="1">
        <f t="shared" si="24"/>
        <v>594.80999999999995</v>
      </c>
      <c r="M49" s="1"/>
      <c r="N49" s="5">
        <f t="shared" si="25"/>
        <v>0.17974706495625764</v>
      </c>
      <c r="O49" s="13"/>
      <c r="P49" s="1">
        <f>SUM(OSRRefP22_4x_0)</f>
        <v>9932.16</v>
      </c>
      <c r="Q49" s="1"/>
      <c r="R49" s="5">
        <f t="shared" si="26"/>
        <v>3.7729558938988349E-2</v>
      </c>
      <c r="S49" s="1"/>
      <c r="T49" s="1">
        <f>SUM(OSRRefT22_4x_0)</f>
        <v>15882.070000000002</v>
      </c>
      <c r="U49" s="1"/>
      <c r="V49" s="5">
        <f t="shared" si="27"/>
        <v>5.8836977169338188E-2</v>
      </c>
      <c r="W49" s="1"/>
      <c r="X49" s="1">
        <f t="shared" si="28"/>
        <v>-5949.9100000000017</v>
      </c>
      <c r="Y49" s="1"/>
      <c r="Z49" s="5">
        <f t="shared" si="29"/>
        <v>-0.37463063693838405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6">
        <v>3903.96</v>
      </c>
      <c r="E50" s="2"/>
      <c r="F50" s="7">
        <f t="shared" si="22"/>
        <v>0.10099699334251215</v>
      </c>
      <c r="G50" s="2"/>
      <c r="H50" s="6">
        <v>3309.15</v>
      </c>
      <c r="I50" s="2"/>
      <c r="J50" s="7">
        <f t="shared" si="23"/>
        <v>9.0023806667335893E-2</v>
      </c>
      <c r="K50" s="2"/>
      <c r="L50" s="6">
        <f t="shared" si="24"/>
        <v>594.80999999999995</v>
      </c>
      <c r="M50" s="2"/>
      <c r="N50" s="7">
        <f t="shared" si="25"/>
        <v>0.17974706495625764</v>
      </c>
      <c r="O50" s="11"/>
      <c r="P50" s="6">
        <v>9932.16</v>
      </c>
      <c r="Q50" s="2"/>
      <c r="R50" s="7">
        <f t="shared" si="26"/>
        <v>3.7729558938988349E-2</v>
      </c>
      <c r="S50" s="2"/>
      <c r="T50" s="6">
        <v>15882.070000000002</v>
      </c>
      <c r="U50" s="2"/>
      <c r="V50" s="7">
        <f t="shared" si="27"/>
        <v>5.8836977169338188E-2</v>
      </c>
      <c r="W50" s="2"/>
      <c r="X50" s="6">
        <f t="shared" si="28"/>
        <v>-5949.9100000000017</v>
      </c>
      <c r="Y50" s="2"/>
      <c r="Z50" s="7">
        <f t="shared" si="29"/>
        <v>-0.37463063693838405</v>
      </c>
    </row>
    <row r="51" spans="1:26" s="25" customFormat="1" outlineLevel="1" collapsed="1" x14ac:dyDescent="0.25">
      <c r="A51" s="27"/>
      <c r="B51" s="13" t="str">
        <f>CONCATENATE("     ","Freight out/Postage                               ")</f>
        <v xml:space="preserve">     Freight out/Postage                               </v>
      </c>
      <c r="C51" s="13"/>
      <c r="D51" s="1">
        <f>SUM(OSRRefD22_5x_0)</f>
        <v>9.1300000000000008</v>
      </c>
      <c r="E51" s="1"/>
      <c r="F51" s="5">
        <f t="shared" si="22"/>
        <v>2.3619672056505086E-4</v>
      </c>
      <c r="G51" s="1"/>
      <c r="H51" s="1">
        <f>SUM(OSRRefH22_5x_0)</f>
        <v>0</v>
      </c>
      <c r="I51" s="1"/>
      <c r="J51" s="5">
        <f t="shared" si="23"/>
        <v>0</v>
      </c>
      <c r="K51" s="1"/>
      <c r="L51" s="1">
        <f t="shared" si="24"/>
        <v>9.1300000000000008</v>
      </c>
      <c r="M51" s="1"/>
      <c r="N51" s="5">
        <f t="shared" si="25"/>
        <v>0</v>
      </c>
      <c r="O51" s="13"/>
      <c r="P51" s="1">
        <f>SUM(OSRRefP22_5x_0)</f>
        <v>9.1300000000000008</v>
      </c>
      <c r="Q51" s="1"/>
      <c r="R51" s="5">
        <f t="shared" si="26"/>
        <v>3.4682372526516251E-5</v>
      </c>
      <c r="S51" s="1"/>
      <c r="T51" s="1">
        <f>SUM(OSRRefT22_5x_0)</f>
        <v>0</v>
      </c>
      <c r="U51" s="1"/>
      <c r="V51" s="5">
        <f t="shared" si="27"/>
        <v>0</v>
      </c>
      <c r="W51" s="1"/>
      <c r="X51" s="1">
        <f t="shared" si="28"/>
        <v>9.1300000000000008</v>
      </c>
      <c r="Y51" s="1"/>
      <c r="Z51" s="5">
        <f t="shared" si="29"/>
        <v>0</v>
      </c>
    </row>
    <row r="52" spans="1:26" s="24" customFormat="1" hidden="1" outlineLevel="2" x14ac:dyDescent="0.25">
      <c r="A52" s="26"/>
      <c r="B52" s="11" t="str">
        <f>CONCATENATE("          ", "6305", " - ", "FREIGHT OUT")</f>
        <v xml:space="preserve">          6305 - FREIGHT OUT</v>
      </c>
      <c r="C52" s="11"/>
      <c r="D52" s="6">
        <v>9.1300000000000008</v>
      </c>
      <c r="E52" s="2"/>
      <c r="F52" s="7">
        <f t="shared" si="22"/>
        <v>2.3619672056505086E-4</v>
      </c>
      <c r="G52" s="2"/>
      <c r="H52" s="6"/>
      <c r="I52" s="2"/>
      <c r="J52" s="7">
        <f t="shared" si="23"/>
        <v>0</v>
      </c>
      <c r="K52" s="2"/>
      <c r="L52" s="6">
        <f t="shared" si="24"/>
        <v>9.1300000000000008</v>
      </c>
      <c r="M52" s="2"/>
      <c r="N52" s="7">
        <f t="shared" si="25"/>
        <v>0</v>
      </c>
      <c r="O52" s="11"/>
      <c r="P52" s="6">
        <v>9.1300000000000008</v>
      </c>
      <c r="Q52" s="2"/>
      <c r="R52" s="7">
        <f t="shared" si="26"/>
        <v>3.4682372526516251E-5</v>
      </c>
      <c r="S52" s="2"/>
      <c r="T52" s="6"/>
      <c r="U52" s="2"/>
      <c r="V52" s="7">
        <f t="shared" si="27"/>
        <v>0</v>
      </c>
      <c r="W52" s="2"/>
      <c r="X52" s="6">
        <f t="shared" si="28"/>
        <v>9.1300000000000008</v>
      </c>
      <c r="Y52" s="2"/>
      <c r="Z52" s="7">
        <f t="shared" si="29"/>
        <v>0</v>
      </c>
    </row>
    <row r="53" spans="1:26" s="25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SUM(OSRRefD22_6x_0)</f>
        <v>0</v>
      </c>
      <c r="E53" s="1"/>
      <c r="F53" s="5">
        <f t="shared" si="22"/>
        <v>0</v>
      </c>
      <c r="G53" s="1"/>
      <c r="H53" s="1">
        <f>SUM(OSRRefH22_6x_0)</f>
        <v>185.21</v>
      </c>
      <c r="I53" s="1"/>
      <c r="J53" s="5">
        <f t="shared" si="23"/>
        <v>5.0385474314725174E-3</v>
      </c>
      <c r="K53" s="1"/>
      <c r="L53" s="1">
        <f t="shared" si="24"/>
        <v>-185.21</v>
      </c>
      <c r="M53" s="1"/>
      <c r="N53" s="5">
        <f t="shared" si="25"/>
        <v>-1</v>
      </c>
      <c r="O53" s="13"/>
      <c r="P53" s="1">
        <f>SUM(OSRRefP22_6x_0)</f>
        <v>0</v>
      </c>
      <c r="Q53" s="1"/>
      <c r="R53" s="5">
        <f t="shared" si="26"/>
        <v>0</v>
      </c>
      <c r="S53" s="1"/>
      <c r="T53" s="1">
        <f>SUM(OSRRefT22_6x_0)</f>
        <v>185.21</v>
      </c>
      <c r="U53" s="1"/>
      <c r="V53" s="5">
        <f t="shared" si="27"/>
        <v>6.8613200555929575E-4</v>
      </c>
      <c r="W53" s="1"/>
      <c r="X53" s="1">
        <f t="shared" si="28"/>
        <v>-185.21</v>
      </c>
      <c r="Y53" s="1"/>
      <c r="Z53" s="5">
        <f t="shared" si="29"/>
        <v>-1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2"/>
        <v>0</v>
      </c>
      <c r="G54" s="2"/>
      <c r="H54" s="6">
        <v>185.21</v>
      </c>
      <c r="I54" s="2"/>
      <c r="J54" s="7">
        <f t="shared" si="23"/>
        <v>5.0385474314725174E-3</v>
      </c>
      <c r="K54" s="2"/>
      <c r="L54" s="6">
        <f t="shared" si="24"/>
        <v>-185.21</v>
      </c>
      <c r="M54" s="2"/>
      <c r="N54" s="7">
        <f t="shared" si="25"/>
        <v>-1</v>
      </c>
      <c r="O54" s="11"/>
      <c r="P54" s="6"/>
      <c r="Q54" s="2"/>
      <c r="R54" s="7">
        <f t="shared" si="26"/>
        <v>0</v>
      </c>
      <c r="S54" s="2"/>
      <c r="T54" s="6">
        <v>185.21</v>
      </c>
      <c r="U54" s="2"/>
      <c r="V54" s="7">
        <f t="shared" si="27"/>
        <v>6.8613200555929575E-4</v>
      </c>
      <c r="W54" s="2"/>
      <c r="X54" s="6">
        <f t="shared" si="28"/>
        <v>-185.21</v>
      </c>
      <c r="Y54" s="2"/>
      <c r="Z54" s="7">
        <f t="shared" si="29"/>
        <v>-1</v>
      </c>
    </row>
    <row r="55" spans="1:26" s="25" customFormat="1" outlineLevel="1" collapsed="1" x14ac:dyDescent="0.25">
      <c r="A55" s="27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SUM(OSRRefD22_7x_0)</f>
        <v>1404.99</v>
      </c>
      <c r="E55" s="1"/>
      <c r="F55" s="5">
        <f t="shared" si="22"/>
        <v>3.6347648458564162E-2</v>
      </c>
      <c r="G55" s="1"/>
      <c r="H55" s="1">
        <f>SUM(OSRRefH22_7x_0)</f>
        <v>14787.28</v>
      </c>
      <c r="I55" s="1"/>
      <c r="J55" s="5">
        <f t="shared" si="23"/>
        <v>0.40228071736118426</v>
      </c>
      <c r="K55" s="1"/>
      <c r="L55" s="1">
        <f t="shared" si="24"/>
        <v>-13382.29</v>
      </c>
      <c r="M55" s="1"/>
      <c r="N55" s="5">
        <f t="shared" si="25"/>
        <v>-0.90498658306328139</v>
      </c>
      <c r="O55" s="13"/>
      <c r="P55" s="1">
        <f>SUM(OSRRefP22_7x_0)</f>
        <v>29449.96</v>
      </c>
      <c r="Q55" s="1"/>
      <c r="R55" s="5">
        <f t="shared" si="26"/>
        <v>0.11187234212606818</v>
      </c>
      <c r="S55" s="1"/>
      <c r="T55" s="1">
        <f>SUM(OSRRefT22_7x_0)</f>
        <v>40901.379999999997</v>
      </c>
      <c r="U55" s="1"/>
      <c r="V55" s="5">
        <f t="shared" si="27"/>
        <v>0.15152392359776937</v>
      </c>
      <c r="W55" s="1"/>
      <c r="X55" s="1">
        <f t="shared" si="28"/>
        <v>-11451.419999999998</v>
      </c>
      <c r="Y55" s="1"/>
      <c r="Z55" s="5">
        <f t="shared" si="29"/>
        <v>-0.27997637243535545</v>
      </c>
    </row>
    <row r="56" spans="1:26" s="24" customFormat="1" hidden="1" outlineLevel="2" x14ac:dyDescent="0.25">
      <c r="A56" s="26"/>
      <c r="B56" s="11" t="str">
        <f>CONCATENATE("          ", "6373", " - ", "MAINTENANCE CONTRACTS")</f>
        <v xml:space="preserve">          6373 - MAINTENANCE CONTRACTS</v>
      </c>
      <c r="C56" s="11"/>
      <c r="D56" s="6">
        <v>1404.99</v>
      </c>
      <c r="E56" s="2"/>
      <c r="F56" s="7">
        <f t="shared" si="22"/>
        <v>3.6347648458564162E-2</v>
      </c>
      <c r="G56" s="2"/>
      <c r="H56" s="6">
        <v>14754.36</v>
      </c>
      <c r="I56" s="2"/>
      <c r="J56" s="7">
        <f t="shared" si="23"/>
        <v>0.40138514486810029</v>
      </c>
      <c r="K56" s="2"/>
      <c r="L56" s="6">
        <f t="shared" si="24"/>
        <v>-13349.37</v>
      </c>
      <c r="M56" s="2"/>
      <c r="N56" s="7">
        <f t="shared" si="25"/>
        <v>-0.9047745886639611</v>
      </c>
      <c r="O56" s="11"/>
      <c r="P56" s="6">
        <v>29449.96</v>
      </c>
      <c r="Q56" s="2"/>
      <c r="R56" s="7">
        <f t="shared" si="26"/>
        <v>0.11187234212606818</v>
      </c>
      <c r="S56" s="2"/>
      <c r="T56" s="6">
        <v>40752.839999999997</v>
      </c>
      <c r="U56" s="2"/>
      <c r="V56" s="7">
        <f t="shared" si="27"/>
        <v>0.15097363987601689</v>
      </c>
      <c r="W56" s="2"/>
      <c r="X56" s="6">
        <f t="shared" si="28"/>
        <v>-11302.879999999997</v>
      </c>
      <c r="Y56" s="2"/>
      <c r="Z56" s="7">
        <f t="shared" si="29"/>
        <v>-0.27735195878373137</v>
      </c>
    </row>
    <row r="57" spans="1:26" s="24" customFormat="1" hidden="1" outlineLevel="2" x14ac:dyDescent="0.25">
      <c r="A57" s="26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22"/>
        <v>0</v>
      </c>
      <c r="G57" s="2"/>
      <c r="H57" s="6">
        <v>32.92</v>
      </c>
      <c r="I57" s="2"/>
      <c r="J57" s="7">
        <f t="shared" si="23"/>
        <v>8.9557249308393325E-4</v>
      </c>
      <c r="K57" s="2"/>
      <c r="L57" s="6">
        <f t="shared" si="24"/>
        <v>-32.92</v>
      </c>
      <c r="M57" s="2"/>
      <c r="N57" s="7">
        <f t="shared" si="25"/>
        <v>-1</v>
      </c>
      <c r="O57" s="11"/>
      <c r="P57" s="6"/>
      <c r="Q57" s="2"/>
      <c r="R57" s="7">
        <f t="shared" si="26"/>
        <v>0</v>
      </c>
      <c r="S57" s="2"/>
      <c r="T57" s="6">
        <v>148.54</v>
      </c>
      <c r="U57" s="2"/>
      <c r="V57" s="7">
        <f t="shared" si="27"/>
        <v>5.5028372175248519E-4</v>
      </c>
      <c r="W57" s="2"/>
      <c r="X57" s="6">
        <f t="shared" si="28"/>
        <v>-148.54</v>
      </c>
      <c r="Y57" s="2"/>
      <c r="Z57" s="7">
        <f t="shared" si="29"/>
        <v>-1</v>
      </c>
    </row>
    <row r="58" spans="1:26" s="25" customFormat="1" outlineLevel="1" collapsed="1" x14ac:dyDescent="0.25">
      <c r="A58" s="27"/>
      <c r="B58" s="13" t="str">
        <f>CONCATENATE("     ","Royalty &amp; Commissions                             ")</f>
        <v xml:space="preserve">     Royalty &amp; Commissions                             </v>
      </c>
      <c r="C58" s="13"/>
      <c r="D58" s="1">
        <f>SUM(OSRRefD22_8x_0)</f>
        <v>17653.419999999998</v>
      </c>
      <c r="E58" s="1"/>
      <c r="F58" s="5">
        <f t="shared" ref="F58:F64" si="30">IF(D$12=0,0,D58/D$12)</f>
        <v>0.45670097598658044</v>
      </c>
      <c r="G58" s="1"/>
      <c r="H58" s="1">
        <f>SUM(OSRRefH22_8x_0)</f>
        <v>19578.32</v>
      </c>
      <c r="I58" s="1"/>
      <c r="J58" s="5">
        <f t="shared" ref="J58:J64" si="31">IF(H$12=0,0,H58/H$12)</f>
        <v>0.53261861642755259</v>
      </c>
      <c r="K58" s="1"/>
      <c r="L58" s="1">
        <f t="shared" ref="L58:L64" si="32">+D58-H58</f>
        <v>-1924.9000000000015</v>
      </c>
      <c r="M58" s="1"/>
      <c r="N58" s="5">
        <f t="shared" ref="N58:N64" si="33">IF(H58=0,0,L58/H58)</f>
        <v>-9.8317935348896199E-2</v>
      </c>
      <c r="O58" s="13"/>
      <c r="P58" s="1">
        <f>SUM(OSRRefP22_8x_0)</f>
        <v>43867.68</v>
      </c>
      <c r="Q58" s="1"/>
      <c r="R58" s="5">
        <f t="shared" ref="R58:R64" si="34">IF(P$12=0,0,P58/P$12)</f>
        <v>0.16664131649879588</v>
      </c>
      <c r="S58" s="1"/>
      <c r="T58" s="1">
        <f>SUM(OSRRefT22_8x_0)</f>
        <v>45940.700000000004</v>
      </c>
      <c r="U58" s="1"/>
      <c r="V58" s="5">
        <f t="shared" ref="V58:V64" si="35">IF(T$12=0,0,T58/T$12)</f>
        <v>0.17019267117217182</v>
      </c>
      <c r="W58" s="1"/>
      <c r="X58" s="1">
        <f t="shared" ref="X58:X64" si="36">+P58-T58</f>
        <v>-2073.0200000000041</v>
      </c>
      <c r="Y58" s="1"/>
      <c r="Z58" s="5">
        <f t="shared" ref="Z58:Z64" si="37">IF(T58=0,0,X58/T58)</f>
        <v>-4.5123822667046953E-2</v>
      </c>
    </row>
    <row r="59" spans="1:26" s="24" customFormat="1" hidden="1" outlineLevel="2" x14ac:dyDescent="0.25">
      <c r="A59" s="26"/>
      <c r="B59" s="11" t="str">
        <f>CONCATENATE("          ", "6259", " - ", "ROYALTY &amp; COMMISSIONS")</f>
        <v xml:space="preserve">          6259 - ROYALTY &amp; COMMISSIONS</v>
      </c>
      <c r="C59" s="11"/>
      <c r="D59" s="6">
        <v>17653.419999999998</v>
      </c>
      <c r="E59" s="2"/>
      <c r="F59" s="7">
        <f t="shared" si="30"/>
        <v>0.45670097598658044</v>
      </c>
      <c r="G59" s="2"/>
      <c r="H59" s="6">
        <v>19578.32</v>
      </c>
      <c r="I59" s="2"/>
      <c r="J59" s="7">
        <f t="shared" si="31"/>
        <v>0.53261861642755259</v>
      </c>
      <c r="K59" s="2"/>
      <c r="L59" s="6">
        <f t="shared" si="32"/>
        <v>-1924.9000000000015</v>
      </c>
      <c r="M59" s="2"/>
      <c r="N59" s="7">
        <f t="shared" si="33"/>
        <v>-9.8317935348896199E-2</v>
      </c>
      <c r="O59" s="11"/>
      <c r="P59" s="6">
        <v>43867.68</v>
      </c>
      <c r="Q59" s="2"/>
      <c r="R59" s="7">
        <f t="shared" si="34"/>
        <v>0.16664131649879588</v>
      </c>
      <c r="S59" s="2"/>
      <c r="T59" s="6">
        <v>45940.700000000004</v>
      </c>
      <c r="U59" s="2"/>
      <c r="V59" s="7">
        <f t="shared" si="35"/>
        <v>0.17019267117217182</v>
      </c>
      <c r="W59" s="2"/>
      <c r="X59" s="6">
        <f t="shared" si="36"/>
        <v>-2073.0200000000041</v>
      </c>
      <c r="Y59" s="2"/>
      <c r="Z59" s="7">
        <f t="shared" si="37"/>
        <v>-4.5123822667046953E-2</v>
      </c>
    </row>
    <row r="60" spans="1:26" s="25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SUM(OSRRefD22_9x_0)</f>
        <v>1828.3600000000001</v>
      </c>
      <c r="E60" s="1"/>
      <c r="F60" s="5">
        <f t="shared" si="30"/>
        <v>4.7300398248884601E-2</v>
      </c>
      <c r="G60" s="1"/>
      <c r="H60" s="1">
        <f>SUM(OSRRefH22_9x_0)</f>
        <v>1798.7</v>
      </c>
      <c r="I60" s="1"/>
      <c r="J60" s="5">
        <f t="shared" si="31"/>
        <v>4.893275344198271E-2</v>
      </c>
      <c r="K60" s="1"/>
      <c r="L60" s="1">
        <f t="shared" si="32"/>
        <v>29.660000000000082</v>
      </c>
      <c r="M60" s="1"/>
      <c r="N60" s="5">
        <f t="shared" si="33"/>
        <v>1.6489686996163943E-2</v>
      </c>
      <c r="O60" s="13"/>
      <c r="P60" s="1">
        <f>SUM(OSRRefP22_9x_0)</f>
        <v>13983.73</v>
      </c>
      <c r="Q60" s="1"/>
      <c r="R60" s="5">
        <f t="shared" si="34"/>
        <v>5.3120365078885109E-2</v>
      </c>
      <c r="S60" s="1"/>
      <c r="T60" s="1">
        <f>SUM(OSRRefT22_9x_0)</f>
        <v>25696.320000000003</v>
      </c>
      <c r="U60" s="1"/>
      <c r="V60" s="5">
        <f t="shared" si="35"/>
        <v>9.5195008785127391E-2</v>
      </c>
      <c r="W60" s="1"/>
      <c r="X60" s="1">
        <f t="shared" si="36"/>
        <v>-11712.590000000004</v>
      </c>
      <c r="Y60" s="1"/>
      <c r="Z60" s="5">
        <f t="shared" si="37"/>
        <v>-0.45580806901532989</v>
      </c>
    </row>
    <row r="61" spans="1:26" s="24" customFormat="1" hidden="1" outlineLevel="2" x14ac:dyDescent="0.25">
      <c r="A61" s="26"/>
      <c r="B61" s="11" t="str">
        <f>CONCATENATE("          ", "6234", " - ", "EXPENDABLE SUPPLIES &amp; EQUIPMEN")</f>
        <v xml:space="preserve">          6234 - EXPENDABLE SUPPLIES &amp; EQUIPMEN</v>
      </c>
      <c r="C61" s="11"/>
      <c r="D61" s="6"/>
      <c r="E61" s="2"/>
      <c r="F61" s="7">
        <f t="shared" si="30"/>
        <v>0</v>
      </c>
      <c r="G61" s="2"/>
      <c r="H61" s="6"/>
      <c r="I61" s="2"/>
      <c r="J61" s="7">
        <f t="shared" si="31"/>
        <v>0</v>
      </c>
      <c r="K61" s="2"/>
      <c r="L61" s="6">
        <f t="shared" si="32"/>
        <v>0</v>
      </c>
      <c r="M61" s="2"/>
      <c r="N61" s="7">
        <f t="shared" si="33"/>
        <v>0</v>
      </c>
      <c r="O61" s="11"/>
      <c r="P61" s="6">
        <v>1017.27</v>
      </c>
      <c r="Q61" s="2"/>
      <c r="R61" s="7">
        <f t="shared" si="34"/>
        <v>3.8643304600272932E-3</v>
      </c>
      <c r="S61" s="2"/>
      <c r="T61" s="6">
        <v>856.68</v>
      </c>
      <c r="U61" s="2"/>
      <c r="V61" s="7">
        <f t="shared" si="35"/>
        <v>3.1736707873361992E-3</v>
      </c>
      <c r="W61" s="2"/>
      <c r="X61" s="6">
        <f t="shared" si="36"/>
        <v>160.59000000000003</v>
      </c>
      <c r="Y61" s="2"/>
      <c r="Z61" s="7">
        <f t="shared" si="37"/>
        <v>0.18745622636223566</v>
      </c>
    </row>
    <row r="62" spans="1:26" s="24" customFormat="1" hidden="1" outlineLevel="2" x14ac:dyDescent="0.25">
      <c r="A62" s="26"/>
      <c r="B62" s="11" t="str">
        <f>CONCATENATE("          ", "6243", " - ", "PAPER SUPPLIES")</f>
        <v xml:space="preserve">          6243 - PAPER SUPPLIES</v>
      </c>
      <c r="C62" s="11"/>
      <c r="D62" s="6">
        <v>1423.15</v>
      </c>
      <c r="E62" s="2"/>
      <c r="F62" s="7">
        <f t="shared" si="30"/>
        <v>3.6817454860038568E-2</v>
      </c>
      <c r="G62" s="2"/>
      <c r="H62" s="6">
        <v>1616.13</v>
      </c>
      <c r="I62" s="2"/>
      <c r="J62" s="7">
        <f t="shared" si="31"/>
        <v>4.3966025918825549E-2</v>
      </c>
      <c r="K62" s="2"/>
      <c r="L62" s="6">
        <f t="shared" si="32"/>
        <v>-192.98000000000002</v>
      </c>
      <c r="M62" s="2"/>
      <c r="N62" s="7">
        <f t="shared" si="33"/>
        <v>-0.11940871093290763</v>
      </c>
      <c r="O62" s="11"/>
      <c r="P62" s="6">
        <v>6329.48</v>
      </c>
      <c r="Q62" s="2"/>
      <c r="R62" s="7">
        <f t="shared" si="34"/>
        <v>2.4043963117101212E-2</v>
      </c>
      <c r="S62" s="2"/>
      <c r="T62" s="6">
        <v>18272.030000000002</v>
      </c>
      <c r="U62" s="2"/>
      <c r="V62" s="7">
        <f t="shared" si="35"/>
        <v>6.7690862207978084E-2</v>
      </c>
      <c r="W62" s="2"/>
      <c r="X62" s="6">
        <f t="shared" si="36"/>
        <v>-11942.550000000003</v>
      </c>
      <c r="Y62" s="2"/>
      <c r="Z62" s="7">
        <f t="shared" si="37"/>
        <v>-0.65359732881349264</v>
      </c>
    </row>
    <row r="63" spans="1:26" s="24" customFormat="1" hidden="1" outlineLevel="2" x14ac:dyDescent="0.25">
      <c r="A63" s="26"/>
      <c r="B63" s="11" t="str">
        <f>CONCATENATE("          ", "6245", " - ", "PRINTING")</f>
        <v xml:space="preserve">          6245 - PRINTING</v>
      </c>
      <c r="C63" s="11"/>
      <c r="D63" s="6">
        <v>214.98</v>
      </c>
      <c r="E63" s="2"/>
      <c r="F63" s="7">
        <f t="shared" si="30"/>
        <v>5.5616178518154025E-3</v>
      </c>
      <c r="G63" s="2"/>
      <c r="H63" s="6">
        <v>182.57</v>
      </c>
      <c r="I63" s="2"/>
      <c r="J63" s="7">
        <f t="shared" si="31"/>
        <v>4.9667275231571597E-3</v>
      </c>
      <c r="K63" s="2"/>
      <c r="L63" s="6">
        <f t="shared" si="32"/>
        <v>32.409999999999997</v>
      </c>
      <c r="M63" s="2"/>
      <c r="N63" s="7">
        <f t="shared" si="33"/>
        <v>0.17752095086816014</v>
      </c>
      <c r="O63" s="11"/>
      <c r="P63" s="6">
        <v>464.42</v>
      </c>
      <c r="Q63" s="2"/>
      <c r="R63" s="7">
        <f t="shared" si="34"/>
        <v>1.7642045398427906E-3</v>
      </c>
      <c r="S63" s="2"/>
      <c r="T63" s="6">
        <v>4569.7</v>
      </c>
      <c r="U63" s="2"/>
      <c r="V63" s="7">
        <f t="shared" si="35"/>
        <v>1.6928985615270849E-2</v>
      </c>
      <c r="W63" s="2"/>
      <c r="X63" s="6">
        <f t="shared" si="36"/>
        <v>-4105.28</v>
      </c>
      <c r="Y63" s="2"/>
      <c r="Z63" s="7">
        <f t="shared" si="37"/>
        <v>-0.89836969604131556</v>
      </c>
    </row>
    <row r="64" spans="1:26" s="24" customFormat="1" hidden="1" outlineLevel="2" x14ac:dyDescent="0.25">
      <c r="A64" s="26"/>
      <c r="B64" s="11" t="str">
        <f>CONCATENATE("          ", "6247", " - ", "STORE SUPPLIES")</f>
        <v xml:space="preserve">          6247 - STORE SUPPLIES</v>
      </c>
      <c r="C64" s="11"/>
      <c r="D64" s="6">
        <v>190.23</v>
      </c>
      <c r="E64" s="2"/>
      <c r="F64" s="7">
        <f t="shared" si="30"/>
        <v>4.9213255370306264E-3</v>
      </c>
      <c r="G64" s="2"/>
      <c r="H64" s="6"/>
      <c r="I64" s="2"/>
      <c r="J64" s="7">
        <f t="shared" si="31"/>
        <v>0</v>
      </c>
      <c r="K64" s="2"/>
      <c r="L64" s="6">
        <f t="shared" si="32"/>
        <v>190.23</v>
      </c>
      <c r="M64" s="2"/>
      <c r="N64" s="7">
        <f t="shared" si="33"/>
        <v>0</v>
      </c>
      <c r="O64" s="11"/>
      <c r="P64" s="6">
        <v>6172.56</v>
      </c>
      <c r="Q64" s="2"/>
      <c r="R64" s="7">
        <f t="shared" si="34"/>
        <v>2.3447866961913817E-2</v>
      </c>
      <c r="S64" s="2"/>
      <c r="T64" s="6">
        <v>1997.91</v>
      </c>
      <c r="U64" s="2"/>
      <c r="V64" s="7">
        <f t="shared" si="35"/>
        <v>7.4014901745422636E-3</v>
      </c>
      <c r="W64" s="2"/>
      <c r="X64" s="6">
        <f t="shared" si="36"/>
        <v>4174.6500000000005</v>
      </c>
      <c r="Y64" s="2"/>
      <c r="Z64" s="7">
        <f t="shared" si="37"/>
        <v>2.0895085364205599</v>
      </c>
    </row>
    <row r="65" spans="1:26" s="25" customFormat="1" outlineLevel="1" collapsed="1" x14ac:dyDescent="0.25">
      <c r="A65" s="27"/>
      <c r="B65" s="13" t="str">
        <f>CONCATENATE("     ","Telephone/Data Lines                              ")</f>
        <v xml:space="preserve">     Telephone/Data Lines                              </v>
      </c>
      <c r="C65" s="13"/>
      <c r="D65" s="1">
        <f>SUM(OSRRefD22_10x_0)</f>
        <v>108.05</v>
      </c>
      <c r="E65" s="1"/>
      <c r="F65" s="5">
        <f t="shared" ref="F65:F68" si="38">IF(D$12=0,0,D65/D$12)</f>
        <v>2.7952963479795996E-3</v>
      </c>
      <c r="G65" s="1"/>
      <c r="H65" s="1">
        <f>SUM(OSRRefH22_10x_0)</f>
        <v>146.85</v>
      </c>
      <c r="I65" s="1"/>
      <c r="J65" s="5">
        <f t="shared" ref="J65:J68" si="39">IF(H$12=0,0,H65/H$12)</f>
        <v>3.9949824000417855E-3</v>
      </c>
      <c r="K65" s="1"/>
      <c r="L65" s="1">
        <f t="shared" ref="L65:L68" si="40">+D65-H65</f>
        <v>-38.799999999999997</v>
      </c>
      <c r="M65" s="1"/>
      <c r="N65" s="5">
        <f t="shared" ref="N65:N68" si="41">IF(H65=0,0,L65/H65)</f>
        <v>-0.26421518556350015</v>
      </c>
      <c r="O65" s="13"/>
      <c r="P65" s="1">
        <f>SUM(OSRRefP22_10x_0)</f>
        <v>710.4</v>
      </c>
      <c r="Q65" s="1"/>
      <c r="R65" s="5">
        <f t="shared" ref="R65:R68" si="42">IF(P$12=0,0,P65/P$12)</f>
        <v>2.6986152730380224E-3</v>
      </c>
      <c r="S65" s="1"/>
      <c r="T65" s="1">
        <f>SUM(OSRRefT22_10x_0)</f>
        <v>661.9</v>
      </c>
      <c r="U65" s="1"/>
      <c r="V65" s="5">
        <f t="shared" ref="V65:V68" si="43">IF(T$12=0,0,T65/T$12)</f>
        <v>2.4520856027196039E-3</v>
      </c>
      <c r="W65" s="1"/>
      <c r="X65" s="1">
        <f t="shared" ref="X65:X68" si="44">+P65-T65</f>
        <v>48.5</v>
      </c>
      <c r="Y65" s="1"/>
      <c r="Z65" s="5">
        <f t="shared" ref="Z65:Z68" si="45">IF(T65=0,0,X65/T65)</f>
        <v>7.3273908445384506E-2</v>
      </c>
    </row>
    <row r="66" spans="1:26" s="24" customFormat="1" hidden="1" outlineLevel="2" x14ac:dyDescent="0.25">
      <c r="A66" s="26"/>
      <c r="B66" s="11" t="str">
        <f>CONCATENATE("          ", "6309", " - ", "TELEPHONE")</f>
        <v xml:space="preserve">          6309 - TELEPHONE</v>
      </c>
      <c r="C66" s="11"/>
      <c r="D66" s="6">
        <v>108.05</v>
      </c>
      <c r="E66" s="2"/>
      <c r="F66" s="7">
        <f t="shared" si="38"/>
        <v>2.7952963479795996E-3</v>
      </c>
      <c r="G66" s="2"/>
      <c r="H66" s="6">
        <v>146.85</v>
      </c>
      <c r="I66" s="2"/>
      <c r="J66" s="7">
        <f t="shared" si="39"/>
        <v>3.9949824000417855E-3</v>
      </c>
      <c r="K66" s="2"/>
      <c r="L66" s="6">
        <f t="shared" si="40"/>
        <v>-38.799999999999997</v>
      </c>
      <c r="M66" s="2"/>
      <c r="N66" s="7">
        <f t="shared" si="41"/>
        <v>-0.26421518556350015</v>
      </c>
      <c r="O66" s="11"/>
      <c r="P66" s="6">
        <v>710.4</v>
      </c>
      <c r="Q66" s="2"/>
      <c r="R66" s="7">
        <f t="shared" si="42"/>
        <v>2.6986152730380224E-3</v>
      </c>
      <c r="S66" s="2"/>
      <c r="T66" s="6">
        <v>661.9</v>
      </c>
      <c r="U66" s="2"/>
      <c r="V66" s="7">
        <f t="shared" si="43"/>
        <v>2.4520856027196039E-3</v>
      </c>
      <c r="W66" s="2"/>
      <c r="X66" s="6">
        <f t="shared" si="44"/>
        <v>48.5</v>
      </c>
      <c r="Y66" s="2"/>
      <c r="Z66" s="7">
        <f t="shared" si="45"/>
        <v>7.3273908445384506E-2</v>
      </c>
    </row>
    <row r="67" spans="1:26" s="25" customFormat="1" outlineLevel="1" collapsed="1" x14ac:dyDescent="0.25">
      <c r="A67" s="27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SUM(OSRRefD22_11x_0)</f>
        <v>0</v>
      </c>
      <c r="E67" s="1"/>
      <c r="F67" s="5">
        <f t="shared" si="38"/>
        <v>0</v>
      </c>
      <c r="G67" s="1"/>
      <c r="H67" s="1">
        <f>SUM(OSRRefH22_11x_0)</f>
        <v>0</v>
      </c>
      <c r="I67" s="1"/>
      <c r="J67" s="5">
        <f t="shared" si="39"/>
        <v>0</v>
      </c>
      <c r="K67" s="1"/>
      <c r="L67" s="1">
        <f t="shared" si="40"/>
        <v>0</v>
      </c>
      <c r="M67" s="1"/>
      <c r="N67" s="5">
        <f t="shared" si="41"/>
        <v>0</v>
      </c>
      <c r="O67" s="13"/>
      <c r="P67" s="1">
        <f>SUM(OSRRefP22_11x_0)</f>
        <v>97.71</v>
      </c>
      <c r="Q67" s="1"/>
      <c r="R67" s="5">
        <f t="shared" si="42"/>
        <v>3.7117356183635297E-4</v>
      </c>
      <c r="S67" s="1"/>
      <c r="T67" s="1">
        <f>SUM(OSRRefT22_11x_0)</f>
        <v>0</v>
      </c>
      <c r="U67" s="1"/>
      <c r="V67" s="5">
        <f t="shared" si="43"/>
        <v>0</v>
      </c>
      <c r="W67" s="1"/>
      <c r="X67" s="1">
        <f t="shared" si="44"/>
        <v>97.71</v>
      </c>
      <c r="Y67" s="1"/>
      <c r="Z67" s="5">
        <f t="shared" si="45"/>
        <v>0</v>
      </c>
    </row>
    <row r="68" spans="1:26" s="24" customFormat="1" hidden="1" outlineLevel="2" x14ac:dyDescent="0.25">
      <c r="A68" s="26"/>
      <c r="B68" s="11" t="str">
        <f>CONCATENATE("          ", "6376", " - ", "TRAINING")</f>
        <v xml:space="preserve">          6376 - TRAINING</v>
      </c>
      <c r="C68" s="11"/>
      <c r="D68" s="6"/>
      <c r="E68" s="2"/>
      <c r="F68" s="7">
        <f t="shared" si="38"/>
        <v>0</v>
      </c>
      <c r="G68" s="2"/>
      <c r="H68" s="6"/>
      <c r="I68" s="2"/>
      <c r="J68" s="7">
        <f t="shared" si="39"/>
        <v>0</v>
      </c>
      <c r="K68" s="2"/>
      <c r="L68" s="6">
        <f t="shared" si="40"/>
        <v>0</v>
      </c>
      <c r="M68" s="2"/>
      <c r="N68" s="7">
        <f t="shared" si="41"/>
        <v>0</v>
      </c>
      <c r="O68" s="11"/>
      <c r="P68" s="6">
        <v>97.71</v>
      </c>
      <c r="Q68" s="2"/>
      <c r="R68" s="7">
        <f t="shared" si="42"/>
        <v>3.7117356183635297E-4</v>
      </c>
      <c r="S68" s="2"/>
      <c r="T68" s="6"/>
      <c r="U68" s="2"/>
      <c r="V68" s="7">
        <f t="shared" si="43"/>
        <v>0</v>
      </c>
      <c r="W68" s="2"/>
      <c r="X68" s="6">
        <f t="shared" si="44"/>
        <v>97.71</v>
      </c>
      <c r="Y68" s="2"/>
      <c r="Z68" s="7">
        <f t="shared" si="45"/>
        <v>0</v>
      </c>
    </row>
    <row r="69" spans="1:26" s="53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collapsed="1" x14ac:dyDescent="0.25">
      <c r="A70" s="10"/>
      <c r="B70" s="28" t="s">
        <v>0</v>
      </c>
      <c r="C70" s="10"/>
      <c r="D70" s="4">
        <f>SUM(OSRRefD25x_0)</f>
        <v>13269</v>
      </c>
      <c r="E70" s="4"/>
      <c r="F70" s="12">
        <f t="shared" ref="F70:F71" si="46">IF(D$12=0,0,D70/D$12)</f>
        <v>0.34327429191431102</v>
      </c>
      <c r="G70" s="4"/>
      <c r="H70" s="4">
        <f>SUM(OSRRefH25x_0)</f>
        <v>12083</v>
      </c>
      <c r="I70" s="4"/>
      <c r="J70" s="12">
        <f t="shared" ref="J70:J71" si="47">IF(H$12=0,0,H70/H$12)</f>
        <v>0.32871210309639021</v>
      </c>
      <c r="K70" s="4"/>
      <c r="L70" s="4">
        <f t="shared" ref="L70:L71" si="48">+D70-H70</f>
        <v>1186</v>
      </c>
      <c r="M70" s="4"/>
      <c r="N70" s="12">
        <f t="shared" ref="N70:N71" si="49">IF(H70=0,0,L70/H70)</f>
        <v>9.8154431846395759E-2</v>
      </c>
      <c r="O70" s="10"/>
      <c r="P70" s="4">
        <f>SUM(OSRRefP25x_0)</f>
        <v>66345</v>
      </c>
      <c r="Q70" s="4"/>
      <c r="R70" s="12">
        <f t="shared" ref="R70:R71" si="50">IF(P$12=0,0,P70/P$12)</f>
        <v>0.25202650660150283</v>
      </c>
      <c r="S70" s="4"/>
      <c r="T70" s="4">
        <f>SUM(OSRRefT25x_0)</f>
        <v>60415</v>
      </c>
      <c r="U70" s="4"/>
      <c r="V70" s="12">
        <f t="shared" ref="V70:V71" si="51">IF(T$12=0,0,T70/T$12)</f>
        <v>0.22381440049600373</v>
      </c>
      <c r="W70" s="4"/>
      <c r="X70" s="4">
        <f t="shared" ref="X70:X71" si="52">+P70-T70</f>
        <v>5930</v>
      </c>
      <c r="Y70" s="4"/>
      <c r="Z70" s="12">
        <f t="shared" ref="Z70:Z71" si="53">IF(T70=0,0,X70/T70)</f>
        <v>9.8154431846395759E-2</v>
      </c>
    </row>
    <row r="71" spans="1:26" s="24" customFormat="1" hidden="1" outlineLevel="1" x14ac:dyDescent="0.25">
      <c r="A71" s="44"/>
      <c r="B71" s="11" t="str">
        <f>CONCATENATE("          ", "9150", " - ", "MISC. INCOME")</f>
        <v xml:space="preserve">          9150 - MISC. INCOME</v>
      </c>
      <c r="C71" s="11"/>
      <c r="D71" s="2">
        <f>--13269</f>
        <v>13269</v>
      </c>
      <c r="E71" s="2"/>
      <c r="F71" s="19">
        <f t="shared" si="46"/>
        <v>0.34327429191431102</v>
      </c>
      <c r="G71" s="2"/>
      <c r="H71" s="2">
        <f>--12083</f>
        <v>12083</v>
      </c>
      <c r="I71" s="2"/>
      <c r="J71" s="19">
        <f t="shared" si="47"/>
        <v>0.32871210309639021</v>
      </c>
      <c r="K71" s="2"/>
      <c r="L71" s="2">
        <f t="shared" si="48"/>
        <v>1186</v>
      </c>
      <c r="M71" s="2"/>
      <c r="N71" s="19">
        <f t="shared" si="49"/>
        <v>9.8154431846395759E-2</v>
      </c>
      <c r="O71" s="11"/>
      <c r="P71" s="2">
        <f>--66345</f>
        <v>66345</v>
      </c>
      <c r="Q71" s="2"/>
      <c r="R71" s="19">
        <f t="shared" si="50"/>
        <v>0.25202650660150283</v>
      </c>
      <c r="S71" s="2"/>
      <c r="T71" s="2">
        <f>--60415</f>
        <v>60415</v>
      </c>
      <c r="U71" s="2"/>
      <c r="V71" s="19">
        <f t="shared" si="51"/>
        <v>0.22381440049600373</v>
      </c>
      <c r="W71" s="2"/>
      <c r="X71" s="2">
        <f t="shared" si="52"/>
        <v>5930</v>
      </c>
      <c r="Y71" s="2"/>
      <c r="Z71" s="19">
        <f t="shared" si="53"/>
        <v>9.8154431846395759E-2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1">
        <f>+D28-D30+D70</f>
        <v>4924.4899999999834</v>
      </c>
      <c r="E73" s="14"/>
      <c r="F73" s="20">
        <f>IF(D$12=0,0,D73/D$12)</f>
        <v>0.12739850914078679</v>
      </c>
      <c r="G73" s="14"/>
      <c r="H73" s="21">
        <f>+H28-H30+H70</f>
        <v>-11378.969999999994</v>
      </c>
      <c r="I73" s="14"/>
      <c r="J73" s="20">
        <f>IF(H$12=0,0,H73/H$12)</f>
        <v>-0.30955931141030613</v>
      </c>
      <c r="K73" s="15"/>
      <c r="L73" s="21">
        <f>+D73-H73</f>
        <v>16303.459999999977</v>
      </c>
      <c r="M73" s="15"/>
      <c r="N73" s="20">
        <f>IF(H73=0,0,L73/H73)</f>
        <v>-1.432771155913056</v>
      </c>
      <c r="O73" s="28"/>
      <c r="P73" s="21">
        <f>+P28-P30+P70</f>
        <v>105578.80000000002</v>
      </c>
      <c r="Q73" s="14"/>
      <c r="R73" s="20">
        <f>IF(P$12=0,0,P73/P$12)</f>
        <v>0.40106498055887785</v>
      </c>
      <c r="S73" s="14"/>
      <c r="T73" s="21">
        <f>+T28-T30+T70</f>
        <v>86243.519999999902</v>
      </c>
      <c r="U73" s="14"/>
      <c r="V73" s="20">
        <f>IF(T$12=0,0,T73/T$12)</f>
        <v>0.31949915957072061</v>
      </c>
      <c r="W73" s="15"/>
      <c r="X73" s="21">
        <f>+P73-T73</f>
        <v>19335.280000000115</v>
      </c>
      <c r="Y73" s="15"/>
      <c r="Z73" s="20">
        <f>IF(T73=0,0,X73/T73)</f>
        <v>0.22419400321322852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5267.99</v>
      </c>
      <c r="E75" s="4"/>
      <c r="F75" s="12">
        <f>IF(D$12=0,0,D75/D$12)</f>
        <v>0.13628499035810318</v>
      </c>
      <c r="G75" s="4"/>
      <c r="H75" s="4">
        <v>6988.32</v>
      </c>
      <c r="I75" s="4"/>
      <c r="J75" s="12">
        <f>IF(H$12=0,0,H75/H$12)</f>
        <v>0.19011382639332661</v>
      </c>
      <c r="K75" s="4"/>
      <c r="L75" s="4">
        <f>+D75-H75</f>
        <v>-1720.33</v>
      </c>
      <c r="M75" s="4"/>
      <c r="N75" s="12">
        <f>IF(H75=0,0,L75/H75)</f>
        <v>-0.24617218444490235</v>
      </c>
      <c r="O75" s="10"/>
      <c r="P75" s="4">
        <v>27875.98</v>
      </c>
      <c r="Q75" s="4"/>
      <c r="R75" s="12">
        <f>IF(P$12=0,0,P75/P$12)</f>
        <v>0.10589322266174331</v>
      </c>
      <c r="S75" s="4"/>
      <c r="T75" s="4">
        <v>28403.05</v>
      </c>
      <c r="U75" s="4"/>
      <c r="V75" s="12">
        <f>IF(T$12=0,0,T75/T$12)</f>
        <v>0.10522240516441313</v>
      </c>
      <c r="W75" s="4"/>
      <c r="X75" s="4">
        <f>+P75-T75</f>
        <v>-527.06999999999971</v>
      </c>
      <c r="Y75" s="4"/>
      <c r="Z75" s="12">
        <f>IF(T75=0,0,X75/T75)</f>
        <v>-1.8556809920061392E-2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1">
        <f>+D73-D75</f>
        <v>-343.50000000001637</v>
      </c>
      <c r="E77" s="14"/>
      <c r="F77" s="32">
        <f>IF(D$12=0,0,D77/D$12)</f>
        <v>-8.8864812173164113E-3</v>
      </c>
      <c r="G77" s="14"/>
      <c r="H77" s="31">
        <f>+H73-H75</f>
        <v>-18367.289999999994</v>
      </c>
      <c r="I77" s="14"/>
      <c r="J77" s="32">
        <f>IF(H$12=0,0,H77/H$12)</f>
        <v>-0.49967313780363276</v>
      </c>
      <c r="K77" s="15"/>
      <c r="L77" s="31">
        <f>D77-H77</f>
        <v>18023.789999999979</v>
      </c>
      <c r="M77" s="15"/>
      <c r="N77" s="32">
        <f>IF(H77=0,0,L77/H77)</f>
        <v>-0.98129827535798619</v>
      </c>
      <c r="O77" s="28"/>
      <c r="P77" s="31">
        <f>+P73-P75</f>
        <v>77702.820000000022</v>
      </c>
      <c r="Q77" s="14"/>
      <c r="R77" s="32">
        <f>IF(P$12=0,0,P77/P$12)</f>
        <v>0.29517175789713451</v>
      </c>
      <c r="S77" s="14"/>
      <c r="T77" s="31">
        <f>+T73-T75</f>
        <v>57840.469999999899</v>
      </c>
      <c r="U77" s="14"/>
      <c r="V77" s="32">
        <f>IF(T$12=0,0,T77/T$12)</f>
        <v>0.2142767544063075</v>
      </c>
      <c r="W77" s="15"/>
      <c r="X77" s="31">
        <f>P77-T77</f>
        <v>19862.350000000122</v>
      </c>
      <c r="Y77" s="15"/>
      <c r="Z77" s="32">
        <f>IF(T77=0,0,X77/T77)</f>
        <v>0.34339883476050864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4">
        <f>SUM(D77:D79)</f>
        <v>-343.50000000001637</v>
      </c>
      <c r="E80" s="14"/>
      <c r="F80" s="30">
        <f>IF(D$12=0,0,D80/D$12)</f>
        <v>-8.8864812173164113E-3</v>
      </c>
      <c r="G80" s="14"/>
      <c r="H80" s="34">
        <f>SUM(H77:H79)</f>
        <v>-18367.289999999994</v>
      </c>
      <c r="I80" s="14"/>
      <c r="J80" s="30">
        <f>IF(H$12=0,0,H80/H$12)</f>
        <v>-0.49967313780363276</v>
      </c>
      <c r="K80" s="15"/>
      <c r="L80" s="34">
        <f>+D80-H80</f>
        <v>18023.789999999979</v>
      </c>
      <c r="M80" s="15"/>
      <c r="N80" s="30">
        <f>IF(H80=0,0,L80/H80)</f>
        <v>-0.98129827535798619</v>
      </c>
      <c r="O80" s="28"/>
      <c r="P80" s="34">
        <f>SUM(P77:P79)</f>
        <v>77702.820000000022</v>
      </c>
      <c r="Q80" s="14"/>
      <c r="R80" s="30">
        <f>IF(P$12=0,0,P80/P$12)</f>
        <v>0.29517175789713451</v>
      </c>
      <c r="S80" s="14"/>
      <c r="T80" s="34">
        <f>SUM(T77:T79)</f>
        <v>57840.469999999899</v>
      </c>
      <c r="U80" s="14"/>
      <c r="V80" s="30">
        <f>IF(T$12=0,0,T80/T$12)</f>
        <v>0.2142767544063075</v>
      </c>
      <c r="W80" s="15"/>
      <c r="X80" s="34">
        <f>+P80-T80</f>
        <v>19862.350000000122</v>
      </c>
      <c r="Y80" s="15"/>
      <c r="Z80" s="30">
        <f>IF(T80=0,0,X80/T80)</f>
        <v>0.34339883476050864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9">
        <v>43815.4918209838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62" t="s">
        <v>313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61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","320", " - ", "Customer Service (old)")</f>
        <v>Department 320 - Customer Service (old)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2410.4300000000003</v>
      </c>
      <c r="E12" s="4"/>
      <c r="F12" s="12"/>
      <c r="G12" s="4"/>
      <c r="H12" s="4">
        <f>SUM(OSRRefH13x_0)</f>
        <v>2360.2000000000003</v>
      </c>
      <c r="I12" s="4"/>
      <c r="J12" s="12"/>
      <c r="K12" s="4"/>
      <c r="L12" s="4">
        <f t="shared" ref="L12:L16" si="0">+D12-H12</f>
        <v>50.230000000000018</v>
      </c>
      <c r="M12" s="4"/>
      <c r="N12" s="12">
        <f t="shared" ref="N12:N16" si="1">IF(H12=0,0,L12/H12)</f>
        <v>2.1282094737734094E-2</v>
      </c>
      <c r="O12" s="10"/>
      <c r="P12" s="4">
        <f>SUM(OSRRefP13x_0)</f>
        <v>7310.24</v>
      </c>
      <c r="Q12" s="4"/>
      <c r="R12" s="12"/>
      <c r="S12" s="4"/>
      <c r="T12" s="4">
        <f>SUM(OSRRefT13x_0)</f>
        <v>7237.26</v>
      </c>
      <c r="U12" s="4"/>
      <c r="V12" s="12"/>
      <c r="W12" s="4"/>
      <c r="X12" s="4">
        <f t="shared" ref="X12:X16" si="2">+P12-T12</f>
        <v>72.979999999999563</v>
      </c>
      <c r="Y12" s="4"/>
      <c r="Z12" s="12">
        <f t="shared" ref="Z12:Z16" si="3">IF(T12=0,0,X12/T12)</f>
        <v>1.0083926789972939E-2</v>
      </c>
    </row>
    <row r="13" spans="1:26" s="24" customFormat="1" hidden="1" outlineLevel="1" x14ac:dyDescent="0.25">
      <c r="A13" s="44"/>
      <c r="B13" s="11" t="str">
        <f>CONCATENATE("          ", "4092", " - ", "TAXABLE SALES-GRAD MERCH")</f>
        <v xml:space="preserve">          4092 - TAXABLE SALES-GRAD MERCH</v>
      </c>
      <c r="C13" s="11"/>
      <c r="D13" s="2">
        <f>--2389.54</f>
        <v>2389.54</v>
      </c>
      <c r="E13" s="2"/>
      <c r="F13" s="19"/>
      <c r="G13" s="2"/>
      <c r="H13" s="2">
        <f>--2259.21</f>
        <v>2259.21</v>
      </c>
      <c r="I13" s="2"/>
      <c r="J13" s="19"/>
      <c r="K13" s="2"/>
      <c r="L13" s="2">
        <f t="shared" si="0"/>
        <v>130.32999999999993</v>
      </c>
      <c r="M13" s="2"/>
      <c r="N13" s="19">
        <f t="shared" si="1"/>
        <v>5.768830697456187E-2</v>
      </c>
      <c r="O13" s="11"/>
      <c r="P13" s="2">
        <f>--7480.57</f>
        <v>7480.57</v>
      </c>
      <c r="Q13" s="2"/>
      <c r="R13" s="19"/>
      <c r="S13" s="2"/>
      <c r="T13" s="2">
        <f>--6626.46</f>
        <v>6626.46</v>
      </c>
      <c r="U13" s="2"/>
      <c r="V13" s="19"/>
      <c r="W13" s="2"/>
      <c r="X13" s="2">
        <f t="shared" si="2"/>
        <v>854.10999999999967</v>
      </c>
      <c r="Y13" s="2"/>
      <c r="Z13" s="19">
        <f t="shared" si="3"/>
        <v>0.1288938588628015</v>
      </c>
    </row>
    <row r="14" spans="1:26" s="24" customFormat="1" hidden="1" outlineLevel="1" x14ac:dyDescent="0.25">
      <c r="A14" s="44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>--30.84</f>
        <v>30.84</v>
      </c>
      <c r="E14" s="2"/>
      <c r="F14" s="19"/>
      <c r="G14" s="2"/>
      <c r="H14" s="2">
        <f>--138.7</f>
        <v>138.69999999999999</v>
      </c>
      <c r="I14" s="2"/>
      <c r="J14" s="19"/>
      <c r="K14" s="2"/>
      <c r="L14" s="2">
        <f t="shared" si="0"/>
        <v>-107.85999999999999</v>
      </c>
      <c r="M14" s="2"/>
      <c r="N14" s="19">
        <f t="shared" si="1"/>
        <v>-0.77764960346070655</v>
      </c>
      <c r="O14" s="11"/>
      <c r="P14" s="2">
        <f>--248.72</f>
        <v>248.72</v>
      </c>
      <c r="Q14" s="2"/>
      <c r="R14" s="19"/>
      <c r="S14" s="2"/>
      <c r="T14" s="2">
        <f>--1225.76</f>
        <v>1225.76</v>
      </c>
      <c r="U14" s="2"/>
      <c r="V14" s="19"/>
      <c r="W14" s="2"/>
      <c r="X14" s="2">
        <f t="shared" si="2"/>
        <v>-977.04</v>
      </c>
      <c r="Y14" s="2"/>
      <c r="Z14" s="19">
        <f t="shared" si="3"/>
        <v>-0.79708915285210802</v>
      </c>
    </row>
    <row r="15" spans="1:26" s="24" customFormat="1" hidden="1" outlineLevel="1" x14ac:dyDescent="0.25">
      <c r="A15" s="44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>-9.95</f>
        <v>-9.9499999999999993</v>
      </c>
      <c r="E15" s="2"/>
      <c r="F15" s="19"/>
      <c r="G15" s="2"/>
      <c r="H15" s="2">
        <f>-9.99</f>
        <v>-9.99</v>
      </c>
      <c r="I15" s="2"/>
      <c r="J15" s="19"/>
      <c r="K15" s="2"/>
      <c r="L15" s="2">
        <f t="shared" si="0"/>
        <v>4.0000000000000924E-2</v>
      </c>
      <c r="M15" s="2"/>
      <c r="N15" s="19">
        <f t="shared" si="1"/>
        <v>-4.0040040040040968E-3</v>
      </c>
      <c r="O15" s="11"/>
      <c r="P15" s="2">
        <f>-419.05</f>
        <v>-419.05</v>
      </c>
      <c r="Q15" s="2"/>
      <c r="R15" s="19"/>
      <c r="S15" s="2"/>
      <c r="T15" s="2">
        <f>-488.24</f>
        <v>-488.24</v>
      </c>
      <c r="U15" s="2"/>
      <c r="V15" s="19"/>
      <c r="W15" s="2"/>
      <c r="X15" s="2">
        <f t="shared" si="2"/>
        <v>69.19</v>
      </c>
      <c r="Y15" s="2"/>
      <c r="Z15" s="19">
        <f t="shared" si="3"/>
        <v>-0.14171309192200557</v>
      </c>
    </row>
    <row r="16" spans="1:26" s="24" customFormat="1" hidden="1" outlineLevel="1" x14ac:dyDescent="0.25">
      <c r="A16" s="44"/>
      <c r="B16" s="11" t="str">
        <f>CONCATENATE("          ", "4295", " - ", "SALES RETURN TAXABLE-CUSTOMER")</f>
        <v xml:space="preserve">          4295 - SALES RETURN TAXABLE-CUSTOMER</v>
      </c>
      <c r="C16" s="11"/>
      <c r="D16" s="2">
        <f>0</f>
        <v>0</v>
      </c>
      <c r="E16" s="2"/>
      <c r="F16" s="19"/>
      <c r="G16" s="2"/>
      <c r="H16" s="2">
        <f>-27.72</f>
        <v>-27.72</v>
      </c>
      <c r="I16" s="2"/>
      <c r="J16" s="19"/>
      <c r="K16" s="2"/>
      <c r="L16" s="2">
        <f t="shared" si="0"/>
        <v>27.72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-126.72</f>
        <v>-126.72</v>
      </c>
      <c r="U16" s="2"/>
      <c r="V16" s="19"/>
      <c r="W16" s="2"/>
      <c r="X16" s="2">
        <f t="shared" si="2"/>
        <v>126.72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1226</v>
      </c>
      <c r="E18" s="4"/>
      <c r="F18" s="12">
        <f t="shared" ref="F18:F23" si="4">IF(D$12=0,0,D18/D$12)</f>
        <v>0.50862294279443909</v>
      </c>
      <c r="G18" s="4"/>
      <c r="H18" s="4">
        <f>SUM(OSRRefH16x_0)</f>
        <v>905</v>
      </c>
      <c r="I18" s="4"/>
      <c r="J18" s="12">
        <f t="shared" ref="J18:J23" si="5">IF(H$12=0,0,H18/H$12)</f>
        <v>0.38344208117956102</v>
      </c>
      <c r="K18" s="4"/>
      <c r="L18" s="4">
        <f t="shared" ref="L18:L23" si="6">+D18-H18</f>
        <v>321</v>
      </c>
      <c r="M18" s="4"/>
      <c r="N18" s="12">
        <f t="shared" ref="N18:N23" si="7">IF(H18=0,0,L18/H18)</f>
        <v>0.35469613259668509</v>
      </c>
      <c r="O18" s="10"/>
      <c r="P18" s="4">
        <f>SUM(OSRRefP16x_0)</f>
        <v>3688.1200000000003</v>
      </c>
      <c r="Q18" s="4"/>
      <c r="R18" s="12">
        <f t="shared" ref="R18:R23" si="8">IF(P$12=0,0,P18/P$12)</f>
        <v>0.50451421567554555</v>
      </c>
      <c r="S18" s="4"/>
      <c r="T18" s="4">
        <f>SUM(OSRRefT16x_0)</f>
        <v>2510.5400000000004</v>
      </c>
      <c r="U18" s="4"/>
      <c r="V18" s="12">
        <f t="shared" ref="V18:V23" si="9">IF(T$12=0,0,T18/T$12)</f>
        <v>0.34689095044257084</v>
      </c>
      <c r="W18" s="4"/>
      <c r="X18" s="4">
        <f t="shared" ref="X18:X23" si="10">+P18-T18</f>
        <v>1177.58</v>
      </c>
      <c r="Y18" s="4"/>
      <c r="Z18" s="12">
        <f t="shared" ref="Z18:Z23" si="11">IF(T18=0,0,X18/T18)</f>
        <v>0.46905446636978487</v>
      </c>
    </row>
    <row r="19" spans="1:26" s="24" customFormat="1" hidden="1" outlineLevel="1" x14ac:dyDescent="0.25">
      <c r="A19" s="44"/>
      <c r="B19" s="11" t="str">
        <f>CONCATENATE("          ", "5092", " - ", "PURCHASES @ COST-GRAD MERCH")</f>
        <v xml:space="preserve">          5092 - PURCHASES @ COST-GRAD MERCH</v>
      </c>
      <c r="C19" s="11"/>
      <c r="D19" s="2">
        <v>628</v>
      </c>
      <c r="E19" s="2"/>
      <c r="F19" s="19">
        <f t="shared" si="4"/>
        <v>0.26053442746729832</v>
      </c>
      <c r="G19" s="2"/>
      <c r="H19" s="2"/>
      <c r="I19" s="2"/>
      <c r="J19" s="19">
        <f t="shared" si="5"/>
        <v>0</v>
      </c>
      <c r="K19" s="2"/>
      <c r="L19" s="2">
        <f t="shared" si="6"/>
        <v>628</v>
      </c>
      <c r="M19" s="2"/>
      <c r="N19" s="19">
        <f t="shared" si="7"/>
        <v>0</v>
      </c>
      <c r="O19" s="11"/>
      <c r="P19" s="2">
        <v>1984.49</v>
      </c>
      <c r="Q19" s="2"/>
      <c r="R19" s="19">
        <f t="shared" si="8"/>
        <v>0.2714671474534352</v>
      </c>
      <c r="S19" s="2"/>
      <c r="T19" s="2">
        <v>-2698.04</v>
      </c>
      <c r="U19" s="2"/>
      <c r="V19" s="19">
        <f t="shared" si="9"/>
        <v>-0.37279854530582013</v>
      </c>
      <c r="W19" s="2"/>
      <c r="X19" s="2">
        <f t="shared" si="10"/>
        <v>4682.53</v>
      </c>
      <c r="Y19" s="2"/>
      <c r="Z19" s="19">
        <f t="shared" si="11"/>
        <v>-1.735530236764466</v>
      </c>
    </row>
    <row r="20" spans="1:26" s="24" customFormat="1" hidden="1" outlineLevel="1" x14ac:dyDescent="0.25">
      <c r="A20" s="44"/>
      <c r="B20" s="11" t="str">
        <f>CONCATENATE("          ", "5095", " - ", "PURCHASES @ COST-CUSTOMER SERV")</f>
        <v xml:space="preserve">          5095 - PURCHASES @ COST-CUSTOMER SERV</v>
      </c>
      <c r="C20" s="11"/>
      <c r="D20" s="2"/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11.85</v>
      </c>
      <c r="Q20" s="2"/>
      <c r="R20" s="19">
        <f t="shared" si="8"/>
        <v>1.6210138107640788E-3</v>
      </c>
      <c r="S20" s="2"/>
      <c r="T20" s="2">
        <v>-54.72</v>
      </c>
      <c r="U20" s="2"/>
      <c r="V20" s="19">
        <f t="shared" si="9"/>
        <v>-7.5608724848906907E-3</v>
      </c>
      <c r="W20" s="2"/>
      <c r="X20" s="2">
        <f t="shared" si="10"/>
        <v>66.569999999999993</v>
      </c>
      <c r="Y20" s="2"/>
      <c r="Z20" s="19">
        <f t="shared" si="11"/>
        <v>-1.2165570175438596</v>
      </c>
    </row>
    <row r="21" spans="1:26" s="24" customFormat="1" hidden="1" outlineLevel="1" x14ac:dyDescent="0.25">
      <c r="A21" s="44"/>
      <c r="B21" s="11" t="str">
        <f>CONCATENATE("          ", "5200", " - ", "PURCHASES OFFSET")</f>
        <v xml:space="preserve">          5200 - PURCHASES OFFSET</v>
      </c>
      <c r="C21" s="11"/>
      <c r="D21" s="2">
        <v>-663</v>
      </c>
      <c r="E21" s="2"/>
      <c r="F21" s="19">
        <f t="shared" si="4"/>
        <v>-0.27505465829748216</v>
      </c>
      <c r="G21" s="2"/>
      <c r="H21" s="2"/>
      <c r="I21" s="2"/>
      <c r="J21" s="19">
        <f t="shared" si="5"/>
        <v>0</v>
      </c>
      <c r="K21" s="2"/>
      <c r="L21" s="2">
        <f t="shared" si="6"/>
        <v>-663</v>
      </c>
      <c r="M21" s="2"/>
      <c r="N21" s="19">
        <f t="shared" si="7"/>
        <v>0</v>
      </c>
      <c r="O21" s="11"/>
      <c r="P21" s="2">
        <v>-2103</v>
      </c>
      <c r="Q21" s="2"/>
      <c r="R21" s="19">
        <f t="shared" si="8"/>
        <v>-0.28767865350522009</v>
      </c>
      <c r="S21" s="2"/>
      <c r="T21" s="2">
        <v>2640</v>
      </c>
      <c r="U21" s="2"/>
      <c r="V21" s="19">
        <f t="shared" si="9"/>
        <v>0.36477893567455083</v>
      </c>
      <c r="W21" s="2"/>
      <c r="X21" s="2">
        <f t="shared" si="10"/>
        <v>-4743</v>
      </c>
      <c r="Y21" s="2"/>
      <c r="Z21" s="19">
        <f t="shared" si="11"/>
        <v>-1.7965909090909091</v>
      </c>
    </row>
    <row r="22" spans="1:26" s="24" customFormat="1" hidden="1" outlineLevel="1" x14ac:dyDescent="0.25">
      <c r="A22" s="44"/>
      <c r="B22" s="11" t="str">
        <f>CONCATENATE("          ", "5300", " - ", "COG$ OFFSET")</f>
        <v xml:space="preserve">          5300 - COG$ OFFSET</v>
      </c>
      <c r="C22" s="11"/>
      <c r="D22" s="2">
        <v>1226</v>
      </c>
      <c r="E22" s="2"/>
      <c r="F22" s="19">
        <f t="shared" si="4"/>
        <v>0.50862294279443909</v>
      </c>
      <c r="G22" s="2"/>
      <c r="H22" s="2">
        <v>905</v>
      </c>
      <c r="I22" s="2"/>
      <c r="J22" s="19">
        <f t="shared" si="5"/>
        <v>0.38344208117956102</v>
      </c>
      <c r="K22" s="2"/>
      <c r="L22" s="2">
        <f t="shared" si="6"/>
        <v>321</v>
      </c>
      <c r="M22" s="2"/>
      <c r="N22" s="19">
        <f t="shared" si="7"/>
        <v>0.35469613259668509</v>
      </c>
      <c r="O22" s="11"/>
      <c r="P22" s="2">
        <v>3689</v>
      </c>
      <c r="Q22" s="2"/>
      <c r="R22" s="19">
        <f t="shared" si="8"/>
        <v>0.50463459476022676</v>
      </c>
      <c r="S22" s="2"/>
      <c r="T22" s="2">
        <v>2509</v>
      </c>
      <c r="U22" s="2"/>
      <c r="V22" s="19">
        <f t="shared" si="9"/>
        <v>0.346678162730094</v>
      </c>
      <c r="W22" s="2"/>
      <c r="X22" s="2">
        <f t="shared" si="10"/>
        <v>1180</v>
      </c>
      <c r="Y22" s="2"/>
      <c r="Z22" s="19">
        <f t="shared" si="11"/>
        <v>0.47030689517736152</v>
      </c>
    </row>
    <row r="23" spans="1:26" s="24" customFormat="1" hidden="1" outlineLevel="1" x14ac:dyDescent="0.25">
      <c r="A23" s="44"/>
      <c r="B23" s="11" t="str">
        <f>CONCATENATE("          ", "5592", " - ", "FREIGHT-IN-GRAD MERCH")</f>
        <v xml:space="preserve">          5592 - FREIGHT-IN-GRAD MERCH</v>
      </c>
      <c r="C23" s="11"/>
      <c r="D23" s="2">
        <v>35</v>
      </c>
      <c r="E23" s="2"/>
      <c r="F23" s="19">
        <f t="shared" si="4"/>
        <v>1.4520230830183825E-2</v>
      </c>
      <c r="G23" s="2"/>
      <c r="H23" s="2"/>
      <c r="I23" s="2"/>
      <c r="J23" s="19">
        <f t="shared" si="5"/>
        <v>0</v>
      </c>
      <c r="K23" s="2"/>
      <c r="L23" s="2">
        <f t="shared" si="6"/>
        <v>35</v>
      </c>
      <c r="M23" s="2"/>
      <c r="N23" s="19">
        <f t="shared" si="7"/>
        <v>0</v>
      </c>
      <c r="O23" s="11"/>
      <c r="P23" s="2">
        <v>105.78</v>
      </c>
      <c r="Q23" s="2"/>
      <c r="R23" s="19">
        <f t="shared" si="8"/>
        <v>1.4470113156339601E-2</v>
      </c>
      <c r="S23" s="2"/>
      <c r="T23" s="2">
        <v>114.3</v>
      </c>
      <c r="U23" s="2"/>
      <c r="V23" s="19">
        <f t="shared" si="9"/>
        <v>1.5793269828636804E-2</v>
      </c>
      <c r="W23" s="2"/>
      <c r="X23" s="2">
        <f t="shared" si="10"/>
        <v>-8.519999999999996</v>
      </c>
      <c r="Y23" s="2"/>
      <c r="Z23" s="19">
        <f t="shared" si="11"/>
        <v>-7.4540682414698134E-2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9" t="s">
        <v>6</v>
      </c>
      <c r="C25" s="29"/>
      <c r="D25" s="21">
        <f>D12-D18</f>
        <v>1184.4300000000003</v>
      </c>
      <c r="E25" s="14"/>
      <c r="F25" s="20">
        <f>IF(D$12=0,0,D25/D$12)</f>
        <v>0.49137705720556091</v>
      </c>
      <c r="G25" s="14"/>
      <c r="H25" s="21">
        <f>H12-H18</f>
        <v>1455.2000000000003</v>
      </c>
      <c r="I25" s="14"/>
      <c r="J25" s="20">
        <f>IF(H$12=0,0,H25/H$12)</f>
        <v>0.61655791882043898</v>
      </c>
      <c r="K25" s="15"/>
      <c r="L25" s="21">
        <f>+D25-H25</f>
        <v>-270.77</v>
      </c>
      <c r="M25" s="15"/>
      <c r="N25" s="20">
        <f>IF(H25=0,0,L25/H25)</f>
        <v>-0.18607064321055519</v>
      </c>
      <c r="O25" s="28"/>
      <c r="P25" s="21">
        <f>P12-P18</f>
        <v>3622.1199999999994</v>
      </c>
      <c r="Q25" s="14"/>
      <c r="R25" s="20">
        <f>IF(P$12=0,0,P25/P$12)</f>
        <v>0.49548578432445439</v>
      </c>
      <c r="S25" s="14"/>
      <c r="T25" s="21">
        <f>T12-T18</f>
        <v>4726.7199999999993</v>
      </c>
      <c r="U25" s="14"/>
      <c r="V25" s="20">
        <f>IF(T$12=0,0,T25/T$12)</f>
        <v>0.6531090495574291</v>
      </c>
      <c r="W25" s="15"/>
      <c r="X25" s="21">
        <f>+P25-T25</f>
        <v>-1104.5999999999999</v>
      </c>
      <c r="Y25" s="15"/>
      <c r="Z25" s="20">
        <f>IF(T25=0,0,X25/T25)</f>
        <v>-0.23369270868593867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9</v>
      </c>
      <c r="C27" s="10"/>
      <c r="D27" s="22">
        <f>SUM(OSRRefD22x_0)</f>
        <v>3307.1600000000003</v>
      </c>
      <c r="E27" s="22"/>
      <c r="F27" s="33">
        <f t="shared" ref="F27:F35" si="12">IF(D$12=0,0,D27/D$12)</f>
        <v>1.3720207597814498</v>
      </c>
      <c r="G27" s="22"/>
      <c r="H27" s="22">
        <f>SUM(OSRRefH22x_0)</f>
        <v>4926.119999999999</v>
      </c>
      <c r="I27" s="22"/>
      <c r="J27" s="33">
        <f t="shared" ref="J27:J35" si="13">IF(H$12=0,0,H27/H$12)</f>
        <v>2.0871621049063633</v>
      </c>
      <c r="K27" s="4"/>
      <c r="L27" s="22">
        <f t="shared" ref="L27:L35" si="14">+D27-H27</f>
        <v>-1618.9599999999987</v>
      </c>
      <c r="M27" s="4"/>
      <c r="N27" s="33">
        <f t="shared" ref="N27:N35" si="15">IF(H27=0,0,L27/H27)</f>
        <v>-0.32864810439047343</v>
      </c>
      <c r="O27" s="10"/>
      <c r="P27" s="22">
        <f>SUM(OSRRefP22x_0)</f>
        <v>3005.6099999999974</v>
      </c>
      <c r="Q27" s="22"/>
      <c r="R27" s="33">
        <f t="shared" ref="R27:R35" si="16">IF(P$12=0,0,P27/P$12)</f>
        <v>0.41115065989625477</v>
      </c>
      <c r="S27" s="22"/>
      <c r="T27" s="22">
        <f>SUM(OSRRefT22x_0)</f>
        <v>12138.45</v>
      </c>
      <c r="U27" s="22"/>
      <c r="V27" s="33">
        <f t="shared" ref="V27:V35" si="17">IF(T$12=0,0,T27/T$12)</f>
        <v>1.6772162392949819</v>
      </c>
      <c r="W27" s="4"/>
      <c r="X27" s="22">
        <f t="shared" ref="X27:X35" si="18">+P27-T27</f>
        <v>-9132.8400000000038</v>
      </c>
      <c r="Y27" s="4"/>
      <c r="Z27" s="33">
        <f t="shared" ref="Z27:Z35" si="19">IF(T27=0,0,X27/T27)</f>
        <v>-0.75238930835485607</v>
      </c>
    </row>
    <row r="28" spans="1:26" s="25" customFormat="1" outlineLevel="1" collapsed="1" x14ac:dyDescent="0.25">
      <c r="A28" s="27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0</v>
      </c>
      <c r="E28" s="1"/>
      <c r="F28" s="5">
        <f t="shared" si="12"/>
        <v>0</v>
      </c>
      <c r="G28" s="1"/>
      <c r="H28" s="1">
        <f>SUM(OSRRefH22_0x_0)</f>
        <v>389.03999999999996</v>
      </c>
      <c r="I28" s="1"/>
      <c r="J28" s="5">
        <f t="shared" si="13"/>
        <v>0.16483348868739933</v>
      </c>
      <c r="K28" s="1"/>
      <c r="L28" s="1">
        <f t="shared" si="14"/>
        <v>-389.03999999999996</v>
      </c>
      <c r="M28" s="1"/>
      <c r="N28" s="5">
        <f t="shared" si="15"/>
        <v>-1</v>
      </c>
      <c r="O28" s="13"/>
      <c r="P28" s="1">
        <f>SUM(OSRRefP22_0x_0)</f>
        <v>821.29</v>
      </c>
      <c r="Q28" s="1"/>
      <c r="R28" s="5">
        <f t="shared" si="16"/>
        <v>0.11234788461117555</v>
      </c>
      <c r="S28" s="1"/>
      <c r="T28" s="1">
        <f>SUM(OSRRefT22_0x_0)</f>
        <v>431.68</v>
      </c>
      <c r="U28" s="1"/>
      <c r="V28" s="5">
        <f t="shared" si="17"/>
        <v>5.9646882936359891E-2</v>
      </c>
      <c r="W28" s="1"/>
      <c r="X28" s="1">
        <f t="shared" si="18"/>
        <v>389.60999999999996</v>
      </c>
      <c r="Y28" s="1"/>
      <c r="Z28" s="5">
        <f t="shared" si="19"/>
        <v>0.90254355077835424</v>
      </c>
    </row>
    <row r="29" spans="1:26" s="24" customFormat="1" hidden="1" outlineLevel="2" x14ac:dyDescent="0.25">
      <c r="A29" s="26"/>
      <c r="B29" s="11" t="str">
        <f>CONCATENATE("          ", "6111", " - ", "F.I.C.A.")</f>
        <v xml:space="preserve">          6111 - F.I.C.A.</v>
      </c>
      <c r="C29" s="11"/>
      <c r="D29" s="6"/>
      <c r="E29" s="2"/>
      <c r="F29" s="7">
        <f t="shared" si="12"/>
        <v>0</v>
      </c>
      <c r="G29" s="2"/>
      <c r="H29" s="6">
        <v>70</v>
      </c>
      <c r="I29" s="2"/>
      <c r="J29" s="7">
        <f t="shared" si="13"/>
        <v>2.9658503516651127E-2</v>
      </c>
      <c r="K29" s="2"/>
      <c r="L29" s="6">
        <f t="shared" si="14"/>
        <v>-70</v>
      </c>
      <c r="M29" s="2"/>
      <c r="N29" s="7">
        <f t="shared" si="15"/>
        <v>-1</v>
      </c>
      <c r="O29" s="11"/>
      <c r="P29" s="6">
        <v>155.66</v>
      </c>
      <c r="Q29" s="2"/>
      <c r="R29" s="7">
        <f t="shared" si="16"/>
        <v>2.1293418547133885E-2</v>
      </c>
      <c r="S29" s="2"/>
      <c r="T29" s="6">
        <v>112.64</v>
      </c>
      <c r="U29" s="2"/>
      <c r="V29" s="7">
        <f t="shared" si="17"/>
        <v>1.5563901255447503E-2</v>
      </c>
      <c r="W29" s="2"/>
      <c r="X29" s="6">
        <f t="shared" si="18"/>
        <v>43.019999999999996</v>
      </c>
      <c r="Y29" s="2"/>
      <c r="Z29" s="7">
        <f t="shared" si="19"/>
        <v>0.38192471590909088</v>
      </c>
    </row>
    <row r="30" spans="1:26" s="24" customFormat="1" hidden="1" outlineLevel="2" x14ac:dyDescent="0.25">
      <c r="A30" s="26"/>
      <c r="B30" s="11" t="str">
        <f>CONCATENATE("          ", "6112", " - ", "COMPENSATION INSURANCE")</f>
        <v xml:space="preserve">          6112 - COMPENSATION INSURANCE</v>
      </c>
      <c r="C30" s="11"/>
      <c r="D30" s="6"/>
      <c r="E30" s="2"/>
      <c r="F30" s="7">
        <f t="shared" si="12"/>
        <v>0</v>
      </c>
      <c r="G30" s="2"/>
      <c r="H30" s="6">
        <v>10.94</v>
      </c>
      <c r="I30" s="2"/>
      <c r="J30" s="7">
        <f t="shared" si="13"/>
        <v>4.6352004067451904E-3</v>
      </c>
      <c r="K30" s="2"/>
      <c r="L30" s="6">
        <f t="shared" si="14"/>
        <v>-10.94</v>
      </c>
      <c r="M30" s="2"/>
      <c r="N30" s="7">
        <f t="shared" si="15"/>
        <v>-1</v>
      </c>
      <c r="O30" s="11"/>
      <c r="P30" s="6">
        <v>22.05</v>
      </c>
      <c r="Q30" s="2"/>
      <c r="R30" s="7">
        <f t="shared" si="16"/>
        <v>3.016316837750881E-3</v>
      </c>
      <c r="S30" s="2"/>
      <c r="T30" s="6">
        <v>10.94</v>
      </c>
      <c r="U30" s="2"/>
      <c r="V30" s="7">
        <f t="shared" si="17"/>
        <v>1.5116218016210554E-3</v>
      </c>
      <c r="W30" s="2"/>
      <c r="X30" s="6">
        <f t="shared" si="18"/>
        <v>11.110000000000001</v>
      </c>
      <c r="Y30" s="2"/>
      <c r="Z30" s="7">
        <f t="shared" si="19"/>
        <v>1.0155393053016455</v>
      </c>
    </row>
    <row r="31" spans="1:26" s="24" customFormat="1" hidden="1" outlineLevel="2" x14ac:dyDescent="0.25">
      <c r="A31" s="26"/>
      <c r="B31" s="11" t="str">
        <f>CONCATENATE("          ", "6113", " - ", "GROUP INSURANCE")</f>
        <v xml:space="preserve">          6113 - GROUP INSURANCE</v>
      </c>
      <c r="C31" s="11"/>
      <c r="D31" s="6"/>
      <c r="E31" s="2"/>
      <c r="F31" s="7">
        <f t="shared" si="12"/>
        <v>0</v>
      </c>
      <c r="G31" s="2"/>
      <c r="H31" s="6">
        <v>165.66</v>
      </c>
      <c r="I31" s="2"/>
      <c r="J31" s="7">
        <f t="shared" si="13"/>
        <v>7.0188967036691793E-2</v>
      </c>
      <c r="K31" s="2"/>
      <c r="L31" s="6">
        <f t="shared" si="14"/>
        <v>-165.66</v>
      </c>
      <c r="M31" s="2"/>
      <c r="N31" s="7">
        <f t="shared" si="15"/>
        <v>-1</v>
      </c>
      <c r="O31" s="11"/>
      <c r="P31" s="6">
        <v>305.26</v>
      </c>
      <c r="Q31" s="2"/>
      <c r="R31" s="7">
        <f t="shared" si="16"/>
        <v>4.1757862942940316E-2</v>
      </c>
      <c r="S31" s="2"/>
      <c r="T31" s="6">
        <v>165.66</v>
      </c>
      <c r="U31" s="2"/>
      <c r="V31" s="7">
        <f t="shared" si="17"/>
        <v>2.2889878213578067E-2</v>
      </c>
      <c r="W31" s="2"/>
      <c r="X31" s="6">
        <f t="shared" si="18"/>
        <v>139.6</v>
      </c>
      <c r="Y31" s="2"/>
      <c r="Z31" s="7">
        <f t="shared" si="19"/>
        <v>0.84268984667391045</v>
      </c>
    </row>
    <row r="32" spans="1:26" s="24" customFormat="1" hidden="1" outlineLevel="2" x14ac:dyDescent="0.25">
      <c r="A32" s="26"/>
      <c r="B32" s="11" t="str">
        <f>CONCATENATE("          ", "6114", " - ", "STATE UNEMPLOYMENT INSURANCE")</f>
        <v xml:space="preserve">          6114 - STATE UNEMPLOYMENT INSURANCE</v>
      </c>
      <c r="C32" s="11"/>
      <c r="D32" s="6"/>
      <c r="E32" s="2"/>
      <c r="F32" s="7">
        <f t="shared" si="12"/>
        <v>0</v>
      </c>
      <c r="G32" s="2"/>
      <c r="H32" s="6">
        <v>2.39</v>
      </c>
      <c r="I32" s="2"/>
      <c r="J32" s="7">
        <f t="shared" si="13"/>
        <v>1.0126260486399458E-3</v>
      </c>
      <c r="K32" s="2"/>
      <c r="L32" s="6">
        <f t="shared" si="14"/>
        <v>-2.39</v>
      </c>
      <c r="M32" s="2"/>
      <c r="N32" s="7">
        <f t="shared" si="15"/>
        <v>-1</v>
      </c>
      <c r="O32" s="11"/>
      <c r="P32" s="6">
        <v>5</v>
      </c>
      <c r="Q32" s="2"/>
      <c r="R32" s="7">
        <f t="shared" si="16"/>
        <v>6.8397207205235402E-4</v>
      </c>
      <c r="S32" s="2"/>
      <c r="T32" s="6">
        <v>2.39</v>
      </c>
      <c r="U32" s="2"/>
      <c r="V32" s="7">
        <f t="shared" si="17"/>
        <v>3.3023547585688505E-4</v>
      </c>
      <c r="W32" s="2"/>
      <c r="X32" s="6">
        <f t="shared" si="18"/>
        <v>2.61</v>
      </c>
      <c r="Y32" s="2"/>
      <c r="Z32" s="7">
        <f t="shared" si="19"/>
        <v>1.0920502092050208</v>
      </c>
    </row>
    <row r="33" spans="1:26" s="24" customFormat="1" hidden="1" outlineLevel="2" x14ac:dyDescent="0.25">
      <c r="A33" s="26"/>
      <c r="B33" s="11" t="str">
        <f>CONCATENATE("          ", "6115", " - ", "P.E.R.S.")</f>
        <v xml:space="preserve">          6115 - P.E.R.S.</v>
      </c>
      <c r="C33" s="11"/>
      <c r="D33" s="6"/>
      <c r="E33" s="2"/>
      <c r="F33" s="7">
        <f t="shared" si="12"/>
        <v>0</v>
      </c>
      <c r="G33" s="2"/>
      <c r="H33" s="6">
        <v>62.61</v>
      </c>
      <c r="I33" s="2"/>
      <c r="J33" s="7">
        <f t="shared" si="13"/>
        <v>2.6527412931107532E-2</v>
      </c>
      <c r="K33" s="2"/>
      <c r="L33" s="6">
        <f t="shared" si="14"/>
        <v>-62.61</v>
      </c>
      <c r="M33" s="2"/>
      <c r="N33" s="7">
        <f t="shared" si="15"/>
        <v>-1</v>
      </c>
      <c r="O33" s="11"/>
      <c r="P33" s="6">
        <v>134.12</v>
      </c>
      <c r="Q33" s="2"/>
      <c r="R33" s="7">
        <f t="shared" si="16"/>
        <v>1.8346866860732343E-2</v>
      </c>
      <c r="S33" s="2"/>
      <c r="T33" s="6">
        <v>62.61</v>
      </c>
      <c r="U33" s="2"/>
      <c r="V33" s="7">
        <f t="shared" si="17"/>
        <v>8.6510640767362233E-3</v>
      </c>
      <c r="W33" s="2"/>
      <c r="X33" s="6">
        <f t="shared" si="18"/>
        <v>71.510000000000005</v>
      </c>
      <c r="Y33" s="2"/>
      <c r="Z33" s="7">
        <f t="shared" si="19"/>
        <v>1.1421498163232711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6"/>
      <c r="E34" s="2"/>
      <c r="F34" s="7">
        <f t="shared" si="12"/>
        <v>0</v>
      </c>
      <c r="G34" s="2"/>
      <c r="H34" s="6">
        <v>35.229999999999997</v>
      </c>
      <c r="I34" s="2"/>
      <c r="J34" s="7">
        <f t="shared" si="13"/>
        <v>1.492670112702313E-2</v>
      </c>
      <c r="K34" s="2"/>
      <c r="L34" s="6">
        <f t="shared" si="14"/>
        <v>-35.229999999999997</v>
      </c>
      <c r="M34" s="2"/>
      <c r="N34" s="7">
        <f t="shared" si="15"/>
        <v>-1</v>
      </c>
      <c r="O34" s="11"/>
      <c r="P34" s="6">
        <v>110.64</v>
      </c>
      <c r="Q34" s="2"/>
      <c r="R34" s="7">
        <f t="shared" si="16"/>
        <v>1.5134934010374489E-2</v>
      </c>
      <c r="S34" s="2"/>
      <c r="T34" s="6">
        <v>35.229999999999997</v>
      </c>
      <c r="U34" s="2"/>
      <c r="V34" s="7">
        <f t="shared" si="17"/>
        <v>4.867864357505464E-3</v>
      </c>
      <c r="W34" s="2"/>
      <c r="X34" s="6">
        <f t="shared" si="18"/>
        <v>75.41</v>
      </c>
      <c r="Y34" s="2"/>
      <c r="Z34" s="7">
        <f t="shared" si="19"/>
        <v>2.1405052512063585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6"/>
      <c r="E35" s="2"/>
      <c r="F35" s="7">
        <f t="shared" si="12"/>
        <v>0</v>
      </c>
      <c r="G35" s="2"/>
      <c r="H35" s="6">
        <v>42.21</v>
      </c>
      <c r="I35" s="2"/>
      <c r="J35" s="7">
        <f t="shared" si="13"/>
        <v>1.7884077620540631E-2</v>
      </c>
      <c r="K35" s="2"/>
      <c r="L35" s="6">
        <f t="shared" si="14"/>
        <v>-42.21</v>
      </c>
      <c r="M35" s="2"/>
      <c r="N35" s="7">
        <f t="shared" si="15"/>
        <v>-1</v>
      </c>
      <c r="O35" s="11"/>
      <c r="P35" s="6">
        <v>88.56</v>
      </c>
      <c r="Q35" s="2"/>
      <c r="R35" s="7">
        <f t="shared" si="16"/>
        <v>1.2114513340191294E-2</v>
      </c>
      <c r="S35" s="2"/>
      <c r="T35" s="6">
        <v>42.21</v>
      </c>
      <c r="U35" s="2"/>
      <c r="V35" s="7">
        <f t="shared" si="17"/>
        <v>5.8323177556146941E-3</v>
      </c>
      <c r="W35" s="2"/>
      <c r="X35" s="6">
        <f t="shared" si="18"/>
        <v>46.35</v>
      </c>
      <c r="Y35" s="2"/>
      <c r="Z35" s="7">
        <f t="shared" si="19"/>
        <v>1.0980810234541578</v>
      </c>
    </row>
    <row r="36" spans="1:26" s="25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0</v>
      </c>
      <c r="E36" s="1"/>
      <c r="F36" s="5">
        <f t="shared" ref="F36:F39" si="20">IF(D$12=0,0,D36/D$12)</f>
        <v>0</v>
      </c>
      <c r="G36" s="1"/>
      <c r="H36" s="1">
        <f>SUM(OSRRefH22_1x_0)</f>
        <v>5084.66</v>
      </c>
      <c r="I36" s="1"/>
      <c r="J36" s="5">
        <f t="shared" ref="J36:J39" si="21">IF(H$12=0,0,H36/H$12)</f>
        <v>2.1543343784425044</v>
      </c>
      <c r="K36" s="1"/>
      <c r="L36" s="1">
        <f t="shared" ref="L36:L39" si="22">+D36-H36</f>
        <v>-5084.66</v>
      </c>
      <c r="M36" s="1"/>
      <c r="N36" s="5">
        <f t="shared" ref="N36:N39" si="23">IF(H36=0,0,L36/H36)</f>
        <v>-1</v>
      </c>
      <c r="O36" s="13"/>
      <c r="P36" s="1">
        <f>SUM(OSRRefP22_1x_0)</f>
        <v>1986.7399999999998</v>
      </c>
      <c r="Q36" s="1"/>
      <c r="R36" s="5">
        <f t="shared" ref="R36:R39" si="24">IF(P$12=0,0,P36/P$12)</f>
        <v>0.27177493488585874</v>
      </c>
      <c r="S36" s="1"/>
      <c r="T36" s="1">
        <f>SUM(OSRRefT22_1x_0)</f>
        <v>5642.1</v>
      </c>
      <c r="U36" s="1"/>
      <c r="V36" s="5">
        <f t="shared" ref="V36:V39" si="25">IF(T$12=0,0,T36/T$12)</f>
        <v>0.77959061854900891</v>
      </c>
      <c r="W36" s="1"/>
      <c r="X36" s="1">
        <f t="shared" ref="X36:X39" si="26">+P36-T36</f>
        <v>-3655.3600000000006</v>
      </c>
      <c r="Y36" s="1"/>
      <c r="Z36" s="5">
        <f t="shared" ref="Z36:Z39" si="27">IF(T36=0,0,X36/T36)</f>
        <v>-0.64787224614948336</v>
      </c>
    </row>
    <row r="37" spans="1:26" s="24" customFormat="1" hidden="1" outlineLevel="2" x14ac:dyDescent="0.25">
      <c r="A37" s="26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0"/>
        <v>0</v>
      </c>
      <c r="G37" s="2"/>
      <c r="H37" s="6">
        <v>5084.66</v>
      </c>
      <c r="I37" s="2"/>
      <c r="J37" s="7">
        <f t="shared" si="21"/>
        <v>2.1543343784425044</v>
      </c>
      <c r="K37" s="2"/>
      <c r="L37" s="6">
        <f t="shared" si="22"/>
        <v>-5084.66</v>
      </c>
      <c r="M37" s="2"/>
      <c r="N37" s="7">
        <f t="shared" si="23"/>
        <v>-1</v>
      </c>
      <c r="O37" s="11"/>
      <c r="P37" s="6">
        <v>1872</v>
      </c>
      <c r="Q37" s="2"/>
      <c r="R37" s="7">
        <f t="shared" si="24"/>
        <v>0.25607914377640134</v>
      </c>
      <c r="S37" s="2"/>
      <c r="T37" s="6">
        <v>5542.22</v>
      </c>
      <c r="U37" s="2"/>
      <c r="V37" s="7">
        <f t="shared" si="25"/>
        <v>0.76578981548265501</v>
      </c>
      <c r="W37" s="2"/>
      <c r="X37" s="6">
        <f t="shared" si="26"/>
        <v>-3670.2200000000003</v>
      </c>
      <c r="Y37" s="2"/>
      <c r="Z37" s="7">
        <f t="shared" si="27"/>
        <v>-0.66222921500770449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0"/>
        <v>0</v>
      </c>
      <c r="G38" s="2"/>
      <c r="H38" s="6"/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>
        <v>57.37</v>
      </c>
      <c r="Q38" s="2"/>
      <c r="R38" s="7">
        <f t="shared" si="24"/>
        <v>7.8478955547287097E-3</v>
      </c>
      <c r="S38" s="2"/>
      <c r="T38" s="6"/>
      <c r="U38" s="2"/>
      <c r="V38" s="7">
        <f t="shared" si="25"/>
        <v>0</v>
      </c>
      <c r="W38" s="2"/>
      <c r="X38" s="6">
        <f t="shared" si="26"/>
        <v>57.37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0"/>
        <v>0</v>
      </c>
      <c r="G39" s="2"/>
      <c r="H39" s="6"/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>
        <v>57.37</v>
      </c>
      <c r="Q39" s="2"/>
      <c r="R39" s="7">
        <f t="shared" si="24"/>
        <v>7.8478955547287097E-3</v>
      </c>
      <c r="S39" s="2"/>
      <c r="T39" s="6">
        <v>99.88</v>
      </c>
      <c r="U39" s="2"/>
      <c r="V39" s="7">
        <f t="shared" si="25"/>
        <v>1.3800803066353839E-2</v>
      </c>
      <c r="W39" s="2"/>
      <c r="X39" s="6">
        <f t="shared" si="26"/>
        <v>-42.51</v>
      </c>
      <c r="Y39" s="2"/>
      <c r="Z39" s="7">
        <f t="shared" si="27"/>
        <v>-0.42561073287945533</v>
      </c>
    </row>
    <row r="40" spans="1:26" s="25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46" si="28">IF(D$12=0,0,D40/D$12)</f>
        <v>0</v>
      </c>
      <c r="G40" s="1"/>
      <c r="H40" s="1">
        <f>SUM(OSRRefH22_2x_0)</f>
        <v>0</v>
      </c>
      <c r="I40" s="1"/>
      <c r="J40" s="5">
        <f t="shared" ref="J40:J46" si="29">IF(H$12=0,0,H40/H$12)</f>
        <v>0</v>
      </c>
      <c r="K40" s="1"/>
      <c r="L40" s="1">
        <f t="shared" ref="L40:L46" si="30">+D40-H40</f>
        <v>0</v>
      </c>
      <c r="M40" s="1"/>
      <c r="N40" s="5">
        <f t="shared" ref="N40:N46" si="31">IF(H40=0,0,L40/H40)</f>
        <v>0</v>
      </c>
      <c r="O40" s="13"/>
      <c r="P40" s="1">
        <f>SUM(OSRRefP22_2x_0)</f>
        <v>-857.46</v>
      </c>
      <c r="Q40" s="1"/>
      <c r="R40" s="5">
        <f t="shared" ref="R40:R46" si="32">IF(P$12=0,0,P40/P$12)</f>
        <v>-0.11729573858040229</v>
      </c>
      <c r="S40" s="1"/>
      <c r="T40" s="1">
        <f>SUM(OSRRefT22_2x_0)</f>
        <v>0</v>
      </c>
      <c r="U40" s="1"/>
      <c r="V40" s="5">
        <f t="shared" ref="V40:V46" si="33">IF(T$12=0,0,T40/T$12)</f>
        <v>0</v>
      </c>
      <c r="W40" s="1"/>
      <c r="X40" s="1">
        <f t="shared" ref="X40:X46" si="34">+P40-T40</f>
        <v>-857.46</v>
      </c>
      <c r="Y40" s="1"/>
      <c r="Z40" s="5">
        <f t="shared" ref="Z40:Z46" si="35">IF(T40=0,0,X40/T40)</f>
        <v>0</v>
      </c>
    </row>
    <row r="41" spans="1:26" s="24" customFormat="1" hidden="1" outlineLevel="2" x14ac:dyDescent="0.25">
      <c r="A41" s="26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28"/>
        <v>0</v>
      </c>
      <c r="G41" s="2"/>
      <c r="H41" s="6"/>
      <c r="I41" s="2"/>
      <c r="J41" s="7">
        <f t="shared" si="29"/>
        <v>0</v>
      </c>
      <c r="K41" s="2"/>
      <c r="L41" s="6">
        <f t="shared" si="30"/>
        <v>0</v>
      </c>
      <c r="M41" s="2"/>
      <c r="N41" s="7">
        <f t="shared" si="31"/>
        <v>0</v>
      </c>
      <c r="O41" s="11"/>
      <c r="P41" s="6">
        <v>-857.46</v>
      </c>
      <c r="Q41" s="2"/>
      <c r="R41" s="7">
        <f t="shared" si="32"/>
        <v>-0.11729573858040229</v>
      </c>
      <c r="S41" s="2"/>
      <c r="T41" s="6"/>
      <c r="U41" s="2"/>
      <c r="V41" s="7">
        <f t="shared" si="33"/>
        <v>0</v>
      </c>
      <c r="W41" s="2"/>
      <c r="X41" s="6">
        <f t="shared" si="34"/>
        <v>-857.46</v>
      </c>
      <c r="Y41" s="2"/>
      <c r="Z41" s="7">
        <f t="shared" si="35"/>
        <v>0</v>
      </c>
    </row>
    <row r="42" spans="1:26" s="25" customFormat="1" outlineLevel="1" collapsed="1" x14ac:dyDescent="0.25">
      <c r="A42" s="27"/>
      <c r="B42" s="13" t="str">
        <f>CONCATENATE("     ","Discounts and Markdowns                           ")</f>
        <v xml:space="preserve">     Discounts and Markdowns                           </v>
      </c>
      <c r="C42" s="13"/>
      <c r="D42" s="1">
        <f>SUM(OSRRefD22_3x_0)</f>
        <v>48.34</v>
      </c>
      <c r="E42" s="1"/>
      <c r="F42" s="5">
        <f t="shared" si="28"/>
        <v>2.0054513095173889E-2</v>
      </c>
      <c r="G42" s="1"/>
      <c r="H42" s="1">
        <f>SUM(OSRRefH22_3x_0)</f>
        <v>325.04000000000002</v>
      </c>
      <c r="I42" s="1"/>
      <c r="J42" s="5">
        <f t="shared" si="29"/>
        <v>0.13771714261503262</v>
      </c>
      <c r="K42" s="1"/>
      <c r="L42" s="1">
        <f t="shared" si="30"/>
        <v>-276.70000000000005</v>
      </c>
      <c r="M42" s="1"/>
      <c r="N42" s="5">
        <f t="shared" si="31"/>
        <v>-0.85127984248092547</v>
      </c>
      <c r="O42" s="13"/>
      <c r="P42" s="1">
        <f>SUM(OSRRefP22_3x_0)</f>
        <v>287.29000000000002</v>
      </c>
      <c r="Q42" s="1"/>
      <c r="R42" s="5">
        <f t="shared" si="32"/>
        <v>3.9299667315984159E-2</v>
      </c>
      <c r="S42" s="1"/>
      <c r="T42" s="1">
        <f>SUM(OSRRefT22_3x_0)</f>
        <v>459.1</v>
      </c>
      <c r="U42" s="1"/>
      <c r="V42" s="5">
        <f t="shared" si="33"/>
        <v>6.3435609609161475E-2</v>
      </c>
      <c r="W42" s="1"/>
      <c r="X42" s="1">
        <f t="shared" si="34"/>
        <v>-171.81</v>
      </c>
      <c r="Y42" s="1"/>
      <c r="Z42" s="5">
        <f t="shared" si="35"/>
        <v>-0.37423219342191244</v>
      </c>
    </row>
    <row r="43" spans="1:26" s="24" customFormat="1" hidden="1" outlineLevel="2" x14ac:dyDescent="0.25">
      <c r="A43" s="26"/>
      <c r="B43" s="11" t="str">
        <f>CONCATENATE("          ", "6382", " - ", "DISCOUNTS/MARK DOWNS")</f>
        <v xml:space="preserve">          6382 - DISCOUNTS/MARK DOWNS</v>
      </c>
      <c r="C43" s="11"/>
      <c r="D43" s="6">
        <v>48.34</v>
      </c>
      <c r="E43" s="2"/>
      <c r="F43" s="7">
        <f t="shared" si="28"/>
        <v>2.0054513095173889E-2</v>
      </c>
      <c r="G43" s="2"/>
      <c r="H43" s="6">
        <v>325.04000000000002</v>
      </c>
      <c r="I43" s="2"/>
      <c r="J43" s="7">
        <f t="shared" si="29"/>
        <v>0.13771714261503262</v>
      </c>
      <c r="K43" s="2"/>
      <c r="L43" s="6">
        <f t="shared" si="30"/>
        <v>-276.70000000000005</v>
      </c>
      <c r="M43" s="2"/>
      <c r="N43" s="7">
        <f t="shared" si="31"/>
        <v>-0.85127984248092547</v>
      </c>
      <c r="O43" s="11"/>
      <c r="P43" s="6">
        <v>287.29000000000002</v>
      </c>
      <c r="Q43" s="2"/>
      <c r="R43" s="7">
        <f t="shared" si="32"/>
        <v>3.9299667315984159E-2</v>
      </c>
      <c r="S43" s="2"/>
      <c r="T43" s="6">
        <v>459.1</v>
      </c>
      <c r="U43" s="2"/>
      <c r="V43" s="7">
        <f t="shared" si="33"/>
        <v>6.3435609609161475E-2</v>
      </c>
      <c r="W43" s="2"/>
      <c r="X43" s="6">
        <f t="shared" si="34"/>
        <v>-171.81</v>
      </c>
      <c r="Y43" s="2"/>
      <c r="Z43" s="7">
        <f t="shared" si="35"/>
        <v>-0.37423219342191244</v>
      </c>
    </row>
    <row r="44" spans="1:26" s="25" customFormat="1" outlineLevel="1" collapsed="1" x14ac:dyDescent="0.25">
      <c r="A44" s="27"/>
      <c r="B44" s="13" t="str">
        <f>CONCATENATE("     ","Freight out/Postage                               ")</f>
        <v xml:space="preserve">     Freight out/Postage                               </v>
      </c>
      <c r="C44" s="13"/>
      <c r="D44" s="1">
        <f>SUM(OSRRefD22_4x_0)</f>
        <v>3072.17</v>
      </c>
      <c r="E44" s="1"/>
      <c r="F44" s="5">
        <f t="shared" si="28"/>
        <v>1.2745319299875955</v>
      </c>
      <c r="G44" s="1"/>
      <c r="H44" s="1">
        <f>SUM(OSRRefH22_4x_0)</f>
        <v>-1464.95</v>
      </c>
      <c r="I44" s="1"/>
      <c r="J44" s="5">
        <f t="shared" si="29"/>
        <v>-0.620688924667401</v>
      </c>
      <c r="K44" s="1"/>
      <c r="L44" s="1">
        <f t="shared" si="30"/>
        <v>4537.12</v>
      </c>
      <c r="M44" s="1"/>
      <c r="N44" s="5">
        <f t="shared" si="31"/>
        <v>-3.0971159425236356</v>
      </c>
      <c r="O44" s="13"/>
      <c r="P44" s="1">
        <f>SUM(OSRRefP22_4x_0)</f>
        <v>-5206.3000000000029</v>
      </c>
      <c r="Q44" s="1"/>
      <c r="R44" s="5">
        <f t="shared" si="32"/>
        <v>-0.71219275974523455</v>
      </c>
      <c r="S44" s="1"/>
      <c r="T44" s="1">
        <f>SUM(OSRRefT22_4x_0)</f>
        <v>-2641.1499999999978</v>
      </c>
      <c r="U44" s="1"/>
      <c r="V44" s="5">
        <f t="shared" si="33"/>
        <v>-0.36493783558971182</v>
      </c>
      <c r="W44" s="1"/>
      <c r="X44" s="1">
        <f t="shared" si="34"/>
        <v>-2565.1500000000051</v>
      </c>
      <c r="Y44" s="1"/>
      <c r="Z44" s="5">
        <f t="shared" si="35"/>
        <v>0.97122465592639839</v>
      </c>
    </row>
    <row r="45" spans="1:26" s="24" customFormat="1" hidden="1" outlineLevel="2" x14ac:dyDescent="0.25">
      <c r="A45" s="26"/>
      <c r="B45" s="11" t="str">
        <f>CONCATENATE("          ", "6305", " - ", "FREIGHT OUT")</f>
        <v xml:space="preserve">          6305 - FREIGHT OUT</v>
      </c>
      <c r="C45" s="11"/>
      <c r="D45" s="6">
        <v>3931.54</v>
      </c>
      <c r="E45" s="2"/>
      <c r="F45" s="7">
        <f t="shared" si="28"/>
        <v>1.631053380517169</v>
      </c>
      <c r="G45" s="2"/>
      <c r="H45" s="6">
        <v>1559.7</v>
      </c>
      <c r="I45" s="2"/>
      <c r="J45" s="7">
        <f t="shared" si="29"/>
        <v>0.66083382764172527</v>
      </c>
      <c r="K45" s="2"/>
      <c r="L45" s="6">
        <f t="shared" si="30"/>
        <v>2371.84</v>
      </c>
      <c r="M45" s="2"/>
      <c r="N45" s="7">
        <f t="shared" si="31"/>
        <v>1.5207026992370327</v>
      </c>
      <c r="O45" s="11"/>
      <c r="P45" s="6">
        <v>19256.689999999999</v>
      </c>
      <c r="Q45" s="2"/>
      <c r="R45" s="7">
        <f t="shared" si="32"/>
        <v>2.6342076320339687</v>
      </c>
      <c r="S45" s="2"/>
      <c r="T45" s="6">
        <v>20538.38</v>
      </c>
      <c r="U45" s="2"/>
      <c r="V45" s="7">
        <f t="shared" si="33"/>
        <v>2.8378668169998038</v>
      </c>
      <c r="W45" s="2"/>
      <c r="X45" s="6">
        <f t="shared" si="34"/>
        <v>-1281.6900000000023</v>
      </c>
      <c r="Y45" s="2"/>
      <c r="Z45" s="7">
        <f t="shared" si="35"/>
        <v>-6.2404629771189463E-2</v>
      </c>
    </row>
    <row r="46" spans="1:26" s="24" customFormat="1" hidden="1" outlineLevel="2" x14ac:dyDescent="0.25">
      <c r="A46" s="26"/>
      <c r="B46" s="11" t="str">
        <f>CONCATENATE("          ", "6307", " - ", "POSTAGE")</f>
        <v xml:space="preserve">          6307 - POSTAGE</v>
      </c>
      <c r="C46" s="11"/>
      <c r="D46" s="6">
        <v>-859.37</v>
      </c>
      <c r="E46" s="2"/>
      <c r="F46" s="7">
        <f t="shared" si="28"/>
        <v>-0.35652145052957351</v>
      </c>
      <c r="G46" s="2"/>
      <c r="H46" s="6">
        <v>-3024.65</v>
      </c>
      <c r="I46" s="2"/>
      <c r="J46" s="7">
        <f t="shared" si="29"/>
        <v>-1.2815227523091262</v>
      </c>
      <c r="K46" s="2"/>
      <c r="L46" s="6">
        <f t="shared" si="30"/>
        <v>2165.2800000000002</v>
      </c>
      <c r="M46" s="2"/>
      <c r="N46" s="7">
        <f t="shared" si="31"/>
        <v>-0.71587787016679616</v>
      </c>
      <c r="O46" s="11"/>
      <c r="P46" s="6">
        <v>-24462.99</v>
      </c>
      <c r="Q46" s="2"/>
      <c r="R46" s="7">
        <f t="shared" si="32"/>
        <v>-3.3464003917792033</v>
      </c>
      <c r="S46" s="2"/>
      <c r="T46" s="6">
        <v>-23179.53</v>
      </c>
      <c r="U46" s="2"/>
      <c r="V46" s="7">
        <f t="shared" si="33"/>
        <v>-3.2028046525895157</v>
      </c>
      <c r="W46" s="2"/>
      <c r="X46" s="6">
        <f t="shared" si="34"/>
        <v>-1283.4600000000028</v>
      </c>
      <c r="Y46" s="2"/>
      <c r="Z46" s="7">
        <f t="shared" si="35"/>
        <v>5.5370406561306588E-2</v>
      </c>
    </row>
    <row r="47" spans="1:26" s="25" customFormat="1" outlineLevel="1" collapsed="1" x14ac:dyDescent="0.25">
      <c r="A47" s="27"/>
      <c r="B47" s="13" t="str">
        <f>CONCATENATE("     ","General                                           ")</f>
        <v xml:space="preserve">     General                                           </v>
      </c>
      <c r="C47" s="13"/>
      <c r="D47" s="1">
        <f>SUM(OSRRefD22_5x_0)</f>
        <v>0</v>
      </c>
      <c r="E47" s="1"/>
      <c r="F47" s="5">
        <f t="shared" ref="F47:F53" si="36">IF(D$12=0,0,D47/D$12)</f>
        <v>0</v>
      </c>
      <c r="G47" s="1"/>
      <c r="H47" s="1">
        <f>SUM(OSRRefH22_5x_0)</f>
        <v>0</v>
      </c>
      <c r="I47" s="1"/>
      <c r="J47" s="5">
        <f t="shared" ref="J47:J53" si="37">IF(H$12=0,0,H47/H$12)</f>
        <v>0</v>
      </c>
      <c r="K47" s="1"/>
      <c r="L47" s="1">
        <f t="shared" ref="L47:L53" si="38">+D47-H47</f>
        <v>0</v>
      </c>
      <c r="M47" s="1"/>
      <c r="N47" s="5">
        <f t="shared" ref="N47:N53" si="39">IF(H47=0,0,L47/H47)</f>
        <v>0</v>
      </c>
      <c r="O47" s="13"/>
      <c r="P47" s="1">
        <f>SUM(OSRRefP22_5x_0)</f>
        <v>80.17</v>
      </c>
      <c r="Q47" s="1"/>
      <c r="R47" s="5">
        <f t="shared" ref="R47:R53" si="40">IF(P$12=0,0,P47/P$12)</f>
        <v>1.0966808203287444E-2</v>
      </c>
      <c r="S47" s="1"/>
      <c r="T47" s="1">
        <f>SUM(OSRRefT22_5x_0)</f>
        <v>83.47</v>
      </c>
      <c r="U47" s="1"/>
      <c r="V47" s="5">
        <f t="shared" ref="V47:V53" si="41">IF(T$12=0,0,T47/T$12)</f>
        <v>1.1533370363922258E-2</v>
      </c>
      <c r="W47" s="1"/>
      <c r="X47" s="1">
        <f t="shared" ref="X47:X53" si="42">+P47-T47</f>
        <v>-3.2999999999999972</v>
      </c>
      <c r="Y47" s="1"/>
      <c r="Z47" s="5">
        <f t="shared" ref="Z47:Z53" si="43">IF(T47=0,0,X47/T47)</f>
        <v>-3.9535162333772578E-2</v>
      </c>
    </row>
    <row r="48" spans="1:26" s="24" customFormat="1" hidden="1" outlineLevel="2" x14ac:dyDescent="0.25">
      <c r="A48" s="26"/>
      <c r="B48" s="11" t="str">
        <f>CONCATENATE("          ", "6279", " - ", "GENERAL EXPENSE")</f>
        <v xml:space="preserve">          6279 - GENERAL EXPENSE</v>
      </c>
      <c r="C48" s="11"/>
      <c r="D48" s="6"/>
      <c r="E48" s="2"/>
      <c r="F48" s="7">
        <f t="shared" si="36"/>
        <v>0</v>
      </c>
      <c r="G48" s="2"/>
      <c r="H48" s="6"/>
      <c r="I48" s="2"/>
      <c r="J48" s="7">
        <f t="shared" si="37"/>
        <v>0</v>
      </c>
      <c r="K48" s="2"/>
      <c r="L48" s="6">
        <f t="shared" si="38"/>
        <v>0</v>
      </c>
      <c r="M48" s="2"/>
      <c r="N48" s="7">
        <f t="shared" si="39"/>
        <v>0</v>
      </c>
      <c r="O48" s="11"/>
      <c r="P48" s="6">
        <v>80.17</v>
      </c>
      <c r="Q48" s="2"/>
      <c r="R48" s="7">
        <f t="shared" si="40"/>
        <v>1.0966808203287444E-2</v>
      </c>
      <c r="S48" s="2"/>
      <c r="T48" s="6">
        <v>83.47</v>
      </c>
      <c r="U48" s="2"/>
      <c r="V48" s="7">
        <f t="shared" si="41"/>
        <v>1.1533370363922258E-2</v>
      </c>
      <c r="W48" s="2"/>
      <c r="X48" s="6">
        <f t="shared" si="42"/>
        <v>-3.2999999999999972</v>
      </c>
      <c r="Y48" s="2"/>
      <c r="Z48" s="7">
        <f t="shared" si="43"/>
        <v>-3.9535162333772578E-2</v>
      </c>
    </row>
    <row r="49" spans="1:26" s="25" customFormat="1" outlineLevel="1" collapsed="1" x14ac:dyDescent="0.25">
      <c r="A49" s="27"/>
      <c r="B49" s="13" t="str">
        <f>CONCATENATE("     ","Inventory Adjustment                              ")</f>
        <v xml:space="preserve">     Inventory Adjustment                              </v>
      </c>
      <c r="C49" s="13"/>
      <c r="D49" s="1">
        <f>SUM(OSRRefD22_6x_0)</f>
        <v>100</v>
      </c>
      <c r="E49" s="1"/>
      <c r="F49" s="5">
        <f t="shared" si="36"/>
        <v>4.1486373800525216E-2</v>
      </c>
      <c r="G49" s="1"/>
      <c r="H49" s="1">
        <f>SUM(OSRRefH22_6x_0)</f>
        <v>100</v>
      </c>
      <c r="I49" s="1"/>
      <c r="J49" s="5">
        <f t="shared" si="37"/>
        <v>4.2369290738073037E-2</v>
      </c>
      <c r="K49" s="1"/>
      <c r="L49" s="1">
        <f t="shared" si="38"/>
        <v>0</v>
      </c>
      <c r="M49" s="1"/>
      <c r="N49" s="5">
        <f t="shared" si="39"/>
        <v>0</v>
      </c>
      <c r="O49" s="13"/>
      <c r="P49" s="1">
        <f>SUM(OSRRefP22_6x_0)</f>
        <v>400</v>
      </c>
      <c r="Q49" s="1"/>
      <c r="R49" s="5">
        <f t="shared" si="40"/>
        <v>5.4717765764188318E-2</v>
      </c>
      <c r="S49" s="1"/>
      <c r="T49" s="1">
        <f>SUM(OSRRefT22_6x_0)</f>
        <v>500</v>
      </c>
      <c r="U49" s="1"/>
      <c r="V49" s="5">
        <f t="shared" si="41"/>
        <v>6.9086919635331603E-2</v>
      </c>
      <c r="W49" s="1"/>
      <c r="X49" s="1">
        <f t="shared" si="42"/>
        <v>-100</v>
      </c>
      <c r="Y49" s="1"/>
      <c r="Z49" s="5">
        <f t="shared" si="43"/>
        <v>-0.2</v>
      </c>
    </row>
    <row r="50" spans="1:26" s="24" customFormat="1" hidden="1" outlineLevel="2" x14ac:dyDescent="0.25">
      <c r="A50" s="26"/>
      <c r="B50" s="11" t="str">
        <f>CONCATENATE("          ", "6408", " - ", "INVENTORY ADJUSTMENT")</f>
        <v xml:space="preserve">          6408 - INVENTORY ADJUSTMENT</v>
      </c>
      <c r="C50" s="11"/>
      <c r="D50" s="6">
        <v>100</v>
      </c>
      <c r="E50" s="2"/>
      <c r="F50" s="7">
        <f t="shared" si="36"/>
        <v>4.1486373800525216E-2</v>
      </c>
      <c r="G50" s="2"/>
      <c r="H50" s="6">
        <v>100</v>
      </c>
      <c r="I50" s="2"/>
      <c r="J50" s="7">
        <f t="shared" si="37"/>
        <v>4.2369290738073037E-2</v>
      </c>
      <c r="K50" s="2"/>
      <c r="L50" s="6">
        <f t="shared" si="38"/>
        <v>0</v>
      </c>
      <c r="M50" s="2"/>
      <c r="N50" s="7">
        <f t="shared" si="39"/>
        <v>0</v>
      </c>
      <c r="O50" s="11"/>
      <c r="P50" s="6">
        <v>400</v>
      </c>
      <c r="Q50" s="2"/>
      <c r="R50" s="7">
        <f t="shared" si="40"/>
        <v>5.4717765764188318E-2</v>
      </c>
      <c r="S50" s="2"/>
      <c r="T50" s="6">
        <v>500</v>
      </c>
      <c r="U50" s="2"/>
      <c r="V50" s="7">
        <f t="shared" si="41"/>
        <v>6.9086919635331603E-2</v>
      </c>
      <c r="W50" s="2"/>
      <c r="X50" s="6">
        <f t="shared" si="42"/>
        <v>-100</v>
      </c>
      <c r="Y50" s="2"/>
      <c r="Z50" s="7">
        <f t="shared" si="43"/>
        <v>-0.2</v>
      </c>
    </row>
    <row r="51" spans="1:26" s="25" customFormat="1" outlineLevel="1" collapsed="1" x14ac:dyDescent="0.25">
      <c r="A51" s="27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SUM(OSRRefD22_7x_0)</f>
        <v>0</v>
      </c>
      <c r="E51" s="1"/>
      <c r="F51" s="5">
        <f t="shared" si="36"/>
        <v>0</v>
      </c>
      <c r="G51" s="1"/>
      <c r="H51" s="1">
        <f>SUM(OSRRefH22_7x_0)</f>
        <v>334.43</v>
      </c>
      <c r="I51" s="1"/>
      <c r="J51" s="5">
        <f t="shared" si="37"/>
        <v>0.14169561901533767</v>
      </c>
      <c r="K51" s="1"/>
      <c r="L51" s="1">
        <f t="shared" si="38"/>
        <v>-334.43</v>
      </c>
      <c r="M51" s="1"/>
      <c r="N51" s="5">
        <f t="shared" si="39"/>
        <v>-1</v>
      </c>
      <c r="O51" s="13"/>
      <c r="P51" s="1">
        <f>SUM(OSRRefP22_7x_0)</f>
        <v>5174.63</v>
      </c>
      <c r="Q51" s="1"/>
      <c r="R51" s="5">
        <f t="shared" si="40"/>
        <v>0.70786048064085449</v>
      </c>
      <c r="S51" s="1"/>
      <c r="T51" s="1">
        <f>SUM(OSRRefT22_7x_0)</f>
        <v>6805.95</v>
      </c>
      <c r="U51" s="1"/>
      <c r="V51" s="5">
        <f t="shared" si="41"/>
        <v>0.94040424138417023</v>
      </c>
      <c r="W51" s="1"/>
      <c r="X51" s="1">
        <f t="shared" si="42"/>
        <v>-1631.3199999999997</v>
      </c>
      <c r="Y51" s="1"/>
      <c r="Z51" s="5">
        <f t="shared" si="43"/>
        <v>-0.23969027101286372</v>
      </c>
    </row>
    <row r="52" spans="1:26" s="24" customFormat="1" hidden="1" outlineLevel="2" x14ac:dyDescent="0.25">
      <c r="A52" s="26"/>
      <c r="B52" s="11" t="str">
        <f>CONCATENATE("          ", "6241", " - ", "OFFICE EXPENSE")</f>
        <v xml:space="preserve">          6241 - OFFICE EXPENSE</v>
      </c>
      <c r="C52" s="11"/>
      <c r="D52" s="6"/>
      <c r="E52" s="2"/>
      <c r="F52" s="7">
        <f t="shared" si="36"/>
        <v>0</v>
      </c>
      <c r="G52" s="2"/>
      <c r="H52" s="6"/>
      <c r="I52" s="2"/>
      <c r="J52" s="7">
        <f t="shared" si="37"/>
        <v>0</v>
      </c>
      <c r="K52" s="2"/>
      <c r="L52" s="6">
        <f t="shared" si="38"/>
        <v>0</v>
      </c>
      <c r="M52" s="2"/>
      <c r="N52" s="7">
        <f t="shared" si="39"/>
        <v>0</v>
      </c>
      <c r="O52" s="11"/>
      <c r="P52" s="6">
        <v>115.02</v>
      </c>
      <c r="Q52" s="2"/>
      <c r="R52" s="7">
        <f t="shared" si="40"/>
        <v>1.573409354549235E-2</v>
      </c>
      <c r="S52" s="2"/>
      <c r="T52" s="6">
        <v>1.59</v>
      </c>
      <c r="U52" s="2"/>
      <c r="V52" s="7">
        <f t="shared" si="41"/>
        <v>2.1969640444035452E-4</v>
      </c>
      <c r="W52" s="2"/>
      <c r="X52" s="6">
        <f t="shared" si="42"/>
        <v>113.42999999999999</v>
      </c>
      <c r="Y52" s="2"/>
      <c r="Z52" s="7">
        <f t="shared" si="43"/>
        <v>71.339622641509422</v>
      </c>
    </row>
    <row r="53" spans="1:26" s="24" customFormat="1" hidden="1" outlineLevel="2" x14ac:dyDescent="0.25">
      <c r="A53" s="26"/>
      <c r="B53" s="11" t="str">
        <f>CONCATENATE("          ", "6247", " - ", "STORE SUPPLIES")</f>
        <v xml:space="preserve">          6247 - STORE SUPPLIES</v>
      </c>
      <c r="C53" s="11"/>
      <c r="D53" s="6"/>
      <c r="E53" s="2"/>
      <c r="F53" s="7">
        <f t="shared" si="36"/>
        <v>0</v>
      </c>
      <c r="G53" s="2"/>
      <c r="H53" s="6">
        <v>334.43</v>
      </c>
      <c r="I53" s="2"/>
      <c r="J53" s="7">
        <f t="shared" si="37"/>
        <v>0.14169561901533767</v>
      </c>
      <c r="K53" s="2"/>
      <c r="L53" s="6">
        <f t="shared" si="38"/>
        <v>-334.43</v>
      </c>
      <c r="M53" s="2"/>
      <c r="N53" s="7">
        <f t="shared" si="39"/>
        <v>-1</v>
      </c>
      <c r="O53" s="11"/>
      <c r="P53" s="6">
        <v>5059.6099999999997</v>
      </c>
      <c r="Q53" s="2"/>
      <c r="R53" s="7">
        <f t="shared" si="40"/>
        <v>0.69212638709536212</v>
      </c>
      <c r="S53" s="2"/>
      <c r="T53" s="6">
        <v>6804.36</v>
      </c>
      <c r="U53" s="2"/>
      <c r="V53" s="7">
        <f t="shared" si="41"/>
        <v>0.94018454497972981</v>
      </c>
      <c r="W53" s="2"/>
      <c r="X53" s="6">
        <f t="shared" si="42"/>
        <v>-1744.75</v>
      </c>
      <c r="Y53" s="2"/>
      <c r="Z53" s="7">
        <f t="shared" si="43"/>
        <v>-0.25641647414304947</v>
      </c>
    </row>
    <row r="54" spans="1:26" s="25" customFormat="1" outlineLevel="1" collapsed="1" x14ac:dyDescent="0.25">
      <c r="A54" s="27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86.65</v>
      </c>
      <c r="E54" s="1"/>
      <c r="F54" s="5">
        <f t="shared" ref="F54:F55" si="44">IF(D$12=0,0,D54/D$12)</f>
        <v>3.5947942898155096E-2</v>
      </c>
      <c r="G54" s="1"/>
      <c r="H54" s="1">
        <f>SUM(OSRRefH22_8x_0)</f>
        <v>157.9</v>
      </c>
      <c r="I54" s="1"/>
      <c r="J54" s="5">
        <f t="shared" ref="J54:J55" si="45">IF(H$12=0,0,H54/H$12)</f>
        <v>6.6901110075417339E-2</v>
      </c>
      <c r="K54" s="1"/>
      <c r="L54" s="1">
        <f t="shared" ref="L54:L55" si="46">+D54-H54</f>
        <v>-71.25</v>
      </c>
      <c r="M54" s="1"/>
      <c r="N54" s="5">
        <f t="shared" ref="N54:N55" si="47">IF(H54=0,0,L54/H54)</f>
        <v>-0.45123495883470549</v>
      </c>
      <c r="O54" s="13"/>
      <c r="P54" s="1">
        <f>SUM(OSRRefP22_8x_0)</f>
        <v>319.25</v>
      </c>
      <c r="Q54" s="1"/>
      <c r="R54" s="5">
        <f t="shared" ref="R54:R55" si="48">IF(P$12=0,0,P54/P$12)</f>
        <v>4.3671616800542802E-2</v>
      </c>
      <c r="S54" s="1"/>
      <c r="T54" s="1">
        <f>SUM(OSRRefT22_8x_0)</f>
        <v>857.3</v>
      </c>
      <c r="U54" s="1"/>
      <c r="V54" s="5">
        <f t="shared" ref="V54:V55" si="49">IF(T$12=0,0,T54/T$12)</f>
        <v>0.11845643240673956</v>
      </c>
      <c r="W54" s="1"/>
      <c r="X54" s="1">
        <f t="shared" ref="X54:X55" si="50">+P54-T54</f>
        <v>-538.04999999999995</v>
      </c>
      <c r="Y54" s="1"/>
      <c r="Z54" s="5">
        <f t="shared" ref="Z54:Z55" si="51">IF(T54=0,0,X54/T54)</f>
        <v>-0.6276099381780007</v>
      </c>
    </row>
    <row r="55" spans="1:26" s="24" customFormat="1" hidden="1" outlineLevel="2" x14ac:dyDescent="0.25">
      <c r="A55" s="26"/>
      <c r="B55" s="11" t="str">
        <f>CONCATENATE("          ", "6309", " - ", "TELEPHONE")</f>
        <v xml:space="preserve">          6309 - TELEPHONE</v>
      </c>
      <c r="C55" s="11"/>
      <c r="D55" s="6">
        <v>86.65</v>
      </c>
      <c r="E55" s="2"/>
      <c r="F55" s="7">
        <f t="shared" si="44"/>
        <v>3.5947942898155096E-2</v>
      </c>
      <c r="G55" s="2"/>
      <c r="H55" s="6">
        <v>157.9</v>
      </c>
      <c r="I55" s="2"/>
      <c r="J55" s="7">
        <f t="shared" si="45"/>
        <v>6.6901110075417339E-2</v>
      </c>
      <c r="K55" s="2"/>
      <c r="L55" s="6">
        <f t="shared" si="46"/>
        <v>-71.25</v>
      </c>
      <c r="M55" s="2"/>
      <c r="N55" s="7">
        <f t="shared" si="47"/>
        <v>-0.45123495883470549</v>
      </c>
      <c r="O55" s="11"/>
      <c r="P55" s="6">
        <v>319.25</v>
      </c>
      <c r="Q55" s="2"/>
      <c r="R55" s="7">
        <f t="shared" si="48"/>
        <v>4.3671616800542802E-2</v>
      </c>
      <c r="S55" s="2"/>
      <c r="T55" s="6">
        <v>857.3</v>
      </c>
      <c r="U55" s="2"/>
      <c r="V55" s="7">
        <f t="shared" si="49"/>
        <v>0.11845643240673956</v>
      </c>
      <c r="W55" s="2"/>
      <c r="X55" s="6">
        <f t="shared" si="50"/>
        <v>-538.04999999999995</v>
      </c>
      <c r="Y55" s="2"/>
      <c r="Z55" s="7">
        <f t="shared" si="51"/>
        <v>-0.6276099381780007</v>
      </c>
    </row>
    <row r="56" spans="1:26" s="53" customFormat="1" x14ac:dyDescent="0.25">
      <c r="A56" s="37"/>
      <c r="B56" s="37"/>
      <c r="C56" s="37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collapsed="1" x14ac:dyDescent="0.25">
      <c r="A57" s="10"/>
      <c r="B57" s="28" t="s">
        <v>0</v>
      </c>
      <c r="C57" s="10"/>
      <c r="D57" s="4">
        <f>SUM(OSRRefD25x_0)</f>
        <v>1305</v>
      </c>
      <c r="E57" s="4"/>
      <c r="F57" s="12">
        <f t="shared" ref="F57:F62" si="52">IF(D$12=0,0,D57/D$12)</f>
        <v>0.54139717809685406</v>
      </c>
      <c r="G57" s="4"/>
      <c r="H57" s="4">
        <f>SUM(OSRRefH25x_0)</f>
        <v>995.5</v>
      </c>
      <c r="I57" s="4"/>
      <c r="J57" s="12">
        <f t="shared" ref="J57:J62" si="53">IF(H$12=0,0,H57/H$12)</f>
        <v>0.4217862892975171</v>
      </c>
      <c r="K57" s="4"/>
      <c r="L57" s="4">
        <f t="shared" ref="L57:L62" si="54">+D57-H57</f>
        <v>309.5</v>
      </c>
      <c r="M57" s="4"/>
      <c r="N57" s="12">
        <f t="shared" ref="N57:N62" si="55">IF(H57=0,0,L57/H57)</f>
        <v>0.31089904570567556</v>
      </c>
      <c r="O57" s="10"/>
      <c r="P57" s="4">
        <f>SUM(OSRRefP25x_0)</f>
        <v>85733.4</v>
      </c>
      <c r="Q57" s="4"/>
      <c r="R57" s="12">
        <f t="shared" ref="R57:R62" si="56">IF(P$12=0,0,P57/P$12)</f>
        <v>11.727850248418656</v>
      </c>
      <c r="S57" s="4"/>
      <c r="T57" s="4">
        <f>SUM(OSRRefT25x_0)</f>
        <v>1980.5</v>
      </c>
      <c r="U57" s="4"/>
      <c r="V57" s="12">
        <f t="shared" ref="V57:V62" si="57">IF(T$12=0,0,T57/T$12)</f>
        <v>0.27365328867554845</v>
      </c>
      <c r="W57" s="4"/>
      <c r="X57" s="4">
        <f t="shared" ref="X57:X62" si="58">+P57-T57</f>
        <v>83752.899999999994</v>
      </c>
      <c r="Y57" s="4"/>
      <c r="Z57" s="12">
        <f t="shared" ref="Z57:Z62" si="59">IF(T57=0,0,X57/T57)</f>
        <v>42.288765463266849</v>
      </c>
    </row>
    <row r="58" spans="1:26" s="24" customFormat="1" hidden="1" outlineLevel="1" x14ac:dyDescent="0.25">
      <c r="A58" s="44"/>
      <c r="B58" s="11" t="str">
        <f>CONCATENATE("          ", "4098", " - ", "TAXABLE SALES-GRAD RENTALS")</f>
        <v xml:space="preserve">          4098 - TAXABLE SALES-GRAD RENTALS</v>
      </c>
      <c r="C58" s="11"/>
      <c r="D58" s="2">
        <f t="shared" ref="D58:D60" si="60">0</f>
        <v>0</v>
      </c>
      <c r="E58" s="2"/>
      <c r="F58" s="19">
        <f t="shared" si="52"/>
        <v>0</v>
      </c>
      <c r="G58" s="2"/>
      <c r="H58" s="2">
        <f>--980.5</f>
        <v>980.5</v>
      </c>
      <c r="I58" s="2"/>
      <c r="J58" s="19">
        <f t="shared" si="53"/>
        <v>0.41543089568680613</v>
      </c>
      <c r="K58" s="2"/>
      <c r="L58" s="2">
        <f t="shared" si="54"/>
        <v>-980.5</v>
      </c>
      <c r="M58" s="2"/>
      <c r="N58" s="19">
        <f t="shared" si="55"/>
        <v>-1</v>
      </c>
      <c r="O58" s="11"/>
      <c r="P58" s="2">
        <f>--1626.85</f>
        <v>1626.85</v>
      </c>
      <c r="Q58" s="2"/>
      <c r="R58" s="19">
        <f t="shared" si="56"/>
        <v>0.2225439930836744</v>
      </c>
      <c r="S58" s="2"/>
      <c r="T58" s="2">
        <f>--980.5</f>
        <v>980.5</v>
      </c>
      <c r="U58" s="2"/>
      <c r="V58" s="19">
        <f t="shared" si="57"/>
        <v>0.13547944940488527</v>
      </c>
      <c r="W58" s="2"/>
      <c r="X58" s="2">
        <f t="shared" si="58"/>
        <v>646.34999999999991</v>
      </c>
      <c r="Y58" s="2"/>
      <c r="Z58" s="19">
        <f t="shared" si="59"/>
        <v>0.65920448750637417</v>
      </c>
    </row>
    <row r="59" spans="1:26" s="24" customFormat="1" hidden="1" outlineLevel="1" x14ac:dyDescent="0.25">
      <c r="A59" s="44"/>
      <c r="B59" s="11" t="str">
        <f>CONCATENATE("          ", "4197", " - ", "NON-TAXABLE SALES-RETURNED CHE")</f>
        <v xml:space="preserve">          4197 - NON-TAXABLE SALES-RETURNED CHE</v>
      </c>
      <c r="C59" s="11"/>
      <c r="D59" s="2">
        <f t="shared" si="60"/>
        <v>0</v>
      </c>
      <c r="E59" s="2"/>
      <c r="F59" s="19">
        <f t="shared" si="52"/>
        <v>0</v>
      </c>
      <c r="G59" s="2"/>
      <c r="H59" s="2">
        <f>0</f>
        <v>0</v>
      </c>
      <c r="I59" s="2"/>
      <c r="J59" s="19">
        <f t="shared" si="53"/>
        <v>0</v>
      </c>
      <c r="K59" s="2"/>
      <c r="L59" s="2">
        <f t="shared" si="54"/>
        <v>0</v>
      </c>
      <c r="M59" s="2"/>
      <c r="N59" s="19">
        <f t="shared" si="55"/>
        <v>0</v>
      </c>
      <c r="O59" s="11"/>
      <c r="P59" s="2">
        <f>--30</f>
        <v>30</v>
      </c>
      <c r="Q59" s="2"/>
      <c r="R59" s="19">
        <f t="shared" si="56"/>
        <v>4.1038324323141237E-3</v>
      </c>
      <c r="S59" s="2"/>
      <c r="T59" s="2">
        <f>--260</f>
        <v>260</v>
      </c>
      <c r="U59" s="2"/>
      <c r="V59" s="19">
        <f t="shared" si="57"/>
        <v>3.5925198210372433E-2</v>
      </c>
      <c r="W59" s="2"/>
      <c r="X59" s="2">
        <f t="shared" si="58"/>
        <v>-230</v>
      </c>
      <c r="Y59" s="2"/>
      <c r="Z59" s="19">
        <f t="shared" si="59"/>
        <v>-0.88461538461538458</v>
      </c>
    </row>
    <row r="60" spans="1:26" s="24" customFormat="1" hidden="1" outlineLevel="1" x14ac:dyDescent="0.25">
      <c r="A60" s="44"/>
      <c r="B60" s="11" t="str">
        <f>CONCATENATE("          ", "4198", " - ", "NON-TAXABLE SALES-GRAD RENTALS")</f>
        <v xml:space="preserve">          4198 - NON-TAXABLE SALES-GRAD RENTALS</v>
      </c>
      <c r="C60" s="11"/>
      <c r="D60" s="2">
        <f t="shared" si="60"/>
        <v>0</v>
      </c>
      <c r="E60" s="2"/>
      <c r="F60" s="19">
        <f t="shared" si="52"/>
        <v>0</v>
      </c>
      <c r="G60" s="2"/>
      <c r="H60" s="2">
        <f>--15</f>
        <v>15</v>
      </c>
      <c r="I60" s="2"/>
      <c r="J60" s="19">
        <f t="shared" si="53"/>
        <v>6.3553936107109557E-3</v>
      </c>
      <c r="K60" s="2"/>
      <c r="L60" s="2">
        <f t="shared" si="54"/>
        <v>-15</v>
      </c>
      <c r="M60" s="2"/>
      <c r="N60" s="19">
        <f t="shared" si="55"/>
        <v>-1</v>
      </c>
      <c r="O60" s="11"/>
      <c r="P60" s="2">
        <f>--495</f>
        <v>495</v>
      </c>
      <c r="Q60" s="2"/>
      <c r="R60" s="19">
        <f t="shared" si="56"/>
        <v>6.7713235133183045E-2</v>
      </c>
      <c r="S60" s="2"/>
      <c r="T60" s="2">
        <f>--450</f>
        <v>450</v>
      </c>
      <c r="U60" s="2"/>
      <c r="V60" s="19">
        <f t="shared" si="57"/>
        <v>6.2178227671798439E-2</v>
      </c>
      <c r="W60" s="2"/>
      <c r="X60" s="2">
        <f t="shared" si="58"/>
        <v>45</v>
      </c>
      <c r="Y60" s="2"/>
      <c r="Z60" s="19">
        <f t="shared" si="59"/>
        <v>0.1</v>
      </c>
    </row>
    <row r="61" spans="1:26" s="24" customFormat="1" hidden="1" outlineLevel="1" x14ac:dyDescent="0.25">
      <c r="A61" s="44"/>
      <c r="B61" s="11" t="str">
        <f>CONCATENATE("          ", "9160", " - ", "MISC. INCOME")</f>
        <v xml:space="preserve">          9160 - MISC. INCOME</v>
      </c>
      <c r="C61" s="11"/>
      <c r="D61" s="2">
        <f>--1305</f>
        <v>1305</v>
      </c>
      <c r="E61" s="2"/>
      <c r="F61" s="19">
        <f t="shared" si="52"/>
        <v>0.54139717809685406</v>
      </c>
      <c r="G61" s="2"/>
      <c r="H61" s="2">
        <f t="shared" ref="H61:H62" si="61">0</f>
        <v>0</v>
      </c>
      <c r="I61" s="2"/>
      <c r="J61" s="19">
        <f t="shared" si="53"/>
        <v>0</v>
      </c>
      <c r="K61" s="2"/>
      <c r="L61" s="2">
        <f t="shared" si="54"/>
        <v>1305</v>
      </c>
      <c r="M61" s="2"/>
      <c r="N61" s="19">
        <f t="shared" si="55"/>
        <v>0</v>
      </c>
      <c r="O61" s="11"/>
      <c r="P61" s="2">
        <f>--22475</f>
        <v>22475</v>
      </c>
      <c r="Q61" s="2"/>
      <c r="R61" s="19">
        <f t="shared" si="56"/>
        <v>3.0744544638753313</v>
      </c>
      <c r="S61" s="2"/>
      <c r="T61" s="2">
        <f>--290</f>
        <v>290</v>
      </c>
      <c r="U61" s="2"/>
      <c r="V61" s="19">
        <f t="shared" si="57"/>
        <v>4.0070413388492328E-2</v>
      </c>
      <c r="W61" s="2"/>
      <c r="X61" s="2">
        <f t="shared" si="58"/>
        <v>22185</v>
      </c>
      <c r="Y61" s="2"/>
      <c r="Z61" s="19">
        <f t="shared" si="59"/>
        <v>76.5</v>
      </c>
    </row>
    <row r="62" spans="1:26" s="24" customFormat="1" hidden="1" outlineLevel="1" x14ac:dyDescent="0.25">
      <c r="A62" s="44"/>
      <c r="B62" s="11" t="str">
        <f>CONCATENATE("          ", "9163", " - ", "MISC. INCOME")</f>
        <v xml:space="preserve">          9163 - MISC. INCOME</v>
      </c>
      <c r="C62" s="11"/>
      <c r="D62" s="2">
        <f>0</f>
        <v>0</v>
      </c>
      <c r="E62" s="2"/>
      <c r="F62" s="19">
        <f t="shared" si="52"/>
        <v>0</v>
      </c>
      <c r="G62" s="2"/>
      <c r="H62" s="2">
        <f t="shared" si="61"/>
        <v>0</v>
      </c>
      <c r="I62" s="2"/>
      <c r="J62" s="19">
        <f t="shared" si="53"/>
        <v>0</v>
      </c>
      <c r="K62" s="2"/>
      <c r="L62" s="2">
        <f t="shared" si="54"/>
        <v>0</v>
      </c>
      <c r="M62" s="2"/>
      <c r="N62" s="19">
        <f t="shared" si="55"/>
        <v>0</v>
      </c>
      <c r="O62" s="11"/>
      <c r="P62" s="2">
        <f>--61106.55</f>
        <v>61106.55</v>
      </c>
      <c r="Q62" s="2"/>
      <c r="R62" s="19">
        <f t="shared" si="56"/>
        <v>8.3590347238941547</v>
      </c>
      <c r="S62" s="2"/>
      <c r="T62" s="2">
        <f>0</f>
        <v>0</v>
      </c>
      <c r="U62" s="2"/>
      <c r="V62" s="19">
        <f t="shared" si="57"/>
        <v>0</v>
      </c>
      <c r="W62" s="2"/>
      <c r="X62" s="2">
        <f t="shared" si="58"/>
        <v>61106.55</v>
      </c>
      <c r="Y62" s="2"/>
      <c r="Z62" s="19">
        <f t="shared" si="59"/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9" t="s">
        <v>3</v>
      </c>
      <c r="C64" s="29"/>
      <c r="D64" s="21">
        <f>+D25-D27+D57</f>
        <v>-817.73</v>
      </c>
      <c r="E64" s="14"/>
      <c r="F64" s="20">
        <f>IF(D$12=0,0,D64/D$12)</f>
        <v>-0.33924652447903481</v>
      </c>
      <c r="G64" s="14"/>
      <c r="H64" s="21">
        <f>+H25-H27+H57</f>
        <v>-2475.4199999999987</v>
      </c>
      <c r="I64" s="14"/>
      <c r="J64" s="20">
        <f>IF(H$12=0,0,H64/H$12)</f>
        <v>-1.0488178967884072</v>
      </c>
      <c r="K64" s="15"/>
      <c r="L64" s="21">
        <f>+D64-H64</f>
        <v>1657.6899999999987</v>
      </c>
      <c r="M64" s="15"/>
      <c r="N64" s="20">
        <f>IF(H64=0,0,L64/H64)</f>
        <v>-0.66966009808436533</v>
      </c>
      <c r="O64" s="28"/>
      <c r="P64" s="21">
        <f>+P25-P27+P57</f>
        <v>86349.91</v>
      </c>
      <c r="Q64" s="14"/>
      <c r="R64" s="20">
        <f>IF(P$12=0,0,P64/P$12)</f>
        <v>11.812185372846857</v>
      </c>
      <c r="S64" s="14"/>
      <c r="T64" s="21">
        <f>+T25-T27+T57</f>
        <v>-5431.2300000000014</v>
      </c>
      <c r="U64" s="14"/>
      <c r="V64" s="20">
        <f>IF(T$12=0,0,T64/T$12)</f>
        <v>-0.75045390106200427</v>
      </c>
      <c r="W64" s="15"/>
      <c r="X64" s="21">
        <f>+P64-T64</f>
        <v>91781.14</v>
      </c>
      <c r="Y64" s="15"/>
      <c r="Z64" s="20">
        <f>IF(T64=0,0,X64/T64)</f>
        <v>-16.898776151995033</v>
      </c>
    </row>
    <row r="65" spans="1:26" x14ac:dyDescent="0.25">
      <c r="A65" s="9"/>
      <c r="B65" s="10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51"/>
      <c r="B66" s="10" t="s">
        <v>13</v>
      </c>
      <c r="C66" s="10"/>
      <c r="D66" s="4">
        <v>280.87</v>
      </c>
      <c r="E66" s="4"/>
      <c r="F66" s="12">
        <f>IF(D$12=0,0,D66/D$12)</f>
        <v>0.11652277809353516</v>
      </c>
      <c r="G66" s="4"/>
      <c r="H66" s="4">
        <v>313.61</v>
      </c>
      <c r="I66" s="4"/>
      <c r="J66" s="12">
        <f>IF(H$12=0,0,H66/H$12)</f>
        <v>0.13287433268367085</v>
      </c>
      <c r="K66" s="4"/>
      <c r="L66" s="4">
        <f>+D66-H66</f>
        <v>-32.740000000000009</v>
      </c>
      <c r="M66" s="4"/>
      <c r="N66" s="12">
        <f>IF(H66=0,0,L66/H66)</f>
        <v>-0.10439718121233381</v>
      </c>
      <c r="O66" s="10"/>
      <c r="P66" s="4">
        <v>774.1</v>
      </c>
      <c r="Q66" s="4"/>
      <c r="R66" s="12">
        <f>IF(P$12=0,0,P66/P$12)</f>
        <v>0.10589255619514544</v>
      </c>
      <c r="S66" s="4"/>
      <c r="T66" s="4">
        <v>761.52</v>
      </c>
      <c r="U66" s="4"/>
      <c r="V66" s="12">
        <f>IF(T$12=0,0,T66/T$12)</f>
        <v>0.10522214208139544</v>
      </c>
      <c r="W66" s="4"/>
      <c r="X66" s="4">
        <f>+P66-T66</f>
        <v>12.580000000000041</v>
      </c>
      <c r="Y66" s="4"/>
      <c r="Z66" s="12">
        <f>IF(T66=0,0,X66/T66)</f>
        <v>1.6519592394159104E-2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9" t="s">
        <v>4</v>
      </c>
      <c r="C68" s="29"/>
      <c r="D68" s="31">
        <f>+D64-D66</f>
        <v>-1098.5999999999999</v>
      </c>
      <c r="E68" s="14"/>
      <c r="F68" s="32">
        <f>IF(D$12=0,0,D68/D$12)</f>
        <v>-0.45576930257256992</v>
      </c>
      <c r="G68" s="14"/>
      <c r="H68" s="31">
        <f>+H64-H66</f>
        <v>-2789.0299999999988</v>
      </c>
      <c r="I68" s="14"/>
      <c r="J68" s="32">
        <f>IF(H$12=0,0,H68/H$12)</f>
        <v>-1.181692229472078</v>
      </c>
      <c r="K68" s="15"/>
      <c r="L68" s="31">
        <f>D68-H68</f>
        <v>1690.4299999999989</v>
      </c>
      <c r="M68" s="15"/>
      <c r="N68" s="32">
        <f>IF(H68=0,0,L68/H68)</f>
        <v>-0.60609961169295401</v>
      </c>
      <c r="O68" s="28"/>
      <c r="P68" s="31">
        <f>+P64-P66</f>
        <v>85575.81</v>
      </c>
      <c r="Q68" s="14"/>
      <c r="R68" s="32">
        <f>IF(P$12=0,0,P68/P$12)</f>
        <v>11.706292816651711</v>
      </c>
      <c r="S68" s="14"/>
      <c r="T68" s="31">
        <f>+T64-T66</f>
        <v>-6192.7500000000018</v>
      </c>
      <c r="U68" s="14"/>
      <c r="V68" s="32">
        <f>IF(T$12=0,0,T68/T$12)</f>
        <v>-0.85567604314339984</v>
      </c>
      <c r="W68" s="15"/>
      <c r="X68" s="31">
        <f>P68-T68</f>
        <v>91768.56</v>
      </c>
      <c r="Y68" s="15"/>
      <c r="Z68" s="32">
        <f>IF(T68=0,0,X68/T68)</f>
        <v>-14.818708974203702</v>
      </c>
    </row>
    <row r="69" spans="1:26" ht="15.75" thickTop="1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9" t="s">
        <v>5</v>
      </c>
      <c r="C71" s="29"/>
      <c r="D71" s="34">
        <f>SUM(D68:D70)</f>
        <v>-1098.5999999999999</v>
      </c>
      <c r="E71" s="14"/>
      <c r="F71" s="30">
        <f>IF(D$12=0,0,D71/D$12)</f>
        <v>-0.45576930257256992</v>
      </c>
      <c r="G71" s="14"/>
      <c r="H71" s="34">
        <f>SUM(H68:H70)</f>
        <v>-2789.0299999999988</v>
      </c>
      <c r="I71" s="14"/>
      <c r="J71" s="30">
        <f>IF(H$12=0,0,H71/H$12)</f>
        <v>-1.181692229472078</v>
      </c>
      <c r="K71" s="15"/>
      <c r="L71" s="34">
        <f>+D71-H71</f>
        <v>1690.4299999999989</v>
      </c>
      <c r="M71" s="15"/>
      <c r="N71" s="30">
        <f>IF(H71=0,0,L71/H71)</f>
        <v>-0.60609961169295401</v>
      </c>
      <c r="O71" s="28"/>
      <c r="P71" s="34">
        <f>SUM(P68:P70)</f>
        <v>85575.81</v>
      </c>
      <c r="Q71" s="14"/>
      <c r="R71" s="30">
        <f>IF(P$12=0,0,P71/P$12)</f>
        <v>11.706292816651711</v>
      </c>
      <c r="S71" s="14"/>
      <c r="T71" s="34">
        <f>SUM(T68:T70)</f>
        <v>-6192.7500000000018</v>
      </c>
      <c r="U71" s="14"/>
      <c r="V71" s="30">
        <f>IF(T$12=0,0,T71/T$12)</f>
        <v>-0.85567604314339984</v>
      </c>
      <c r="W71" s="15"/>
      <c r="X71" s="34">
        <f>+P71-T71</f>
        <v>91768.56</v>
      </c>
      <c r="Y71" s="15"/>
      <c r="Z71" s="30">
        <f>IF(T71=0,0,X71/T71)</f>
        <v>-14.818708974203702</v>
      </c>
    </row>
    <row r="72" spans="1:26" ht="15.75" thickTop="1" x14ac:dyDescent="0.25">
      <c r="A72" s="9"/>
      <c r="C72" s="9"/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9">
        <v>43815.491866782409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62" t="s">
        <v>313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61"/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310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160480.32999999993</v>
      </c>
      <c r="E12" s="4"/>
      <c r="F12" s="12"/>
      <c r="G12" s="4"/>
      <c r="H12" s="4">
        <f>SUM(OSRRefH13x_0)</f>
        <v>181067.82000000007</v>
      </c>
      <c r="I12" s="4"/>
      <c r="J12" s="12"/>
      <c r="K12" s="4"/>
      <c r="L12" s="4">
        <f t="shared" ref="L12:L36" si="0">+D12-H12</f>
        <v>-20587.490000000136</v>
      </c>
      <c r="M12" s="4"/>
      <c r="N12" s="12">
        <f t="shared" ref="N12:N36" si="1">IF(H12=0,0,L12/H12)</f>
        <v>-0.11370043556055476</v>
      </c>
      <c r="O12" s="10"/>
      <c r="P12" s="4">
        <f>SUM(OSRRefP13x_0)</f>
        <v>1498885.13</v>
      </c>
      <c r="Q12" s="4"/>
      <c r="R12" s="12"/>
      <c r="S12" s="4"/>
      <c r="T12" s="4">
        <f>SUM(OSRRefT13x_0)</f>
        <v>1363950.2200000002</v>
      </c>
      <c r="U12" s="4"/>
      <c r="V12" s="12"/>
      <c r="W12" s="4"/>
      <c r="X12" s="4">
        <f t="shared" ref="X12:X36" si="2">+P12-T12</f>
        <v>134934.90999999968</v>
      </c>
      <c r="Y12" s="4"/>
      <c r="Z12" s="12">
        <f t="shared" ref="Z12:Z36" si="3">IF(T12=0,0,X12/T12)</f>
        <v>9.892949758826218E-2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--16123.77</f>
        <v>16123.77</v>
      </c>
      <c r="E13" s="2"/>
      <c r="F13" s="19"/>
      <c r="G13" s="2"/>
      <c r="H13" s="2">
        <f>--10597.03</f>
        <v>10597.03</v>
      </c>
      <c r="I13" s="2"/>
      <c r="J13" s="19"/>
      <c r="K13" s="2"/>
      <c r="L13" s="2">
        <f t="shared" si="0"/>
        <v>5526.74</v>
      </c>
      <c r="M13" s="2"/>
      <c r="N13" s="19">
        <f t="shared" si="1"/>
        <v>0.52153669471540609</v>
      </c>
      <c r="O13" s="11"/>
      <c r="P13" s="2">
        <f>--229580.58</f>
        <v>229580.58</v>
      </c>
      <c r="Q13" s="2"/>
      <c r="R13" s="19"/>
      <c r="S13" s="2"/>
      <c r="T13" s="2">
        <f>--174856.95</f>
        <v>174856.95</v>
      </c>
      <c r="U13" s="2"/>
      <c r="V13" s="19"/>
      <c r="W13" s="2"/>
      <c r="X13" s="2">
        <f t="shared" si="2"/>
        <v>54723.629999999976</v>
      </c>
      <c r="Y13" s="2"/>
      <c r="Z13" s="19">
        <f t="shared" si="3"/>
        <v>0.31296228145349653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--134369.21</f>
        <v>134369.21</v>
      </c>
      <c r="E14" s="2"/>
      <c r="F14" s="19"/>
      <c r="G14" s="2"/>
      <c r="H14" s="2">
        <f>--123497.45</f>
        <v>123497.45</v>
      </c>
      <c r="I14" s="2"/>
      <c r="J14" s="19"/>
      <c r="K14" s="2"/>
      <c r="L14" s="2">
        <f t="shared" si="0"/>
        <v>10871.759999999995</v>
      </c>
      <c r="M14" s="2"/>
      <c r="N14" s="19">
        <f t="shared" si="1"/>
        <v>8.8032263014337503E-2</v>
      </c>
      <c r="O14" s="11"/>
      <c r="P14" s="2">
        <f>--1282768.84</f>
        <v>1282768.8400000001</v>
      </c>
      <c r="Q14" s="2"/>
      <c r="R14" s="19"/>
      <c r="S14" s="2"/>
      <c r="T14" s="2">
        <f>--960079.91</f>
        <v>960079.91</v>
      </c>
      <c r="U14" s="2"/>
      <c r="V14" s="19"/>
      <c r="W14" s="2"/>
      <c r="X14" s="2">
        <f t="shared" si="2"/>
        <v>322688.93000000005</v>
      </c>
      <c r="Y14" s="2"/>
      <c r="Z14" s="19">
        <f t="shared" si="3"/>
        <v>0.33610632473290691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--9897.8</f>
        <v>9897.7999999999993</v>
      </c>
      <c r="E15" s="2"/>
      <c r="F15" s="19"/>
      <c r="G15" s="2"/>
      <c r="H15" s="2">
        <f>--15982.42</f>
        <v>15982.42</v>
      </c>
      <c r="I15" s="2"/>
      <c r="J15" s="19"/>
      <c r="K15" s="2"/>
      <c r="L15" s="2">
        <f t="shared" si="0"/>
        <v>-6084.6200000000008</v>
      </c>
      <c r="M15" s="2"/>
      <c r="N15" s="19">
        <f t="shared" si="1"/>
        <v>-0.38070705187324577</v>
      </c>
      <c r="O15" s="11"/>
      <c r="P15" s="2">
        <f>--63504.02</f>
        <v>63504.02</v>
      </c>
      <c r="Q15" s="2"/>
      <c r="R15" s="19"/>
      <c r="S15" s="2"/>
      <c r="T15" s="2">
        <f>--69029.89</f>
        <v>69029.89</v>
      </c>
      <c r="U15" s="2"/>
      <c r="V15" s="19"/>
      <c r="W15" s="2"/>
      <c r="X15" s="2">
        <f t="shared" si="2"/>
        <v>-5525.8700000000026</v>
      </c>
      <c r="Y15" s="2"/>
      <c r="Z15" s="19">
        <f t="shared" si="3"/>
        <v>-8.0050395560531867E-2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 t="shared" ref="D16:D17" si="4">0</f>
        <v>0</v>
      </c>
      <c r="E16" s="2"/>
      <c r="F16" s="19"/>
      <c r="G16" s="2"/>
      <c r="H16" s="2">
        <f>--129</f>
        <v>129</v>
      </c>
      <c r="I16" s="2"/>
      <c r="J16" s="19"/>
      <c r="K16" s="2"/>
      <c r="L16" s="2">
        <f t="shared" si="0"/>
        <v>-129</v>
      </c>
      <c r="M16" s="2"/>
      <c r="N16" s="19">
        <f t="shared" si="1"/>
        <v>-1</v>
      </c>
      <c r="O16" s="11"/>
      <c r="P16" s="2">
        <f>--129</f>
        <v>129</v>
      </c>
      <c r="Q16" s="2"/>
      <c r="R16" s="19"/>
      <c r="S16" s="2"/>
      <c r="T16" s="2">
        <f>--407.99</f>
        <v>407.99</v>
      </c>
      <c r="U16" s="2"/>
      <c r="V16" s="19"/>
      <c r="W16" s="2"/>
      <c r="X16" s="2">
        <f t="shared" si="2"/>
        <v>-278.99</v>
      </c>
      <c r="Y16" s="2"/>
      <c r="Z16" s="19">
        <f t="shared" si="3"/>
        <v>-0.68381577979852448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--836</f>
        <v>836</v>
      </c>
      <c r="I17" s="2"/>
      <c r="J17" s="19"/>
      <c r="K17" s="2"/>
      <c r="L17" s="2">
        <f t="shared" si="0"/>
        <v>-836</v>
      </c>
      <c r="M17" s="2"/>
      <c r="N17" s="19">
        <f t="shared" si="1"/>
        <v>-1</v>
      </c>
      <c r="O17" s="11"/>
      <c r="P17" s="2">
        <f>--4407.94</f>
        <v>4407.9399999999996</v>
      </c>
      <c r="Q17" s="2"/>
      <c r="R17" s="19"/>
      <c r="S17" s="2"/>
      <c r="T17" s="2">
        <f>--9438.84</f>
        <v>9438.84</v>
      </c>
      <c r="U17" s="2"/>
      <c r="V17" s="19"/>
      <c r="W17" s="2"/>
      <c r="X17" s="2">
        <f t="shared" si="2"/>
        <v>-5030.9000000000005</v>
      </c>
      <c r="Y17" s="2"/>
      <c r="Z17" s="19">
        <f t="shared" si="3"/>
        <v>-0.53299981777421812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--3769.61</f>
        <v>3769.61</v>
      </c>
      <c r="E18" s="2"/>
      <c r="F18" s="19"/>
      <c r="G18" s="2"/>
      <c r="H18" s="2">
        <f>--4265.26</f>
        <v>4265.26</v>
      </c>
      <c r="I18" s="2"/>
      <c r="J18" s="19"/>
      <c r="K18" s="2"/>
      <c r="L18" s="2">
        <f t="shared" si="0"/>
        <v>-495.65000000000009</v>
      </c>
      <c r="M18" s="2"/>
      <c r="N18" s="19">
        <f t="shared" si="1"/>
        <v>-0.11620628050810503</v>
      </c>
      <c r="O18" s="11"/>
      <c r="P18" s="2">
        <f>--30367.91</f>
        <v>30367.91</v>
      </c>
      <c r="Q18" s="2"/>
      <c r="R18" s="19"/>
      <c r="S18" s="2"/>
      <c r="T18" s="2">
        <f>--35744.26</f>
        <v>35744.26</v>
      </c>
      <c r="U18" s="2"/>
      <c r="V18" s="19"/>
      <c r="W18" s="2"/>
      <c r="X18" s="2">
        <f t="shared" si="2"/>
        <v>-5376.3500000000022</v>
      </c>
      <c r="Y18" s="2"/>
      <c r="Z18" s="19">
        <f t="shared" si="3"/>
        <v>-0.15041156258375477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--118.97</f>
        <v>118.97</v>
      </c>
      <c r="E19" s="2"/>
      <c r="F19" s="19"/>
      <c r="G19" s="2"/>
      <c r="H19" s="2">
        <f>--365.97</f>
        <v>365.97</v>
      </c>
      <c r="I19" s="2"/>
      <c r="J19" s="19"/>
      <c r="K19" s="2"/>
      <c r="L19" s="2">
        <f t="shared" si="0"/>
        <v>-247.00000000000003</v>
      </c>
      <c r="M19" s="2"/>
      <c r="N19" s="19">
        <f t="shared" si="1"/>
        <v>-0.67491870918381291</v>
      </c>
      <c r="O19" s="11"/>
      <c r="P19" s="2">
        <f>--936.91</f>
        <v>936.91</v>
      </c>
      <c r="Q19" s="2"/>
      <c r="R19" s="19"/>
      <c r="S19" s="2"/>
      <c r="T19" s="2">
        <f>--1279.86</f>
        <v>1279.8599999999999</v>
      </c>
      <c r="U19" s="2"/>
      <c r="V19" s="19"/>
      <c r="W19" s="2"/>
      <c r="X19" s="2">
        <f t="shared" si="2"/>
        <v>-342.94999999999993</v>
      </c>
      <c r="Y19" s="2"/>
      <c r="Z19" s="19">
        <f t="shared" si="3"/>
        <v>-0.26795899551513441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0</f>
        <v>0</v>
      </c>
      <c r="E20" s="2"/>
      <c r="F20" s="19"/>
      <c r="G20" s="2"/>
      <c r="H20" s="2">
        <f>--841.97</f>
        <v>841.97</v>
      </c>
      <c r="I20" s="2"/>
      <c r="J20" s="19"/>
      <c r="K20" s="2"/>
      <c r="L20" s="2">
        <f t="shared" si="0"/>
        <v>-841.97</v>
      </c>
      <c r="M20" s="2"/>
      <c r="N20" s="19">
        <f t="shared" si="1"/>
        <v>-1</v>
      </c>
      <c r="O20" s="11"/>
      <c r="P20" s="2">
        <f>--1462.51</f>
        <v>1462.51</v>
      </c>
      <c r="Q20" s="2"/>
      <c r="R20" s="19"/>
      <c r="S20" s="2"/>
      <c r="T20" s="2">
        <f>--1778.86</f>
        <v>1778.86</v>
      </c>
      <c r="U20" s="2"/>
      <c r="V20" s="19"/>
      <c r="W20" s="2"/>
      <c r="X20" s="2">
        <f t="shared" si="2"/>
        <v>-316.34999999999991</v>
      </c>
      <c r="Y20" s="2"/>
      <c r="Z20" s="19">
        <f t="shared" si="3"/>
        <v>-0.1778386157426666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--5749</f>
        <v>5749</v>
      </c>
      <c r="E21" s="2"/>
      <c r="F21" s="19"/>
      <c r="G21" s="2"/>
      <c r="H21" s="2">
        <f>--29248.97</f>
        <v>29248.97</v>
      </c>
      <c r="I21" s="2"/>
      <c r="J21" s="19"/>
      <c r="K21" s="2"/>
      <c r="L21" s="2">
        <f t="shared" si="0"/>
        <v>-23499.97</v>
      </c>
      <c r="M21" s="2"/>
      <c r="N21" s="19">
        <f t="shared" si="1"/>
        <v>-0.80344607006674085</v>
      </c>
      <c r="O21" s="11"/>
      <c r="P21" s="2">
        <f>--62309</f>
        <v>62309</v>
      </c>
      <c r="Q21" s="2"/>
      <c r="R21" s="19"/>
      <c r="S21" s="2"/>
      <c r="T21" s="2">
        <f>--148812.85</f>
        <v>148812.85</v>
      </c>
      <c r="U21" s="2"/>
      <c r="V21" s="19"/>
      <c r="W21" s="2"/>
      <c r="X21" s="2">
        <f t="shared" si="2"/>
        <v>-86503.85</v>
      </c>
      <c r="Y21" s="2"/>
      <c r="Z21" s="19">
        <f t="shared" si="3"/>
        <v>-0.58129287894156989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--249.96</f>
        <v>249.96</v>
      </c>
      <c r="E22" s="2"/>
      <c r="F22" s="19"/>
      <c r="G22" s="2"/>
      <c r="H22" s="2">
        <f>--457.93</f>
        <v>457.93</v>
      </c>
      <c r="I22" s="2"/>
      <c r="J22" s="19"/>
      <c r="K22" s="2"/>
      <c r="L22" s="2">
        <f t="shared" si="0"/>
        <v>-207.97</v>
      </c>
      <c r="M22" s="2"/>
      <c r="N22" s="19">
        <f t="shared" si="1"/>
        <v>-0.45415238136833141</v>
      </c>
      <c r="O22" s="11"/>
      <c r="P22" s="2">
        <f>--3304.88</f>
        <v>3304.88</v>
      </c>
      <c r="Q22" s="2"/>
      <c r="R22" s="19"/>
      <c r="S22" s="2"/>
      <c r="T22" s="2">
        <f>--4600.75</f>
        <v>4600.75</v>
      </c>
      <c r="U22" s="2"/>
      <c r="V22" s="19"/>
      <c r="W22" s="2"/>
      <c r="X22" s="2">
        <f t="shared" si="2"/>
        <v>-1295.8699999999999</v>
      </c>
      <c r="Y22" s="2"/>
      <c r="Z22" s="19">
        <f t="shared" si="3"/>
        <v>-0.28166494593272834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--1206</f>
        <v>1206</v>
      </c>
      <c r="E23" s="2"/>
      <c r="F23" s="19"/>
      <c r="G23" s="2"/>
      <c r="H23" s="2">
        <f>--258</f>
        <v>258</v>
      </c>
      <c r="I23" s="2"/>
      <c r="J23" s="19"/>
      <c r="K23" s="2"/>
      <c r="L23" s="2">
        <f t="shared" si="0"/>
        <v>948</v>
      </c>
      <c r="M23" s="2"/>
      <c r="N23" s="19">
        <f t="shared" si="1"/>
        <v>3.6744186046511627</v>
      </c>
      <c r="O23" s="11"/>
      <c r="P23" s="2">
        <f>--2728</f>
        <v>2728</v>
      </c>
      <c r="Q23" s="2"/>
      <c r="R23" s="19"/>
      <c r="S23" s="2"/>
      <c r="T23" s="2">
        <f>--357</f>
        <v>357</v>
      </c>
      <c r="U23" s="2"/>
      <c r="V23" s="19"/>
      <c r="W23" s="2"/>
      <c r="X23" s="2">
        <f t="shared" si="2"/>
        <v>2371</v>
      </c>
      <c r="Y23" s="2"/>
      <c r="Z23" s="19">
        <f t="shared" si="3"/>
        <v>6.6414565826330536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--495.98</f>
        <v>495.98</v>
      </c>
      <c r="E24" s="2"/>
      <c r="F24" s="19"/>
      <c r="G24" s="2"/>
      <c r="H24" s="2">
        <f>--256</f>
        <v>256</v>
      </c>
      <c r="I24" s="2"/>
      <c r="J24" s="19"/>
      <c r="K24" s="2"/>
      <c r="L24" s="2">
        <f t="shared" si="0"/>
        <v>239.98000000000002</v>
      </c>
      <c r="M24" s="2"/>
      <c r="N24" s="19">
        <f t="shared" si="1"/>
        <v>0.93742187500000007</v>
      </c>
      <c r="O24" s="11"/>
      <c r="P24" s="2">
        <f>--8963.87</f>
        <v>8963.8700000000008</v>
      </c>
      <c r="Q24" s="2"/>
      <c r="R24" s="19"/>
      <c r="S24" s="2"/>
      <c r="T24" s="2">
        <f>--2649.91</f>
        <v>2649.91</v>
      </c>
      <c r="U24" s="2"/>
      <c r="V24" s="19"/>
      <c r="W24" s="2"/>
      <c r="X24" s="2">
        <f t="shared" si="2"/>
        <v>6313.9600000000009</v>
      </c>
      <c r="Y24" s="2"/>
      <c r="Z24" s="19">
        <f t="shared" si="3"/>
        <v>2.3827073372303214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--49.99</f>
        <v>49.99</v>
      </c>
      <c r="E25" s="2"/>
      <c r="F25" s="19"/>
      <c r="G25" s="2"/>
      <c r="H25" s="2">
        <f>--489.85</f>
        <v>489.85</v>
      </c>
      <c r="I25" s="2"/>
      <c r="J25" s="19"/>
      <c r="K25" s="2"/>
      <c r="L25" s="2">
        <f t="shared" si="0"/>
        <v>-439.86</v>
      </c>
      <c r="M25" s="2"/>
      <c r="N25" s="19">
        <f t="shared" si="1"/>
        <v>-0.89794835153618457</v>
      </c>
      <c r="O25" s="11"/>
      <c r="P25" s="2">
        <f>--1603.37</f>
        <v>1603.37</v>
      </c>
      <c r="Q25" s="2"/>
      <c r="R25" s="19"/>
      <c r="S25" s="2"/>
      <c r="T25" s="2">
        <f>--2914.01</f>
        <v>2914.01</v>
      </c>
      <c r="U25" s="2"/>
      <c r="V25" s="19"/>
      <c r="W25" s="2"/>
      <c r="X25" s="2">
        <f t="shared" si="2"/>
        <v>-1310.6400000000003</v>
      </c>
      <c r="Y25" s="2"/>
      <c r="Z25" s="19">
        <f t="shared" si="3"/>
        <v>-0.44977196372009715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--219.96</f>
        <v>219.96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19.980000000000018</v>
      </c>
      <c r="Y26" s="2"/>
      <c r="Z26" s="19">
        <f t="shared" si="3"/>
        <v>9.9909990999100001E-2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-445.93</f>
        <v>-445.93</v>
      </c>
      <c r="E27" s="2"/>
      <c r="F27" s="19"/>
      <c r="G27" s="2"/>
      <c r="H27" s="2">
        <f>-621.86</f>
        <v>-621.86</v>
      </c>
      <c r="I27" s="2"/>
      <c r="J27" s="19"/>
      <c r="K27" s="2"/>
      <c r="L27" s="2">
        <f t="shared" si="0"/>
        <v>175.93</v>
      </c>
      <c r="M27" s="2"/>
      <c r="N27" s="19">
        <f t="shared" si="1"/>
        <v>-0.28290933650660921</v>
      </c>
      <c r="O27" s="11"/>
      <c r="P27" s="2">
        <f>-5002.08</f>
        <v>-5002.08</v>
      </c>
      <c r="Q27" s="2"/>
      <c r="R27" s="19"/>
      <c r="S27" s="2"/>
      <c r="T27" s="2">
        <f>-4488.03</f>
        <v>-4488.03</v>
      </c>
      <c r="U27" s="2"/>
      <c r="V27" s="19"/>
      <c r="W27" s="2"/>
      <c r="X27" s="2">
        <f t="shared" si="2"/>
        <v>-514.05000000000018</v>
      </c>
      <c r="Y27" s="2"/>
      <c r="Z27" s="19">
        <f t="shared" si="3"/>
        <v>0.11453800442510416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-10339.73</f>
        <v>-10339.73</v>
      </c>
      <c r="E28" s="2"/>
      <c r="F28" s="19"/>
      <c r="G28" s="2"/>
      <c r="H28" s="2">
        <f>-4801.4</f>
        <v>-4801.3999999999996</v>
      </c>
      <c r="I28" s="2"/>
      <c r="J28" s="19"/>
      <c r="K28" s="2"/>
      <c r="L28" s="2">
        <f t="shared" si="0"/>
        <v>-5538.33</v>
      </c>
      <c r="M28" s="2"/>
      <c r="N28" s="19">
        <f t="shared" si="1"/>
        <v>1.1534823176573501</v>
      </c>
      <c r="O28" s="11"/>
      <c r="P28" s="2">
        <f>-180477.59</f>
        <v>-180477.59</v>
      </c>
      <c r="Q28" s="2"/>
      <c r="R28" s="19"/>
      <c r="S28" s="2"/>
      <c r="T28" s="2">
        <f>-37576.67</f>
        <v>-37576.67</v>
      </c>
      <c r="U28" s="2"/>
      <c r="V28" s="19"/>
      <c r="W28" s="2"/>
      <c r="X28" s="2">
        <f t="shared" si="2"/>
        <v>-142900.91999999998</v>
      </c>
      <c r="Y28" s="2"/>
      <c r="Z28" s="19">
        <f t="shared" si="3"/>
        <v>3.8029160114507219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-423.91</f>
        <v>-423.91</v>
      </c>
      <c r="E29" s="2"/>
      <c r="F29" s="19"/>
      <c r="G29" s="2"/>
      <c r="H29" s="2">
        <f>-403.71</f>
        <v>-403.71</v>
      </c>
      <c r="I29" s="2"/>
      <c r="J29" s="19"/>
      <c r="K29" s="2"/>
      <c r="L29" s="2">
        <f t="shared" si="0"/>
        <v>-20.200000000000045</v>
      </c>
      <c r="M29" s="2"/>
      <c r="N29" s="19">
        <f t="shared" si="1"/>
        <v>5.0035916871021394E-2</v>
      </c>
      <c r="O29" s="11"/>
      <c r="P29" s="2">
        <f>-2956.24</f>
        <v>-2956.24</v>
      </c>
      <c r="Q29" s="2"/>
      <c r="R29" s="19"/>
      <c r="S29" s="2"/>
      <c r="T29" s="2">
        <f>-3608.53</f>
        <v>-3608.53</v>
      </c>
      <c r="U29" s="2"/>
      <c r="V29" s="19"/>
      <c r="W29" s="2"/>
      <c r="X29" s="2">
        <f t="shared" si="2"/>
        <v>652.29000000000042</v>
      </c>
      <c r="Y29" s="2"/>
      <c r="Z29" s="19">
        <f t="shared" si="3"/>
        <v>-0.1807633579324546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 t="shared" ref="D30:D31" si="5">0</f>
        <v>0</v>
      </c>
      <c r="E30" s="2"/>
      <c r="F30" s="19"/>
      <c r="G30" s="2"/>
      <c r="H30" s="2">
        <f t="shared" ref="H30:H31" si="6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 t="shared" ref="T30:T31" si="7"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 t="shared" si="5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-655.98</f>
        <v>-655.98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-655.98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-340.39</f>
        <v>-340.39</v>
      </c>
      <c r="E32" s="2"/>
      <c r="F32" s="19"/>
      <c r="G32" s="2"/>
      <c r="H32" s="2">
        <f>-331.06</f>
        <v>-331.06</v>
      </c>
      <c r="I32" s="2"/>
      <c r="J32" s="19"/>
      <c r="K32" s="2"/>
      <c r="L32" s="2">
        <f t="shared" si="0"/>
        <v>-9.3299999999999841</v>
      </c>
      <c r="M32" s="2"/>
      <c r="N32" s="19">
        <f t="shared" si="1"/>
        <v>2.8182202621881182E-2</v>
      </c>
      <c r="O32" s="11"/>
      <c r="P32" s="2">
        <f>-2791.99</f>
        <v>-2791.99</v>
      </c>
      <c r="Q32" s="2"/>
      <c r="R32" s="19"/>
      <c r="S32" s="2"/>
      <c r="T32" s="2">
        <f>-2513.62</f>
        <v>-2513.62</v>
      </c>
      <c r="U32" s="2"/>
      <c r="V32" s="19"/>
      <c r="W32" s="2"/>
      <c r="X32" s="2">
        <f t="shared" si="2"/>
        <v>-278.36999999999989</v>
      </c>
      <c r="Y32" s="2"/>
      <c r="Z32" s="19">
        <f t="shared" si="3"/>
        <v>0.11074466307556428</v>
      </c>
    </row>
    <row r="33" spans="1:26" s="24" customFormat="1" hidden="1" outlineLevel="1" x14ac:dyDescent="0.2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 t="shared" ref="D33:D36" si="8">0</f>
        <v>0</v>
      </c>
      <c r="E33" s="2"/>
      <c r="F33" s="19"/>
      <c r="G33" s="2"/>
      <c r="H33" s="2">
        <f t="shared" ref="H33:H36" si="9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-3.99</f>
        <v>-3.99</v>
      </c>
      <c r="Q33" s="2"/>
      <c r="R33" s="19"/>
      <c r="S33" s="2"/>
      <c r="T33" s="2">
        <f t="shared" ref="T33:T34" si="10">0</f>
        <v>0</v>
      </c>
      <c r="U33" s="2"/>
      <c r="V33" s="19"/>
      <c r="W33" s="2"/>
      <c r="X33" s="2">
        <f t="shared" si="2"/>
        <v>-3.99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 t="shared" si="8"/>
        <v>0</v>
      </c>
      <c r="E34" s="2"/>
      <c r="F34" s="19"/>
      <c r="G34" s="2"/>
      <c r="H34" s="2">
        <f t="shared" si="9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-1279.84</f>
        <v>-1279.8399999999999</v>
      </c>
      <c r="Q34" s="2"/>
      <c r="R34" s="19"/>
      <c r="S34" s="2"/>
      <c r="T34" s="2">
        <f t="shared" si="10"/>
        <v>0</v>
      </c>
      <c r="U34" s="2"/>
      <c r="V34" s="19"/>
      <c r="W34" s="2"/>
      <c r="X34" s="2">
        <f t="shared" si="2"/>
        <v>-1279.8399999999999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si="8"/>
        <v>0</v>
      </c>
      <c r="E35" s="2"/>
      <c r="F35" s="19"/>
      <c r="G35" s="2"/>
      <c r="H35" s="2">
        <f t="shared" si="9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-49.98</f>
        <v>-49.98</v>
      </c>
      <c r="Q35" s="2"/>
      <c r="R35" s="19"/>
      <c r="S35" s="2"/>
      <c r="T35" s="2">
        <f>-13.99</f>
        <v>-13.99</v>
      </c>
      <c r="U35" s="2"/>
      <c r="V35" s="19"/>
      <c r="W35" s="2"/>
      <c r="X35" s="2">
        <f t="shared" si="2"/>
        <v>-35.989999999999995</v>
      </c>
      <c r="Y35" s="2"/>
      <c r="Z35" s="19">
        <f t="shared" si="3"/>
        <v>2.5725518227305213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8"/>
        <v>0</v>
      </c>
      <c r="E36" s="2"/>
      <c r="F36" s="19"/>
      <c r="G36" s="2"/>
      <c r="H36" s="2">
        <f t="shared" si="9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-54.97</f>
        <v>-54.97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-54.97</v>
      </c>
      <c r="Y36" s="2"/>
      <c r="Z36" s="19">
        <f t="shared" si="3"/>
        <v>0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8" t="s">
        <v>8</v>
      </c>
      <c r="C38" s="10"/>
      <c r="D38" s="4">
        <f>SUM(OSRRefD16x_0)</f>
        <v>136420.06</v>
      </c>
      <c r="E38" s="4"/>
      <c r="F38" s="12">
        <f t="shared" ref="F38:F52" si="11">IF(D$12=0,0,D38/D$12)</f>
        <v>0.85007340151905253</v>
      </c>
      <c r="G38" s="4"/>
      <c r="H38" s="4">
        <f>SUM(OSRRefH16x_0)</f>
        <v>151120.79</v>
      </c>
      <c r="I38" s="4"/>
      <c r="J38" s="12">
        <f t="shared" ref="J38:J52" si="12">IF(H$12=0,0,H38/H$12)</f>
        <v>0.83460876703546749</v>
      </c>
      <c r="K38" s="4"/>
      <c r="L38" s="4">
        <f t="shared" ref="L38:L52" si="13">+D38-H38</f>
        <v>-14700.73000000001</v>
      </c>
      <c r="M38" s="4"/>
      <c r="N38" s="12">
        <f t="shared" ref="N38:N52" si="14">IF(H38=0,0,L38/H38)</f>
        <v>-9.7278011847344165E-2</v>
      </c>
      <c r="O38" s="10"/>
      <c r="P38" s="4">
        <f>SUM(OSRRefP16x_0)</f>
        <v>1336501.0599999998</v>
      </c>
      <c r="Q38" s="4"/>
      <c r="R38" s="12">
        <f t="shared" ref="R38:R52" si="15">IF(P$12=0,0,P38/P$12)</f>
        <v>0.89166343254069103</v>
      </c>
      <c r="S38" s="4"/>
      <c r="T38" s="4">
        <f>SUM(OSRRefT16x_0)</f>
        <v>1163174.1399999999</v>
      </c>
      <c r="U38" s="4"/>
      <c r="V38" s="12">
        <f t="shared" ref="V38:V52" si="16">IF(T$12=0,0,T38/T$12)</f>
        <v>0.85279808818829161</v>
      </c>
      <c r="W38" s="4"/>
      <c r="X38" s="4">
        <f t="shared" ref="X38:X52" si="17">+P38-T38</f>
        <v>173326.91999999993</v>
      </c>
      <c r="Y38" s="4"/>
      <c r="Z38" s="12">
        <f t="shared" ref="Z38:Z52" si="18">IF(T38=0,0,X38/T38)</f>
        <v>0.14901201293900837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16634.11</v>
      </c>
      <c r="E39" s="2"/>
      <c r="F39" s="19">
        <f t="shared" si="11"/>
        <v>0.10365201766471946</v>
      </c>
      <c r="G39" s="2"/>
      <c r="H39" s="2">
        <v>14442.18</v>
      </c>
      <c r="I39" s="2"/>
      <c r="J39" s="19">
        <f t="shared" si="12"/>
        <v>7.9761163524252929E-2</v>
      </c>
      <c r="K39" s="2"/>
      <c r="L39" s="2">
        <f t="shared" si="13"/>
        <v>2191.9300000000003</v>
      </c>
      <c r="M39" s="2"/>
      <c r="N39" s="19">
        <f t="shared" si="14"/>
        <v>0.15177279330405799</v>
      </c>
      <c r="O39" s="11"/>
      <c r="P39" s="2">
        <v>184807.73</v>
      </c>
      <c r="Q39" s="2"/>
      <c r="R39" s="19">
        <f t="shared" si="15"/>
        <v>0.12329679326393746</v>
      </c>
      <c r="S39" s="2"/>
      <c r="T39" s="2">
        <v>159041.77000000002</v>
      </c>
      <c r="U39" s="2"/>
      <c r="V39" s="19">
        <f t="shared" si="16"/>
        <v>0.11660379364871541</v>
      </c>
      <c r="W39" s="2"/>
      <c r="X39" s="2">
        <f t="shared" si="17"/>
        <v>25765.959999999992</v>
      </c>
      <c r="Y39" s="2"/>
      <c r="Z39" s="19">
        <f t="shared" si="18"/>
        <v>0.16200750280885323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62712.56</v>
      </c>
      <c r="E40" s="2"/>
      <c r="F40" s="19">
        <f t="shared" si="11"/>
        <v>0.39078035295665225</v>
      </c>
      <c r="G40" s="2"/>
      <c r="H40" s="2">
        <v>224355.15</v>
      </c>
      <c r="I40" s="2"/>
      <c r="J40" s="19">
        <f t="shared" si="12"/>
        <v>1.2390669418784626</v>
      </c>
      <c r="K40" s="2"/>
      <c r="L40" s="2">
        <f t="shared" si="13"/>
        <v>-161642.59</v>
      </c>
      <c r="M40" s="2"/>
      <c r="N40" s="19">
        <f t="shared" si="14"/>
        <v>-0.72047639646337513</v>
      </c>
      <c r="O40" s="11"/>
      <c r="P40" s="2">
        <v>958350.26</v>
      </c>
      <c r="Q40" s="2"/>
      <c r="R40" s="19">
        <f t="shared" si="15"/>
        <v>0.63937538695843898</v>
      </c>
      <c r="S40" s="2"/>
      <c r="T40" s="2">
        <v>859164.56</v>
      </c>
      <c r="U40" s="2"/>
      <c r="V40" s="19">
        <f t="shared" si="16"/>
        <v>0.62990902996445131</v>
      </c>
      <c r="W40" s="2"/>
      <c r="X40" s="2">
        <f t="shared" si="17"/>
        <v>99185.699999999953</v>
      </c>
      <c r="Y40" s="2"/>
      <c r="Z40" s="19">
        <f t="shared" si="18"/>
        <v>0.11544435678305906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7127.48</v>
      </c>
      <c r="E41" s="2"/>
      <c r="F41" s="19">
        <f t="shared" si="11"/>
        <v>4.4413418142896406E-2</v>
      </c>
      <c r="G41" s="2"/>
      <c r="H41" s="2">
        <v>12912.13</v>
      </c>
      <c r="I41" s="2"/>
      <c r="J41" s="19">
        <f t="shared" si="12"/>
        <v>7.1311014845155785E-2</v>
      </c>
      <c r="K41" s="2"/>
      <c r="L41" s="2">
        <f t="shared" si="13"/>
        <v>-5784.65</v>
      </c>
      <c r="M41" s="2"/>
      <c r="N41" s="19">
        <f t="shared" si="14"/>
        <v>-0.44800122055772362</v>
      </c>
      <c r="O41" s="11"/>
      <c r="P41" s="2">
        <v>48936.17</v>
      </c>
      <c r="Q41" s="2"/>
      <c r="R41" s="19">
        <f t="shared" si="15"/>
        <v>3.2648379132295485E-2</v>
      </c>
      <c r="S41" s="2"/>
      <c r="T41" s="2">
        <v>56966.65</v>
      </c>
      <c r="U41" s="2"/>
      <c r="V41" s="19">
        <f t="shared" si="16"/>
        <v>4.1765930431097401E-2</v>
      </c>
      <c r="W41" s="2"/>
      <c r="X41" s="2">
        <f t="shared" si="17"/>
        <v>-8030.4800000000032</v>
      </c>
      <c r="Y41" s="2"/>
      <c r="Z41" s="19">
        <f t="shared" si="18"/>
        <v>-0.14096809273495989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11"/>
        <v>0</v>
      </c>
      <c r="G42" s="2"/>
      <c r="H42" s="2">
        <v>445</v>
      </c>
      <c r="I42" s="2"/>
      <c r="J42" s="19">
        <f t="shared" si="12"/>
        <v>2.4576426667090806E-3</v>
      </c>
      <c r="K42" s="2"/>
      <c r="L42" s="2">
        <f t="shared" si="13"/>
        <v>-445</v>
      </c>
      <c r="M42" s="2"/>
      <c r="N42" s="19">
        <f t="shared" si="14"/>
        <v>-1</v>
      </c>
      <c r="O42" s="11"/>
      <c r="P42" s="2">
        <v>2728</v>
      </c>
      <c r="Q42" s="2"/>
      <c r="R42" s="19">
        <f t="shared" si="15"/>
        <v>1.8200193900115617E-3</v>
      </c>
      <c r="S42" s="2"/>
      <c r="T42" s="2">
        <v>673</v>
      </c>
      <c r="U42" s="2"/>
      <c r="V42" s="19">
        <f t="shared" si="16"/>
        <v>4.934197671818257E-4</v>
      </c>
      <c r="W42" s="2"/>
      <c r="X42" s="2">
        <f t="shared" si="17"/>
        <v>2055</v>
      </c>
      <c r="Y42" s="2"/>
      <c r="Z42" s="19">
        <f t="shared" si="18"/>
        <v>3.0534918276374441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148.36000000000001</v>
      </c>
      <c r="E43" s="2"/>
      <c r="F43" s="19">
        <f t="shared" si="11"/>
        <v>9.2447466926320551E-4</v>
      </c>
      <c r="G43" s="2"/>
      <c r="H43" s="2"/>
      <c r="I43" s="2"/>
      <c r="J43" s="19">
        <f t="shared" si="12"/>
        <v>0</v>
      </c>
      <c r="K43" s="2"/>
      <c r="L43" s="2">
        <f t="shared" si="13"/>
        <v>148.36000000000001</v>
      </c>
      <c r="M43" s="2"/>
      <c r="N43" s="19">
        <f t="shared" si="14"/>
        <v>0</v>
      </c>
      <c r="O43" s="11"/>
      <c r="P43" s="2">
        <v>7080.4</v>
      </c>
      <c r="Q43" s="2"/>
      <c r="R43" s="19">
        <f t="shared" si="15"/>
        <v>4.723777598620916E-3</v>
      </c>
      <c r="S43" s="2"/>
      <c r="T43" s="2">
        <v>6563.47</v>
      </c>
      <c r="U43" s="2"/>
      <c r="V43" s="19">
        <f t="shared" si="16"/>
        <v>4.8121037731127751E-3</v>
      </c>
      <c r="W43" s="2"/>
      <c r="X43" s="2">
        <f t="shared" si="17"/>
        <v>516.92999999999938</v>
      </c>
      <c r="Y43" s="2"/>
      <c r="Z43" s="19">
        <f t="shared" si="18"/>
        <v>7.8758644436555572E-2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826.55</v>
      </c>
      <c r="E44" s="2"/>
      <c r="F44" s="19">
        <f t="shared" si="11"/>
        <v>5.1504754507920086E-3</v>
      </c>
      <c r="G44" s="2"/>
      <c r="H44" s="2">
        <v>1315.2</v>
      </c>
      <c r="I44" s="2"/>
      <c r="J44" s="19">
        <f t="shared" si="12"/>
        <v>7.263576708439962E-3</v>
      </c>
      <c r="K44" s="2"/>
      <c r="L44" s="2">
        <f t="shared" si="13"/>
        <v>-488.65000000000009</v>
      </c>
      <c r="M44" s="2"/>
      <c r="N44" s="19">
        <f t="shared" si="14"/>
        <v>-0.37154045012165454</v>
      </c>
      <c r="O44" s="11"/>
      <c r="P44" s="2">
        <v>19194.649999999998</v>
      </c>
      <c r="Q44" s="2"/>
      <c r="R44" s="19">
        <f t="shared" si="15"/>
        <v>1.280595131396093E-2</v>
      </c>
      <c r="S44" s="2"/>
      <c r="T44" s="2">
        <v>18538.14</v>
      </c>
      <c r="U44" s="2"/>
      <c r="V44" s="19">
        <f t="shared" si="16"/>
        <v>1.3591507760451841E-2</v>
      </c>
      <c r="W44" s="2"/>
      <c r="X44" s="2">
        <f t="shared" si="17"/>
        <v>656.5099999999984</v>
      </c>
      <c r="Y44" s="2"/>
      <c r="Z44" s="19">
        <f t="shared" si="18"/>
        <v>3.5414016724439369E-2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11"/>
        <v>0</v>
      </c>
      <c r="G45" s="2"/>
      <c r="H45" s="2"/>
      <c r="I45" s="2"/>
      <c r="J45" s="19">
        <f t="shared" si="12"/>
        <v>0</v>
      </c>
      <c r="K45" s="2"/>
      <c r="L45" s="2">
        <f t="shared" si="13"/>
        <v>0</v>
      </c>
      <c r="M45" s="2"/>
      <c r="N45" s="19">
        <f t="shared" si="14"/>
        <v>0</v>
      </c>
      <c r="O45" s="11"/>
      <c r="P45" s="2">
        <v>88.75</v>
      </c>
      <c r="Q45" s="2"/>
      <c r="R45" s="19">
        <f t="shared" si="15"/>
        <v>5.921067480334534E-5</v>
      </c>
      <c r="S45" s="2"/>
      <c r="T45" s="2">
        <v>0</v>
      </c>
      <c r="U45" s="2"/>
      <c r="V45" s="19">
        <f t="shared" si="16"/>
        <v>0</v>
      </c>
      <c r="W45" s="2"/>
      <c r="X45" s="2">
        <f t="shared" si="17"/>
        <v>88.75</v>
      </c>
      <c r="Y45" s="2"/>
      <c r="Z45" s="19">
        <f t="shared" si="18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-87449</v>
      </c>
      <c r="E46" s="2"/>
      <c r="F46" s="19">
        <f t="shared" si="11"/>
        <v>-0.54492036500672725</v>
      </c>
      <c r="G46" s="2"/>
      <c r="H46" s="2">
        <v>-253482.99999999997</v>
      </c>
      <c r="I46" s="2"/>
      <c r="J46" s="19">
        <f t="shared" si="12"/>
        <v>-1.3999340136750964</v>
      </c>
      <c r="K46" s="2"/>
      <c r="L46" s="2">
        <f t="shared" si="13"/>
        <v>166033.99999999997</v>
      </c>
      <c r="M46" s="2"/>
      <c r="N46" s="19">
        <f t="shared" si="14"/>
        <v>-0.65501039517442983</v>
      </c>
      <c r="O46" s="11"/>
      <c r="P46" s="2">
        <v>-1221498</v>
      </c>
      <c r="Q46" s="2"/>
      <c r="R46" s="19">
        <f t="shared" si="15"/>
        <v>-0.81493769972886454</v>
      </c>
      <c r="S46" s="2"/>
      <c r="T46" s="2">
        <v>-1101117</v>
      </c>
      <c r="U46" s="2"/>
      <c r="V46" s="19">
        <f t="shared" si="16"/>
        <v>-0.80729999075772707</v>
      </c>
      <c r="W46" s="2"/>
      <c r="X46" s="2">
        <f t="shared" si="17"/>
        <v>-120381</v>
      </c>
      <c r="Y46" s="2"/>
      <c r="Z46" s="19">
        <f t="shared" si="18"/>
        <v>0.10932625688278358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136420</v>
      </c>
      <c r="E47" s="2"/>
      <c r="F47" s="19">
        <f t="shared" si="11"/>
        <v>0.85007302764145654</v>
      </c>
      <c r="G47" s="2"/>
      <c r="H47" s="2">
        <v>151106</v>
      </c>
      <c r="I47" s="2"/>
      <c r="J47" s="19">
        <f t="shared" si="12"/>
        <v>0.83452708493425254</v>
      </c>
      <c r="K47" s="2"/>
      <c r="L47" s="2">
        <f t="shared" si="13"/>
        <v>-14686</v>
      </c>
      <c r="M47" s="2"/>
      <c r="N47" s="19">
        <f t="shared" si="14"/>
        <v>-9.7190052016465259E-2</v>
      </c>
      <c r="O47" s="11"/>
      <c r="P47" s="2">
        <v>1336499</v>
      </c>
      <c r="Q47" s="2"/>
      <c r="R47" s="19">
        <f t="shared" si="15"/>
        <v>0.89166205818587319</v>
      </c>
      <c r="S47" s="2"/>
      <c r="T47" s="2">
        <v>1163161</v>
      </c>
      <c r="U47" s="2"/>
      <c r="V47" s="19">
        <f t="shared" si="16"/>
        <v>0.8527884544056159</v>
      </c>
      <c r="W47" s="2"/>
      <c r="X47" s="2">
        <f t="shared" si="17"/>
        <v>173338</v>
      </c>
      <c r="Y47" s="2"/>
      <c r="Z47" s="19">
        <f t="shared" si="18"/>
        <v>0.14902322206470128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11"/>
        <v>0</v>
      </c>
      <c r="G48" s="2"/>
      <c r="H48" s="2">
        <v>14.08</v>
      </c>
      <c r="I48" s="2"/>
      <c r="J48" s="19">
        <f t="shared" si="12"/>
        <v>7.7760918533177213E-5</v>
      </c>
      <c r="K48" s="2"/>
      <c r="L48" s="2">
        <f t="shared" si="13"/>
        <v>-14.08</v>
      </c>
      <c r="M48" s="2"/>
      <c r="N48" s="19">
        <f t="shared" si="14"/>
        <v>-1</v>
      </c>
      <c r="O48" s="11"/>
      <c r="P48" s="2"/>
      <c r="Q48" s="2"/>
      <c r="R48" s="19">
        <f t="shared" si="15"/>
        <v>0</v>
      </c>
      <c r="S48" s="2"/>
      <c r="T48" s="2">
        <v>14.08</v>
      </c>
      <c r="U48" s="2"/>
      <c r="V48" s="19">
        <f t="shared" si="16"/>
        <v>1.0322957387697036E-5</v>
      </c>
      <c r="W48" s="2"/>
      <c r="X48" s="2">
        <f t="shared" si="17"/>
        <v>-14.08</v>
      </c>
      <c r="Y48" s="2"/>
      <c r="Z48" s="19">
        <f t="shared" si="18"/>
        <v>-1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11"/>
        <v>0</v>
      </c>
      <c r="G49" s="2"/>
      <c r="H49" s="2"/>
      <c r="I49" s="2"/>
      <c r="J49" s="19">
        <f t="shared" si="12"/>
        <v>0</v>
      </c>
      <c r="K49" s="2"/>
      <c r="L49" s="2">
        <f t="shared" si="13"/>
        <v>0</v>
      </c>
      <c r="M49" s="2"/>
      <c r="N49" s="19">
        <f t="shared" si="14"/>
        <v>0</v>
      </c>
      <c r="O49" s="11"/>
      <c r="P49" s="2">
        <v>105.75</v>
      </c>
      <c r="Q49" s="2"/>
      <c r="R49" s="19">
        <f t="shared" si="15"/>
        <v>7.0552437864267832E-5</v>
      </c>
      <c r="S49" s="2"/>
      <c r="T49" s="2"/>
      <c r="U49" s="2"/>
      <c r="V49" s="19">
        <f t="shared" si="16"/>
        <v>0</v>
      </c>
      <c r="W49" s="2"/>
      <c r="X49" s="2">
        <f t="shared" si="17"/>
        <v>105.75</v>
      </c>
      <c r="Y49" s="2"/>
      <c r="Z49" s="19">
        <f t="shared" si="18"/>
        <v>0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11"/>
        <v>0</v>
      </c>
      <c r="G50" s="2"/>
      <c r="H50" s="2"/>
      <c r="I50" s="2"/>
      <c r="J50" s="19">
        <f t="shared" si="12"/>
        <v>0</v>
      </c>
      <c r="K50" s="2"/>
      <c r="L50" s="2">
        <f t="shared" si="13"/>
        <v>0</v>
      </c>
      <c r="M50" s="2"/>
      <c r="N50" s="19">
        <f t="shared" si="14"/>
        <v>0</v>
      </c>
      <c r="O50" s="11"/>
      <c r="P50" s="2">
        <v>4.84</v>
      </c>
      <c r="Q50" s="2"/>
      <c r="R50" s="19">
        <f t="shared" si="15"/>
        <v>3.2290666596979319E-6</v>
      </c>
      <c r="S50" s="2"/>
      <c r="T50" s="2"/>
      <c r="U50" s="2"/>
      <c r="V50" s="19">
        <f t="shared" si="16"/>
        <v>0</v>
      </c>
      <c r="W50" s="2"/>
      <c r="X50" s="2">
        <f t="shared" si="17"/>
        <v>4.84</v>
      </c>
      <c r="Y50" s="2"/>
      <c r="Z50" s="19">
        <f t="shared" si="18"/>
        <v>0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/>
      <c r="E51" s="2"/>
      <c r="F51" s="19">
        <f t="shared" si="11"/>
        <v>0</v>
      </c>
      <c r="G51" s="2"/>
      <c r="H51" s="2"/>
      <c r="I51" s="2"/>
      <c r="J51" s="19">
        <f t="shared" si="12"/>
        <v>0</v>
      </c>
      <c r="K51" s="2"/>
      <c r="L51" s="2">
        <f t="shared" si="13"/>
        <v>0</v>
      </c>
      <c r="M51" s="2"/>
      <c r="N51" s="19">
        <f t="shared" si="14"/>
        <v>0</v>
      </c>
      <c r="O51" s="11"/>
      <c r="P51" s="2">
        <v>41</v>
      </c>
      <c r="Q51" s="2"/>
      <c r="R51" s="19">
        <f t="shared" si="15"/>
        <v>2.735366385281306E-5</v>
      </c>
      <c r="S51" s="2"/>
      <c r="T51" s="2">
        <v>22.9</v>
      </c>
      <c r="U51" s="2"/>
      <c r="V51" s="19">
        <f t="shared" si="16"/>
        <v>1.6789469046751571E-5</v>
      </c>
      <c r="W51" s="2"/>
      <c r="X51" s="2">
        <f t="shared" si="17"/>
        <v>18.100000000000001</v>
      </c>
      <c r="Y51" s="2"/>
      <c r="Z51" s="19">
        <f t="shared" si="18"/>
        <v>0.79039301310043675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/>
      <c r="E52" s="2"/>
      <c r="F52" s="19">
        <f t="shared" si="11"/>
        <v>0</v>
      </c>
      <c r="G52" s="2"/>
      <c r="H52" s="2">
        <v>14.05</v>
      </c>
      <c r="I52" s="2"/>
      <c r="J52" s="19">
        <f t="shared" si="12"/>
        <v>7.7595234757893455E-5</v>
      </c>
      <c r="K52" s="2"/>
      <c r="L52" s="2">
        <f t="shared" si="13"/>
        <v>-14.05</v>
      </c>
      <c r="M52" s="2"/>
      <c r="N52" s="19">
        <f t="shared" si="14"/>
        <v>-1</v>
      </c>
      <c r="O52" s="11"/>
      <c r="P52" s="2">
        <v>162.51</v>
      </c>
      <c r="Q52" s="2"/>
      <c r="R52" s="19">
        <f t="shared" si="15"/>
        <v>1.0842058323708902E-4</v>
      </c>
      <c r="S52" s="2"/>
      <c r="T52" s="2">
        <v>145.57</v>
      </c>
      <c r="U52" s="2"/>
      <c r="V52" s="19">
        <f t="shared" si="16"/>
        <v>1.0672676895788761E-4</v>
      </c>
      <c r="W52" s="2"/>
      <c r="X52" s="2">
        <f t="shared" si="17"/>
        <v>16.939999999999998</v>
      </c>
      <c r="Y52" s="2"/>
      <c r="Z52" s="19">
        <f t="shared" si="18"/>
        <v>0.11637013120835336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1">
        <f>D12-D38</f>
        <v>24060.269999999931</v>
      </c>
      <c r="E54" s="14"/>
      <c r="F54" s="20">
        <f>IF(D$12=0,0,D54/D$12)</f>
        <v>0.14992659848094742</v>
      </c>
      <c r="G54" s="14"/>
      <c r="H54" s="21">
        <f>H12-H38</f>
        <v>29947.030000000057</v>
      </c>
      <c r="I54" s="14"/>
      <c r="J54" s="20">
        <f>IF(H$12=0,0,H54/H$12)</f>
        <v>0.16539123296453256</v>
      </c>
      <c r="K54" s="15"/>
      <c r="L54" s="21">
        <f>+D54-H54</f>
        <v>-5886.7600000001257</v>
      </c>
      <c r="M54" s="15"/>
      <c r="N54" s="20">
        <f>IF(H54=0,0,L54/H54)</f>
        <v>-0.19657241469354772</v>
      </c>
      <c r="O54" s="28"/>
      <c r="P54" s="21">
        <f>P12-P38</f>
        <v>162384.07000000007</v>
      </c>
      <c r="Q54" s="14"/>
      <c r="R54" s="20">
        <f>IF(P$12=0,0,P54/P$12)</f>
        <v>0.10833656745930896</v>
      </c>
      <c r="S54" s="14"/>
      <c r="T54" s="21">
        <f>T12-T38</f>
        <v>200776.08000000031</v>
      </c>
      <c r="U54" s="14"/>
      <c r="V54" s="20">
        <f>IF(T$12=0,0,T54/T$12)</f>
        <v>0.14720191181170841</v>
      </c>
      <c r="W54" s="15"/>
      <c r="X54" s="21">
        <f>+P54-T54</f>
        <v>-38392.010000000242</v>
      </c>
      <c r="Y54" s="15"/>
      <c r="Z54" s="20">
        <f>IF(T54=0,0,X54/T54)</f>
        <v>-0.19121804748852644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2">
        <f>SUM(OSRRefD22x_0)</f>
        <v>-4593.2599999999984</v>
      </c>
      <c r="E56" s="22"/>
      <c r="F56" s="33">
        <f t="shared" ref="F56:F66" si="19">IF(D$12=0,0,D56/D$12)</f>
        <v>-2.8621950116877255E-2</v>
      </c>
      <c r="G56" s="22"/>
      <c r="H56" s="22">
        <f>SUM(OSRRefH22x_0)</f>
        <v>24820.87</v>
      </c>
      <c r="I56" s="22"/>
      <c r="J56" s="33">
        <f t="shared" ref="J56:J66" si="20">IF(H$12=0,0,H56/H$12)</f>
        <v>0.13708051491424589</v>
      </c>
      <c r="K56" s="4"/>
      <c r="L56" s="22">
        <f t="shared" ref="L56:L66" si="21">+D56-H56</f>
        <v>-29414.129999999997</v>
      </c>
      <c r="M56" s="4"/>
      <c r="N56" s="33">
        <f t="shared" ref="N56:N66" si="22">IF(H56=0,0,L56/H56)</f>
        <v>-1.1850563658727513</v>
      </c>
      <c r="O56" s="10"/>
      <c r="P56" s="22">
        <f>SUM(OSRRefP22x_0)</f>
        <v>115125.59</v>
      </c>
      <c r="Q56" s="22"/>
      <c r="R56" s="33">
        <f t="shared" ref="R56:R66" si="23">IF(P$12=0,0,P56/P$12)</f>
        <v>7.6807480236994546E-2</v>
      </c>
      <c r="S56" s="22"/>
      <c r="T56" s="22">
        <f>SUM(OSRRefT22x_0)</f>
        <v>158676.31999999998</v>
      </c>
      <c r="U56" s="22"/>
      <c r="V56" s="33">
        <f t="shared" ref="V56:V66" si="24">IF(T$12=0,0,T56/T$12)</f>
        <v>0.1163358586503252</v>
      </c>
      <c r="W56" s="4"/>
      <c r="X56" s="22">
        <f t="shared" ref="X56:X66" si="25">+P56-T56</f>
        <v>-43550.729999999981</v>
      </c>
      <c r="Y56" s="4"/>
      <c r="Z56" s="33">
        <f t="shared" ref="Z56:Z66" si="26">IF(T56=0,0,X56/T56)</f>
        <v>-0.27446269235384324</v>
      </c>
    </row>
    <row r="57" spans="1:26" s="25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2953.7200000000003</v>
      </c>
      <c r="E57" s="1"/>
      <c r="F57" s="5">
        <f t="shared" si="19"/>
        <v>1.8405495552009404E-2</v>
      </c>
      <c r="G57" s="1"/>
      <c r="H57" s="1">
        <f>SUM(OSRRefH22_0x_0)</f>
        <v>2047.3200000000002</v>
      </c>
      <c r="I57" s="1"/>
      <c r="J57" s="5">
        <f t="shared" si="20"/>
        <v>1.13069235604648E-2</v>
      </c>
      <c r="K57" s="1"/>
      <c r="L57" s="1">
        <f t="shared" si="21"/>
        <v>906.40000000000009</v>
      </c>
      <c r="M57" s="1"/>
      <c r="N57" s="5">
        <f t="shared" si="22"/>
        <v>0.44272512357618743</v>
      </c>
      <c r="O57" s="13"/>
      <c r="P57" s="1">
        <f>SUM(OSRRefP22_0x_0)</f>
        <v>15230</v>
      </c>
      <c r="Q57" s="1"/>
      <c r="R57" s="5">
        <f t="shared" si="23"/>
        <v>1.0160885377520558E-2</v>
      </c>
      <c r="S57" s="1"/>
      <c r="T57" s="1">
        <f>SUM(OSRRefT22_0x_0)</f>
        <v>12550.61</v>
      </c>
      <c r="U57" s="1"/>
      <c r="V57" s="5">
        <f t="shared" si="24"/>
        <v>9.2016627996878066E-3</v>
      </c>
      <c r="W57" s="1"/>
      <c r="X57" s="1">
        <f t="shared" si="25"/>
        <v>2679.3899999999994</v>
      </c>
      <c r="Y57" s="1"/>
      <c r="Z57" s="5">
        <f t="shared" si="26"/>
        <v>0.21348683450445829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6">
        <v>566.58000000000004</v>
      </c>
      <c r="E58" s="2"/>
      <c r="F58" s="7">
        <f t="shared" si="19"/>
        <v>3.5305261398702278E-3</v>
      </c>
      <c r="G58" s="2"/>
      <c r="H58" s="6">
        <v>259.98</v>
      </c>
      <c r="I58" s="2"/>
      <c r="J58" s="7">
        <f t="shared" si="20"/>
        <v>1.4358155966090491E-3</v>
      </c>
      <c r="K58" s="2"/>
      <c r="L58" s="6">
        <f t="shared" si="21"/>
        <v>306.60000000000002</v>
      </c>
      <c r="M58" s="2"/>
      <c r="N58" s="7">
        <f t="shared" si="22"/>
        <v>1.1793214862681745</v>
      </c>
      <c r="O58" s="11"/>
      <c r="P58" s="6">
        <v>3701.74</v>
      </c>
      <c r="Q58" s="2"/>
      <c r="R58" s="7">
        <f t="shared" si="23"/>
        <v>2.4696622348905416E-3</v>
      </c>
      <c r="S58" s="2"/>
      <c r="T58" s="6">
        <v>3028.53</v>
      </c>
      <c r="U58" s="2"/>
      <c r="V58" s="7">
        <f t="shared" si="24"/>
        <v>2.2204109472558314E-3</v>
      </c>
      <c r="W58" s="2"/>
      <c r="X58" s="6">
        <f t="shared" si="25"/>
        <v>673.20999999999958</v>
      </c>
      <c r="Y58" s="2"/>
      <c r="Z58" s="7">
        <f t="shared" si="26"/>
        <v>0.22228936150541667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6">
        <v>194.36</v>
      </c>
      <c r="E59" s="2"/>
      <c r="F59" s="7">
        <f t="shared" si="19"/>
        <v>1.2111141595982516E-3</v>
      </c>
      <c r="G59" s="2"/>
      <c r="H59" s="6">
        <v>91.02</v>
      </c>
      <c r="I59" s="2"/>
      <c r="J59" s="7">
        <f t="shared" si="20"/>
        <v>5.026845742109225E-4</v>
      </c>
      <c r="K59" s="2"/>
      <c r="L59" s="6">
        <f t="shared" si="21"/>
        <v>103.34000000000002</v>
      </c>
      <c r="M59" s="2"/>
      <c r="N59" s="7">
        <f t="shared" si="22"/>
        <v>1.1353548670621845</v>
      </c>
      <c r="O59" s="11"/>
      <c r="P59" s="6">
        <v>705.92</v>
      </c>
      <c r="Q59" s="2"/>
      <c r="R59" s="7">
        <f t="shared" si="23"/>
        <v>4.709633752921413E-4</v>
      </c>
      <c r="S59" s="2"/>
      <c r="T59" s="6">
        <v>627.4</v>
      </c>
      <c r="U59" s="2"/>
      <c r="V59" s="7">
        <f t="shared" si="24"/>
        <v>4.5998746200576137E-4</v>
      </c>
      <c r="W59" s="2"/>
      <c r="X59" s="6">
        <f t="shared" si="25"/>
        <v>78.519999999999982</v>
      </c>
      <c r="Y59" s="2"/>
      <c r="Z59" s="7">
        <f t="shared" si="26"/>
        <v>0.12515141855275738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6">
        <v>1287.6500000000001</v>
      </c>
      <c r="E60" s="2"/>
      <c r="F60" s="7">
        <f t="shared" si="19"/>
        <v>8.0237247767374394E-3</v>
      </c>
      <c r="G60" s="2"/>
      <c r="H60" s="6">
        <v>1029.08</v>
      </c>
      <c r="I60" s="2"/>
      <c r="J60" s="7">
        <f t="shared" si="20"/>
        <v>5.6833953156336641E-3</v>
      </c>
      <c r="K60" s="2"/>
      <c r="L60" s="6">
        <f t="shared" si="21"/>
        <v>258.57000000000016</v>
      </c>
      <c r="M60" s="2"/>
      <c r="N60" s="7">
        <f t="shared" si="22"/>
        <v>0.25126326427488649</v>
      </c>
      <c r="O60" s="11"/>
      <c r="P60" s="6">
        <v>5147.17</v>
      </c>
      <c r="Q60" s="2"/>
      <c r="R60" s="7">
        <f t="shared" si="23"/>
        <v>3.4339989749581413E-3</v>
      </c>
      <c r="S60" s="2"/>
      <c r="T60" s="6">
        <v>4509.58</v>
      </c>
      <c r="U60" s="2"/>
      <c r="V60" s="7">
        <f t="shared" si="24"/>
        <v>3.3062643591200854E-3</v>
      </c>
      <c r="W60" s="2"/>
      <c r="X60" s="6">
        <f t="shared" si="25"/>
        <v>637.59000000000015</v>
      </c>
      <c r="Y60" s="2"/>
      <c r="Z60" s="7">
        <f t="shared" si="26"/>
        <v>0.14138567227990192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6">
        <v>28.65</v>
      </c>
      <c r="E61" s="2"/>
      <c r="F61" s="7">
        <f t="shared" si="19"/>
        <v>1.7852655213258854E-4</v>
      </c>
      <c r="G61" s="2"/>
      <c r="H61" s="6">
        <v>19.89</v>
      </c>
      <c r="I61" s="2"/>
      <c r="J61" s="7">
        <f t="shared" si="20"/>
        <v>1.0984834301313173E-4</v>
      </c>
      <c r="K61" s="2"/>
      <c r="L61" s="6">
        <f t="shared" si="21"/>
        <v>8.759999999999998</v>
      </c>
      <c r="M61" s="2"/>
      <c r="N61" s="7">
        <f t="shared" si="22"/>
        <v>0.44042232277526383</v>
      </c>
      <c r="O61" s="11"/>
      <c r="P61" s="6">
        <v>125.05</v>
      </c>
      <c r="Q61" s="2"/>
      <c r="R61" s="7">
        <f t="shared" si="23"/>
        <v>8.3428674751079827E-5</v>
      </c>
      <c r="S61" s="2"/>
      <c r="T61" s="6">
        <v>137.09</v>
      </c>
      <c r="U61" s="2"/>
      <c r="V61" s="7">
        <f t="shared" si="24"/>
        <v>1.0050953325847917E-4</v>
      </c>
      <c r="W61" s="2"/>
      <c r="X61" s="6">
        <f t="shared" si="25"/>
        <v>-12.040000000000006</v>
      </c>
      <c r="Y61" s="2"/>
      <c r="Z61" s="7">
        <f t="shared" si="26"/>
        <v>-8.7825516084324207E-2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6">
        <v>263.31</v>
      </c>
      <c r="E62" s="2"/>
      <c r="F62" s="7">
        <f t="shared" si="19"/>
        <v>1.6407618304374132E-3</v>
      </c>
      <c r="G62" s="2"/>
      <c r="H62" s="6">
        <v>174.42</v>
      </c>
      <c r="I62" s="2"/>
      <c r="J62" s="7">
        <f t="shared" si="20"/>
        <v>9.6328546949977047E-4</v>
      </c>
      <c r="K62" s="2"/>
      <c r="L62" s="6">
        <f t="shared" si="21"/>
        <v>88.890000000000015</v>
      </c>
      <c r="M62" s="2"/>
      <c r="N62" s="7">
        <f t="shared" si="22"/>
        <v>0.50963192294461657</v>
      </c>
      <c r="O62" s="11"/>
      <c r="P62" s="6">
        <v>1022.61</v>
      </c>
      <c r="Q62" s="2"/>
      <c r="R62" s="7">
        <f t="shared" si="23"/>
        <v>6.8224707786646737E-4</v>
      </c>
      <c r="S62" s="2"/>
      <c r="T62" s="6">
        <v>956.77</v>
      </c>
      <c r="U62" s="2"/>
      <c r="V62" s="7">
        <f t="shared" si="24"/>
        <v>7.0146988208997824E-4</v>
      </c>
      <c r="W62" s="2"/>
      <c r="X62" s="6">
        <f t="shared" si="25"/>
        <v>65.840000000000032</v>
      </c>
      <c r="Y62" s="2"/>
      <c r="Z62" s="7">
        <f t="shared" si="26"/>
        <v>6.8814866686873574E-2</v>
      </c>
    </row>
    <row r="63" spans="1:26" s="24" customFormat="1" hidden="1" outlineLevel="2" x14ac:dyDescent="0.25">
      <c r="A63" s="26"/>
      <c r="B63" s="11" t="str">
        <f>CONCATENATE("          ", "6117", " - ", "RETIREMENT STAFF HOURLY")</f>
        <v xml:space="preserve">          6117 - RETIREMENT STAFF HOURLY</v>
      </c>
      <c r="C63" s="11"/>
      <c r="D63" s="6">
        <v>173.93</v>
      </c>
      <c r="E63" s="2"/>
      <c r="F63" s="7">
        <f t="shared" si="19"/>
        <v>1.0838088381298822E-3</v>
      </c>
      <c r="G63" s="2"/>
      <c r="H63" s="6">
        <v>69.400000000000006</v>
      </c>
      <c r="I63" s="2"/>
      <c r="J63" s="7">
        <f t="shared" si="20"/>
        <v>3.8328180015642746E-4</v>
      </c>
      <c r="K63" s="2"/>
      <c r="L63" s="6">
        <f t="shared" si="21"/>
        <v>104.53</v>
      </c>
      <c r="M63" s="2"/>
      <c r="N63" s="7">
        <f t="shared" si="22"/>
        <v>1.5061959654178674</v>
      </c>
      <c r="O63" s="11"/>
      <c r="P63" s="6">
        <v>872.68</v>
      </c>
      <c r="Q63" s="2"/>
      <c r="R63" s="7">
        <f t="shared" si="23"/>
        <v>5.8221939929446092E-4</v>
      </c>
      <c r="S63" s="2"/>
      <c r="T63" s="6">
        <v>779.56</v>
      </c>
      <c r="U63" s="2"/>
      <c r="V63" s="7">
        <f t="shared" si="24"/>
        <v>5.7154578559326006E-4</v>
      </c>
      <c r="W63" s="2"/>
      <c r="X63" s="6">
        <f t="shared" si="25"/>
        <v>93.12</v>
      </c>
      <c r="Y63" s="2"/>
      <c r="Z63" s="7">
        <f t="shared" si="26"/>
        <v>0.11945199856329212</v>
      </c>
    </row>
    <row r="64" spans="1:26" s="24" customFormat="1" hidden="1" outlineLevel="2" x14ac:dyDescent="0.25">
      <c r="A64" s="26"/>
      <c r="B64" s="11" t="str">
        <f>CONCATENATE("          ", "6118", " - ", "VACATION")</f>
        <v xml:space="preserve">          6118 - VACATION</v>
      </c>
      <c r="C64" s="11"/>
      <c r="D64" s="6">
        <v>114.56</v>
      </c>
      <c r="E64" s="2"/>
      <c r="F64" s="7">
        <f t="shared" si="19"/>
        <v>7.1385695679962804E-4</v>
      </c>
      <c r="G64" s="2"/>
      <c r="H64" s="6">
        <v>146.9</v>
      </c>
      <c r="I64" s="2"/>
      <c r="J64" s="7">
        <f t="shared" si="20"/>
        <v>8.112982196394696E-4</v>
      </c>
      <c r="K64" s="2"/>
      <c r="L64" s="6">
        <f t="shared" si="21"/>
        <v>-32.340000000000003</v>
      </c>
      <c r="M64" s="2"/>
      <c r="N64" s="7">
        <f t="shared" si="22"/>
        <v>-0.22014976174268211</v>
      </c>
      <c r="O64" s="11"/>
      <c r="P64" s="6">
        <v>1405.57</v>
      </c>
      <c r="Q64" s="2"/>
      <c r="R64" s="7">
        <f t="shared" si="23"/>
        <v>9.3774364150240122E-4</v>
      </c>
      <c r="S64" s="2"/>
      <c r="T64" s="6">
        <v>957.87</v>
      </c>
      <c r="U64" s="2"/>
      <c r="V64" s="7">
        <f t="shared" si="24"/>
        <v>7.0227636313589207E-4</v>
      </c>
      <c r="W64" s="2"/>
      <c r="X64" s="6">
        <f t="shared" si="25"/>
        <v>447.69999999999993</v>
      </c>
      <c r="Y64" s="2"/>
      <c r="Z64" s="7">
        <f t="shared" si="26"/>
        <v>0.46739119087141257</v>
      </c>
    </row>
    <row r="65" spans="1:26" s="24" customFormat="1" hidden="1" outlineLevel="2" x14ac:dyDescent="0.25">
      <c r="A65" s="26"/>
      <c r="B65" s="11" t="str">
        <f>CONCATENATE("          ", "6119", " - ", "SICK LEAVE")</f>
        <v xml:space="preserve">          6119 - SICK LEAVE</v>
      </c>
      <c r="C65" s="11"/>
      <c r="D65" s="6">
        <v>173.86</v>
      </c>
      <c r="E65" s="2"/>
      <c r="F65" s="7">
        <f t="shared" si="19"/>
        <v>1.0833726476011116E-3</v>
      </c>
      <c r="G65" s="2"/>
      <c r="H65" s="6">
        <v>117.58</v>
      </c>
      <c r="I65" s="2"/>
      <c r="J65" s="7">
        <f t="shared" si="20"/>
        <v>6.4936994326214321E-4</v>
      </c>
      <c r="K65" s="2"/>
      <c r="L65" s="6">
        <f t="shared" si="21"/>
        <v>56.280000000000015</v>
      </c>
      <c r="M65" s="2"/>
      <c r="N65" s="7">
        <f t="shared" si="22"/>
        <v>0.47865283211430532</v>
      </c>
      <c r="O65" s="11"/>
      <c r="P65" s="6">
        <v>1454.26</v>
      </c>
      <c r="Q65" s="2"/>
      <c r="R65" s="7">
        <f t="shared" si="23"/>
        <v>9.702277852339492E-4</v>
      </c>
      <c r="S65" s="2"/>
      <c r="T65" s="6">
        <v>814.76</v>
      </c>
      <c r="U65" s="2"/>
      <c r="V65" s="7">
        <f t="shared" si="24"/>
        <v>5.9735317906250268E-4</v>
      </c>
      <c r="W65" s="2"/>
      <c r="X65" s="6">
        <f t="shared" si="25"/>
        <v>639.5</v>
      </c>
      <c r="Y65" s="2"/>
      <c r="Z65" s="7">
        <f t="shared" si="26"/>
        <v>0.78489371103146943</v>
      </c>
    </row>
    <row r="66" spans="1:26" s="24" customFormat="1" hidden="1" outlineLevel="2" x14ac:dyDescent="0.25">
      <c r="A66" s="26"/>
      <c r="B66" s="11" t="str">
        <f>CONCATENATE("          ", "6156", " - ", "EMPLOYEE MEALS")</f>
        <v xml:space="preserve">          6156 - EMPLOYEE MEALS</v>
      </c>
      <c r="C66" s="11"/>
      <c r="D66" s="6">
        <v>150.82</v>
      </c>
      <c r="E66" s="2"/>
      <c r="F66" s="7">
        <f t="shared" si="19"/>
        <v>9.3980365070286227E-4</v>
      </c>
      <c r="G66" s="2"/>
      <c r="H66" s="6">
        <v>139.05000000000001</v>
      </c>
      <c r="I66" s="2"/>
      <c r="J66" s="7">
        <f t="shared" si="20"/>
        <v>7.6794429844021959E-4</v>
      </c>
      <c r="K66" s="2"/>
      <c r="L66" s="6">
        <f t="shared" si="21"/>
        <v>11.769999999999982</v>
      </c>
      <c r="M66" s="2"/>
      <c r="N66" s="7">
        <f t="shared" si="22"/>
        <v>8.4645810859402953E-2</v>
      </c>
      <c r="O66" s="11"/>
      <c r="P66" s="6">
        <v>795</v>
      </c>
      <c r="Q66" s="2"/>
      <c r="R66" s="7">
        <f t="shared" si="23"/>
        <v>5.3039421373137516E-4</v>
      </c>
      <c r="S66" s="2"/>
      <c r="T66" s="6">
        <v>739.05</v>
      </c>
      <c r="U66" s="2"/>
      <c r="V66" s="7">
        <f t="shared" si="24"/>
        <v>5.4184528816601525E-4</v>
      </c>
      <c r="W66" s="2"/>
      <c r="X66" s="6">
        <f t="shared" si="25"/>
        <v>55.950000000000045</v>
      </c>
      <c r="Y66" s="2"/>
      <c r="Z66" s="7">
        <f t="shared" si="26"/>
        <v>7.570529734118131E-2</v>
      </c>
    </row>
    <row r="67" spans="1:26" s="25" customFormat="1" outlineLevel="1" collapsed="1" x14ac:dyDescent="0.25">
      <c r="A67" s="27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9624.76</v>
      </c>
      <c r="E67" s="1"/>
      <c r="F67" s="5">
        <f t="shared" ref="F67:F71" si="27">IF(D$12=0,0,D67/D$12)</f>
        <v>5.997470219558998E-2</v>
      </c>
      <c r="G67" s="1"/>
      <c r="H67" s="1">
        <f>SUM(OSRRefH22_1x_0)</f>
        <v>6553.91</v>
      </c>
      <c r="I67" s="1"/>
      <c r="J67" s="5">
        <f t="shared" ref="J67:J71" si="28">IF(H$12=0,0,H67/H$12)</f>
        <v>3.6195885055665872E-2</v>
      </c>
      <c r="K67" s="1"/>
      <c r="L67" s="1">
        <f t="shared" ref="L67:L71" si="29">+D67-H67</f>
        <v>3070.8500000000004</v>
      </c>
      <c r="M67" s="1"/>
      <c r="N67" s="5">
        <f t="shared" ref="N67:N71" si="30">IF(H67=0,0,L67/H67)</f>
        <v>0.46855236034672437</v>
      </c>
      <c r="O67" s="13"/>
      <c r="P67" s="1">
        <f>SUM(OSRRefP22_1x_0)</f>
        <v>48719.140000000007</v>
      </c>
      <c r="Q67" s="1"/>
      <c r="R67" s="5">
        <f t="shared" ref="R67:R71" si="31">IF(P$12=0,0,P67/P$12)</f>
        <v>3.250358484775949E-2</v>
      </c>
      <c r="S67" s="1"/>
      <c r="T67" s="1">
        <f>SUM(OSRRefT22_1x_0)</f>
        <v>48063.14</v>
      </c>
      <c r="U67" s="1"/>
      <c r="V67" s="5">
        <f t="shared" ref="V67:V71" si="32">IF(T$12=0,0,T67/T$12)</f>
        <v>3.5238192197366257E-2</v>
      </c>
      <c r="W67" s="1"/>
      <c r="X67" s="1">
        <f t="shared" ref="X67:X71" si="33">+P67-T67</f>
        <v>656.00000000000728</v>
      </c>
      <c r="Y67" s="1"/>
      <c r="Z67" s="5">
        <f t="shared" ref="Z67:Z71" si="34">IF(T67=0,0,X67/T67)</f>
        <v>1.3648712922210393E-2</v>
      </c>
    </row>
    <row r="68" spans="1:26" s="24" customFormat="1" hidden="1" outlineLevel="2" x14ac:dyDescent="0.25">
      <c r="A68" s="26"/>
      <c r="B68" s="11" t="str">
        <f>CONCATENATE("          ", "6002", " - ", "STAFF SALARIES")</f>
        <v xml:space="preserve">          6002 - STAFF SALARIES</v>
      </c>
      <c r="C68" s="11"/>
      <c r="D68" s="6">
        <v>3193.56</v>
      </c>
      <c r="E68" s="2"/>
      <c r="F68" s="7">
        <f t="shared" si="27"/>
        <v>1.9900008929443262E-2</v>
      </c>
      <c r="G68" s="2"/>
      <c r="H68" s="6">
        <v>2294.2800000000002</v>
      </c>
      <c r="I68" s="2"/>
      <c r="J68" s="7">
        <f t="shared" si="28"/>
        <v>1.2670832398600698E-2</v>
      </c>
      <c r="K68" s="2"/>
      <c r="L68" s="6">
        <f t="shared" si="29"/>
        <v>899.27999999999975</v>
      </c>
      <c r="M68" s="2"/>
      <c r="N68" s="7">
        <f t="shared" si="30"/>
        <v>0.391966107013965</v>
      </c>
      <c r="O68" s="11"/>
      <c r="P68" s="6">
        <v>15056.58</v>
      </c>
      <c r="Q68" s="2"/>
      <c r="R68" s="7">
        <f t="shared" si="31"/>
        <v>1.0045186051048489E-2</v>
      </c>
      <c r="S68" s="2"/>
      <c r="T68" s="6">
        <v>13128.38</v>
      </c>
      <c r="U68" s="2"/>
      <c r="V68" s="7">
        <f t="shared" si="32"/>
        <v>9.6252633032311088E-3</v>
      </c>
      <c r="W68" s="2"/>
      <c r="X68" s="6">
        <f t="shared" si="33"/>
        <v>1928.2000000000007</v>
      </c>
      <c r="Y68" s="2"/>
      <c r="Z68" s="7">
        <f t="shared" si="34"/>
        <v>0.14687265298536459</v>
      </c>
    </row>
    <row r="69" spans="1:26" s="24" customFormat="1" hidden="1" outlineLevel="2" x14ac:dyDescent="0.25">
      <c r="A69" s="26"/>
      <c r="B69" s="11" t="str">
        <f>CONCATENATE("          ", "6005", " - ", "TEMPORARY WAGES-HOURLY")</f>
        <v xml:space="preserve">          6005 - TEMPORARY WAGES-HOURLY</v>
      </c>
      <c r="C69" s="11"/>
      <c r="D69" s="6">
        <v>3063.73</v>
      </c>
      <c r="E69" s="2"/>
      <c r="F69" s="7">
        <f t="shared" si="27"/>
        <v>1.9091000124438935E-2</v>
      </c>
      <c r="G69" s="2"/>
      <c r="H69" s="6">
        <v>967.69</v>
      </c>
      <c r="I69" s="2"/>
      <c r="J69" s="7">
        <f t="shared" si="28"/>
        <v>5.3443510834780012E-3</v>
      </c>
      <c r="K69" s="2"/>
      <c r="L69" s="6">
        <f t="shared" si="29"/>
        <v>2096.04</v>
      </c>
      <c r="M69" s="2"/>
      <c r="N69" s="7">
        <f t="shared" si="30"/>
        <v>2.1660242433010568</v>
      </c>
      <c r="O69" s="11"/>
      <c r="P69" s="6">
        <v>17202.25</v>
      </c>
      <c r="Q69" s="2"/>
      <c r="R69" s="7">
        <f t="shared" si="31"/>
        <v>1.1476696683220817E-2</v>
      </c>
      <c r="S69" s="2"/>
      <c r="T69" s="6">
        <v>14361.32</v>
      </c>
      <c r="U69" s="2"/>
      <c r="V69" s="7">
        <f t="shared" si="32"/>
        <v>1.0529211249366562E-2</v>
      </c>
      <c r="W69" s="2"/>
      <c r="X69" s="6">
        <f t="shared" si="33"/>
        <v>2840.9300000000003</v>
      </c>
      <c r="Y69" s="2"/>
      <c r="Z69" s="7">
        <f t="shared" si="34"/>
        <v>0.19781816713226921</v>
      </c>
    </row>
    <row r="70" spans="1:26" s="24" customFormat="1" hidden="1" outlineLevel="2" x14ac:dyDescent="0.25">
      <c r="A70" s="26"/>
      <c r="B70" s="11" t="str">
        <f>CONCATENATE("          ", "6006", " - ", "TEMPORARY PART TIME")</f>
        <v xml:space="preserve">          6006 - TEMPORARY PART TIME</v>
      </c>
      <c r="C70" s="11"/>
      <c r="D70" s="6">
        <v>1053</v>
      </c>
      <c r="E70" s="2"/>
      <c r="F70" s="7">
        <f t="shared" si="27"/>
        <v>6.5615518113652958E-3</v>
      </c>
      <c r="G70" s="2"/>
      <c r="H70" s="6"/>
      <c r="I70" s="2"/>
      <c r="J70" s="7">
        <f t="shared" si="28"/>
        <v>0</v>
      </c>
      <c r="K70" s="2"/>
      <c r="L70" s="6">
        <f t="shared" si="29"/>
        <v>1053</v>
      </c>
      <c r="M70" s="2"/>
      <c r="N70" s="7">
        <f t="shared" si="30"/>
        <v>0</v>
      </c>
      <c r="O70" s="11"/>
      <c r="P70" s="6">
        <v>7601.16</v>
      </c>
      <c r="Q70" s="2"/>
      <c r="R70" s="7">
        <f t="shared" si="31"/>
        <v>5.0712091593036225E-3</v>
      </c>
      <c r="S70" s="2"/>
      <c r="T70" s="6"/>
      <c r="U70" s="2"/>
      <c r="V70" s="7">
        <f t="shared" si="32"/>
        <v>0</v>
      </c>
      <c r="W70" s="2"/>
      <c r="X70" s="6">
        <f t="shared" si="33"/>
        <v>7601.16</v>
      </c>
      <c r="Y70" s="2"/>
      <c r="Z70" s="7">
        <f t="shared" si="34"/>
        <v>0</v>
      </c>
    </row>
    <row r="71" spans="1:26" s="24" customFormat="1" hidden="1" outlineLevel="2" x14ac:dyDescent="0.25">
      <c r="A71" s="26"/>
      <c r="B71" s="11" t="str">
        <f>CONCATENATE("          ", "6007", " - ", "STUDENT HOURLY")</f>
        <v xml:space="preserve">          6007 - STUDENT HOURLY</v>
      </c>
      <c r="C71" s="11"/>
      <c r="D71" s="6">
        <v>2314.4699999999998</v>
      </c>
      <c r="E71" s="2"/>
      <c r="F71" s="7">
        <f t="shared" si="27"/>
        <v>1.4422141330342484E-2</v>
      </c>
      <c r="G71" s="2"/>
      <c r="H71" s="6">
        <v>3291.94</v>
      </c>
      <c r="I71" s="2"/>
      <c r="J71" s="7">
        <f t="shared" si="28"/>
        <v>1.8180701573587171E-2</v>
      </c>
      <c r="K71" s="2"/>
      <c r="L71" s="6">
        <f t="shared" si="29"/>
        <v>-977.47000000000025</v>
      </c>
      <c r="M71" s="2"/>
      <c r="N71" s="7">
        <f t="shared" si="30"/>
        <v>-0.29692825507147769</v>
      </c>
      <c r="O71" s="11"/>
      <c r="P71" s="6">
        <v>8859.15</v>
      </c>
      <c r="Q71" s="2"/>
      <c r="R71" s="7">
        <f t="shared" si="31"/>
        <v>5.910492954186556E-3</v>
      </c>
      <c r="S71" s="2"/>
      <c r="T71" s="6">
        <v>20573.439999999999</v>
      </c>
      <c r="U71" s="2"/>
      <c r="V71" s="7">
        <f t="shared" si="32"/>
        <v>1.5083717644768587E-2</v>
      </c>
      <c r="W71" s="2"/>
      <c r="X71" s="6">
        <f t="shared" si="33"/>
        <v>-11714.289999999999</v>
      </c>
      <c r="Y71" s="2"/>
      <c r="Z71" s="7">
        <f t="shared" si="34"/>
        <v>-0.56938897918870157</v>
      </c>
    </row>
    <row r="72" spans="1:26" s="25" customFormat="1" outlineLevel="1" collapsed="1" x14ac:dyDescent="0.25">
      <c r="A72" s="27"/>
      <c r="B72" s="13" t="str">
        <f>CONCATENATE("     ","Advertising/Promo                                 ")</f>
        <v xml:space="preserve">     Advertising/Promo                                 </v>
      </c>
      <c r="C72" s="13"/>
      <c r="D72" s="1">
        <f>SUM(OSRRefD22_2x_0)</f>
        <v>208.92</v>
      </c>
      <c r="E72" s="1"/>
      <c r="F72" s="5">
        <f t="shared" ref="F72:F88" si="35">IF(D$12=0,0,D72/D$12)</f>
        <v>1.3018417895825619E-3</v>
      </c>
      <c r="G72" s="1"/>
      <c r="H72" s="1">
        <f>SUM(OSRRefH22_2x_0)</f>
        <v>1479.8</v>
      </c>
      <c r="I72" s="1"/>
      <c r="J72" s="5">
        <f t="shared" ref="J72:J88" si="36">IF(H$12=0,0,H72/H$12)</f>
        <v>8.1726283554968485E-3</v>
      </c>
      <c r="K72" s="1"/>
      <c r="L72" s="1">
        <f t="shared" ref="L72:L88" si="37">+D72-H72</f>
        <v>-1270.8799999999999</v>
      </c>
      <c r="M72" s="1"/>
      <c r="N72" s="5">
        <f t="shared" ref="N72:N88" si="38">IF(H72=0,0,L72/H72)</f>
        <v>-0.85881875929179619</v>
      </c>
      <c r="O72" s="13"/>
      <c r="P72" s="1">
        <f>SUM(OSRRefP22_2x_0)</f>
        <v>1428.71</v>
      </c>
      <c r="Q72" s="1"/>
      <c r="R72" s="5">
        <f t="shared" ref="R72:R88" si="39">IF(P$12=0,0,P72/P$12)</f>
        <v>9.5318178251591577E-4</v>
      </c>
      <c r="S72" s="1"/>
      <c r="T72" s="1">
        <f>SUM(OSRRefT22_2x_0)</f>
        <v>1721.89</v>
      </c>
      <c r="U72" s="1"/>
      <c r="V72" s="5">
        <f t="shared" ref="V72:V88" si="40">IF(T$12=0,0,T72/T$12)</f>
        <v>1.2624287710441514E-3</v>
      </c>
      <c r="W72" s="1"/>
      <c r="X72" s="1">
        <f t="shared" ref="X72:X88" si="41">+P72-T72</f>
        <v>-293.18000000000006</v>
      </c>
      <c r="Y72" s="1"/>
      <c r="Z72" s="5">
        <f t="shared" ref="Z72:Z88" si="42">IF(T72=0,0,X72/T72)</f>
        <v>-0.17026639332361534</v>
      </c>
    </row>
    <row r="73" spans="1:26" s="24" customFormat="1" hidden="1" outlineLevel="2" x14ac:dyDescent="0.25">
      <c r="A73" s="26"/>
      <c r="B73" s="11" t="str">
        <f>CONCATENATE("          ", "6362", " - ", "ADVERTISING EXPENSE")</f>
        <v xml:space="preserve">          6362 - ADVERTISING EXPENSE</v>
      </c>
      <c r="C73" s="11"/>
      <c r="D73" s="6">
        <v>208.92</v>
      </c>
      <c r="E73" s="2"/>
      <c r="F73" s="7">
        <f t="shared" si="35"/>
        <v>1.3018417895825619E-3</v>
      </c>
      <c r="G73" s="2"/>
      <c r="H73" s="6">
        <v>1479.8</v>
      </c>
      <c r="I73" s="2"/>
      <c r="J73" s="7">
        <f t="shared" si="36"/>
        <v>8.1726283554968485E-3</v>
      </c>
      <c r="K73" s="2"/>
      <c r="L73" s="6">
        <f t="shared" si="37"/>
        <v>-1270.8799999999999</v>
      </c>
      <c r="M73" s="2"/>
      <c r="N73" s="7">
        <f t="shared" si="38"/>
        <v>-0.85881875929179619</v>
      </c>
      <c r="O73" s="11"/>
      <c r="P73" s="6">
        <v>1428.71</v>
      </c>
      <c r="Q73" s="2"/>
      <c r="R73" s="7">
        <f t="shared" si="39"/>
        <v>9.5318178251591577E-4</v>
      </c>
      <c r="S73" s="2"/>
      <c r="T73" s="6">
        <v>1721.89</v>
      </c>
      <c r="U73" s="2"/>
      <c r="V73" s="7">
        <f t="shared" si="40"/>
        <v>1.2624287710441514E-3</v>
      </c>
      <c r="W73" s="2"/>
      <c r="X73" s="6">
        <f t="shared" si="41"/>
        <v>-293.18000000000006</v>
      </c>
      <c r="Y73" s="2"/>
      <c r="Z73" s="7">
        <f t="shared" si="42"/>
        <v>-0.17026639332361534</v>
      </c>
    </row>
    <row r="74" spans="1:26" s="25" customFormat="1" outlineLevel="1" collapsed="1" x14ac:dyDescent="0.25">
      <c r="A74" s="27"/>
      <c r="B74" s="13" t="str">
        <f>CONCATENATE("     ","Depreciation                                      ")</f>
        <v xml:space="preserve">     Depreciation                                      </v>
      </c>
      <c r="C74" s="13"/>
      <c r="D74" s="1">
        <f>SUM(OSRRefD22_3x_0)</f>
        <v>280.44</v>
      </c>
      <c r="E74" s="1"/>
      <c r="F74" s="5">
        <f t="shared" si="35"/>
        <v>1.7475038841208771E-3</v>
      </c>
      <c r="G74" s="1"/>
      <c r="H74" s="1">
        <f>SUM(OSRRefH22_3x_0)</f>
        <v>280.44</v>
      </c>
      <c r="I74" s="1"/>
      <c r="J74" s="5">
        <f t="shared" si="36"/>
        <v>1.5488119313525721E-3</v>
      </c>
      <c r="K74" s="1"/>
      <c r="L74" s="1">
        <f t="shared" si="37"/>
        <v>0</v>
      </c>
      <c r="M74" s="1"/>
      <c r="N74" s="5">
        <f t="shared" si="38"/>
        <v>0</v>
      </c>
      <c r="O74" s="13"/>
      <c r="P74" s="1">
        <f>SUM(OSRRefP22_3x_0)</f>
        <v>1402.2</v>
      </c>
      <c r="Q74" s="1"/>
      <c r="R74" s="5">
        <f t="shared" si="39"/>
        <v>9.3549530376620669E-4</v>
      </c>
      <c r="S74" s="1"/>
      <c r="T74" s="1">
        <f>SUM(OSRRefT22_3x_0)</f>
        <v>1402.2</v>
      </c>
      <c r="U74" s="1"/>
      <c r="V74" s="5">
        <f t="shared" si="40"/>
        <v>1.0280433841639762E-3</v>
      </c>
      <c r="W74" s="1"/>
      <c r="X74" s="1">
        <f t="shared" si="41"/>
        <v>0</v>
      </c>
      <c r="Y74" s="1"/>
      <c r="Z74" s="5">
        <f t="shared" si="42"/>
        <v>0</v>
      </c>
    </row>
    <row r="75" spans="1:26" s="24" customFormat="1" hidden="1" outlineLevel="2" x14ac:dyDescent="0.25">
      <c r="A75" s="26"/>
      <c r="B75" s="11" t="str">
        <f>CONCATENATE("          ", "6322", " - ", "EQUIPMENT DEPRECIATION EXPENSE")</f>
        <v xml:space="preserve">          6322 - EQUIPMENT DEPRECIATION EXPENSE</v>
      </c>
      <c r="C75" s="11"/>
      <c r="D75" s="6">
        <v>280.44</v>
      </c>
      <c r="E75" s="2"/>
      <c r="F75" s="7">
        <f t="shared" si="35"/>
        <v>1.7475038841208771E-3</v>
      </c>
      <c r="G75" s="2"/>
      <c r="H75" s="6">
        <v>280.44</v>
      </c>
      <c r="I75" s="2"/>
      <c r="J75" s="7">
        <f t="shared" si="36"/>
        <v>1.5488119313525721E-3</v>
      </c>
      <c r="K75" s="2"/>
      <c r="L75" s="6">
        <f t="shared" si="37"/>
        <v>0</v>
      </c>
      <c r="M75" s="2"/>
      <c r="N75" s="7">
        <f t="shared" si="38"/>
        <v>0</v>
      </c>
      <c r="O75" s="11"/>
      <c r="P75" s="6">
        <v>1402.2</v>
      </c>
      <c r="Q75" s="2"/>
      <c r="R75" s="7">
        <f t="shared" si="39"/>
        <v>9.3549530376620669E-4</v>
      </c>
      <c r="S75" s="2"/>
      <c r="T75" s="6">
        <v>1402.2</v>
      </c>
      <c r="U75" s="2"/>
      <c r="V75" s="7">
        <f t="shared" si="40"/>
        <v>1.0280433841639762E-3</v>
      </c>
      <c r="W75" s="2"/>
      <c r="X75" s="6">
        <f t="shared" si="41"/>
        <v>0</v>
      </c>
      <c r="Y75" s="2"/>
      <c r="Z75" s="7">
        <f t="shared" si="42"/>
        <v>0</v>
      </c>
    </row>
    <row r="76" spans="1:26" s="25" customFormat="1" outlineLevel="1" collapsed="1" x14ac:dyDescent="0.25">
      <c r="A76" s="27"/>
      <c r="B76" s="13" t="str">
        <f>CONCATENATE("     ","Discounts and Markdowns                           ")</f>
        <v xml:space="preserve">     Discounts and Markdowns                           </v>
      </c>
      <c r="C76" s="13"/>
      <c r="D76" s="1">
        <f>SUM(OSRRefD22_4x_0)</f>
        <v>-20040.96</v>
      </c>
      <c r="E76" s="1"/>
      <c r="F76" s="5">
        <f t="shared" si="35"/>
        <v>-0.12488109913532711</v>
      </c>
      <c r="G76" s="1"/>
      <c r="H76" s="1">
        <f>SUM(OSRRefH22_4x_0)</f>
        <v>12429.78</v>
      </c>
      <c r="I76" s="1"/>
      <c r="J76" s="5">
        <f t="shared" si="36"/>
        <v>6.8647095878218434E-2</v>
      </c>
      <c r="K76" s="1"/>
      <c r="L76" s="1">
        <f t="shared" si="37"/>
        <v>-32470.739999999998</v>
      </c>
      <c r="M76" s="1"/>
      <c r="N76" s="5">
        <f t="shared" si="38"/>
        <v>-2.6123342488764885</v>
      </c>
      <c r="O76" s="13"/>
      <c r="P76" s="1">
        <f>SUM(OSRRefP22_4x_0)</f>
        <v>48337.17</v>
      </c>
      <c r="Q76" s="1"/>
      <c r="R76" s="5">
        <f t="shared" si="39"/>
        <v>3.2248748775031214E-2</v>
      </c>
      <c r="S76" s="1"/>
      <c r="T76" s="1">
        <f>SUM(OSRRefT22_4x_0)</f>
        <v>85080.960000000006</v>
      </c>
      <c r="U76" s="1"/>
      <c r="V76" s="5">
        <f t="shared" si="40"/>
        <v>6.2378346916502563E-2</v>
      </c>
      <c r="W76" s="1"/>
      <c r="X76" s="1">
        <f t="shared" si="41"/>
        <v>-36743.790000000008</v>
      </c>
      <c r="Y76" s="1"/>
      <c r="Z76" s="5">
        <f t="shared" si="42"/>
        <v>-0.4318685402703496</v>
      </c>
    </row>
    <row r="77" spans="1:26" s="24" customFormat="1" hidden="1" outlineLevel="2" x14ac:dyDescent="0.25">
      <c r="A77" s="26"/>
      <c r="B77" s="11" t="str">
        <f>CONCATENATE("          ", "6382", " - ", "DISCOUNTS/MARK DOWNS")</f>
        <v xml:space="preserve">          6382 - DISCOUNTS/MARK DOWNS</v>
      </c>
      <c r="C77" s="11"/>
      <c r="D77" s="6">
        <v>-20040.96</v>
      </c>
      <c r="E77" s="2"/>
      <c r="F77" s="7">
        <f t="shared" si="35"/>
        <v>-0.12488109913532711</v>
      </c>
      <c r="G77" s="2"/>
      <c r="H77" s="6">
        <v>12429.78</v>
      </c>
      <c r="I77" s="2"/>
      <c r="J77" s="7">
        <f t="shared" si="36"/>
        <v>6.8647095878218434E-2</v>
      </c>
      <c r="K77" s="2"/>
      <c r="L77" s="6">
        <f t="shared" si="37"/>
        <v>-32470.739999999998</v>
      </c>
      <c r="M77" s="2"/>
      <c r="N77" s="7">
        <f t="shared" si="38"/>
        <v>-2.6123342488764885</v>
      </c>
      <c r="O77" s="11"/>
      <c r="P77" s="6">
        <v>48337.17</v>
      </c>
      <c r="Q77" s="2"/>
      <c r="R77" s="7">
        <f t="shared" si="39"/>
        <v>3.2248748775031214E-2</v>
      </c>
      <c r="S77" s="2"/>
      <c r="T77" s="6">
        <v>85080.960000000006</v>
      </c>
      <c r="U77" s="2"/>
      <c r="V77" s="7">
        <f t="shared" si="40"/>
        <v>6.2378346916502563E-2</v>
      </c>
      <c r="W77" s="2"/>
      <c r="X77" s="6">
        <f t="shared" si="41"/>
        <v>-36743.790000000008</v>
      </c>
      <c r="Y77" s="2"/>
      <c r="Z77" s="7">
        <f t="shared" si="42"/>
        <v>-0.4318685402703496</v>
      </c>
    </row>
    <row r="78" spans="1:26" s="25" customFormat="1" outlineLevel="1" collapsed="1" x14ac:dyDescent="0.25">
      <c r="A78" s="27"/>
      <c r="B78" s="13" t="str">
        <f>CONCATENATE("     ","Employees' Appreciation                           ")</f>
        <v xml:space="preserve">     Employees' Appreciation                           </v>
      </c>
      <c r="C78" s="13"/>
      <c r="D78" s="1">
        <f>SUM(OSRRefD22_5x_0)</f>
        <v>0</v>
      </c>
      <c r="E78" s="1"/>
      <c r="F78" s="5">
        <f t="shared" si="35"/>
        <v>0</v>
      </c>
      <c r="G78" s="1"/>
      <c r="H78" s="1">
        <f>SUM(OSRRefH22_5x_0)</f>
        <v>97.53</v>
      </c>
      <c r="I78" s="1"/>
      <c r="J78" s="5">
        <f t="shared" si="36"/>
        <v>5.3863795344749805E-4</v>
      </c>
      <c r="K78" s="1"/>
      <c r="L78" s="1">
        <f t="shared" si="37"/>
        <v>-97.53</v>
      </c>
      <c r="M78" s="1"/>
      <c r="N78" s="5">
        <f t="shared" si="38"/>
        <v>-1</v>
      </c>
      <c r="O78" s="13"/>
      <c r="P78" s="1">
        <f>SUM(OSRRefP22_5x_0)</f>
        <v>0</v>
      </c>
      <c r="Q78" s="1"/>
      <c r="R78" s="5">
        <f t="shared" si="39"/>
        <v>0</v>
      </c>
      <c r="S78" s="1"/>
      <c r="T78" s="1">
        <f>SUM(OSRRefT22_5x_0)</f>
        <v>181.84</v>
      </c>
      <c r="U78" s="1"/>
      <c r="V78" s="5">
        <f t="shared" si="40"/>
        <v>1.3331864853542821E-4</v>
      </c>
      <c r="W78" s="1"/>
      <c r="X78" s="1">
        <f t="shared" si="41"/>
        <v>-181.84</v>
      </c>
      <c r="Y78" s="1"/>
      <c r="Z78" s="5">
        <f t="shared" si="42"/>
        <v>-1</v>
      </c>
    </row>
    <row r="79" spans="1:26" s="24" customFormat="1" hidden="1" outlineLevel="2" x14ac:dyDescent="0.25">
      <c r="A79" s="26"/>
      <c r="B79" s="11" t="str">
        <f>CONCATENATE("          ", "6277", " - ", "EMPLOYEE APPRECIATION")</f>
        <v xml:space="preserve">          6277 - EMPLOYEE APPRECIATION</v>
      </c>
      <c r="C79" s="11"/>
      <c r="D79" s="6"/>
      <c r="E79" s="2"/>
      <c r="F79" s="7">
        <f t="shared" si="35"/>
        <v>0</v>
      </c>
      <c r="G79" s="2"/>
      <c r="H79" s="6">
        <v>97.53</v>
      </c>
      <c r="I79" s="2"/>
      <c r="J79" s="7">
        <f t="shared" si="36"/>
        <v>5.3863795344749805E-4</v>
      </c>
      <c r="K79" s="2"/>
      <c r="L79" s="6">
        <f t="shared" si="37"/>
        <v>-97.53</v>
      </c>
      <c r="M79" s="2"/>
      <c r="N79" s="7">
        <f t="shared" si="38"/>
        <v>-1</v>
      </c>
      <c r="O79" s="11"/>
      <c r="P79" s="6"/>
      <c r="Q79" s="2"/>
      <c r="R79" s="7">
        <f t="shared" si="39"/>
        <v>0</v>
      </c>
      <c r="S79" s="2"/>
      <c r="T79" s="6">
        <v>181.84</v>
      </c>
      <c r="U79" s="2"/>
      <c r="V79" s="7">
        <f t="shared" si="40"/>
        <v>1.3331864853542821E-4</v>
      </c>
      <c r="W79" s="2"/>
      <c r="X79" s="6">
        <f t="shared" si="41"/>
        <v>-181.84</v>
      </c>
      <c r="Y79" s="2"/>
      <c r="Z79" s="7">
        <f t="shared" si="42"/>
        <v>-1</v>
      </c>
    </row>
    <row r="80" spans="1:26" s="25" customFormat="1" outlineLevel="1" collapsed="1" x14ac:dyDescent="0.25">
      <c r="A80" s="27"/>
      <c r="B80" s="13" t="str">
        <f>CONCATENATE("     ","Freight out/Postage                               ")</f>
        <v xml:space="preserve">     Freight out/Postage                               </v>
      </c>
      <c r="C80" s="13"/>
      <c r="D80" s="1">
        <f>SUM(OSRRefD22_6x_0)</f>
        <v>30.85</v>
      </c>
      <c r="E80" s="1"/>
      <c r="F80" s="5">
        <f t="shared" si="35"/>
        <v>1.9223539732252554E-4</v>
      </c>
      <c r="G80" s="1"/>
      <c r="H80" s="1">
        <f>SUM(OSRRefH22_6x_0)</f>
        <v>0</v>
      </c>
      <c r="I80" s="1"/>
      <c r="J80" s="5">
        <f t="shared" si="36"/>
        <v>0</v>
      </c>
      <c r="K80" s="1"/>
      <c r="L80" s="1">
        <f t="shared" si="37"/>
        <v>30.85</v>
      </c>
      <c r="M80" s="1"/>
      <c r="N80" s="5">
        <f t="shared" si="38"/>
        <v>0</v>
      </c>
      <c r="O80" s="13"/>
      <c r="P80" s="1">
        <f>SUM(OSRRefP22_6x_0)</f>
        <v>41.61</v>
      </c>
      <c r="Q80" s="1"/>
      <c r="R80" s="5">
        <f t="shared" si="39"/>
        <v>2.7760632997940277E-5</v>
      </c>
      <c r="S80" s="1"/>
      <c r="T80" s="1">
        <f>SUM(OSRRefT22_6x_0)</f>
        <v>71.959999999999994</v>
      </c>
      <c r="U80" s="1"/>
      <c r="V80" s="5">
        <f t="shared" si="40"/>
        <v>5.2758523694508425E-5</v>
      </c>
      <c r="W80" s="1"/>
      <c r="X80" s="1">
        <f t="shared" si="41"/>
        <v>-30.349999999999994</v>
      </c>
      <c r="Y80" s="1"/>
      <c r="Z80" s="5">
        <f t="shared" si="42"/>
        <v>-0.42176209005002774</v>
      </c>
    </row>
    <row r="81" spans="1:26" s="24" customFormat="1" hidden="1" outlineLevel="2" x14ac:dyDescent="0.25">
      <c r="A81" s="26"/>
      <c r="B81" s="11" t="str">
        <f>CONCATENATE("          ", "6305", " - ", "FREIGHT OUT")</f>
        <v xml:space="preserve">          6305 - FREIGHT OUT</v>
      </c>
      <c r="C81" s="11"/>
      <c r="D81" s="6">
        <v>30.85</v>
      </c>
      <c r="E81" s="2"/>
      <c r="F81" s="7">
        <f t="shared" si="35"/>
        <v>1.9223539732252554E-4</v>
      </c>
      <c r="G81" s="2"/>
      <c r="H81" s="6"/>
      <c r="I81" s="2"/>
      <c r="J81" s="7">
        <f t="shared" si="36"/>
        <v>0</v>
      </c>
      <c r="K81" s="2"/>
      <c r="L81" s="6">
        <f t="shared" si="37"/>
        <v>30.85</v>
      </c>
      <c r="M81" s="2"/>
      <c r="N81" s="7">
        <f t="shared" si="38"/>
        <v>0</v>
      </c>
      <c r="O81" s="11"/>
      <c r="P81" s="6">
        <v>41.61</v>
      </c>
      <c r="Q81" s="2"/>
      <c r="R81" s="7">
        <f t="shared" si="39"/>
        <v>2.7760632997940277E-5</v>
      </c>
      <c r="S81" s="2"/>
      <c r="T81" s="6">
        <v>71.959999999999994</v>
      </c>
      <c r="U81" s="2"/>
      <c r="V81" s="7">
        <f t="shared" si="40"/>
        <v>5.2758523694508425E-5</v>
      </c>
      <c r="W81" s="2"/>
      <c r="X81" s="6">
        <f t="shared" si="41"/>
        <v>-30.349999999999994</v>
      </c>
      <c r="Y81" s="2"/>
      <c r="Z81" s="7">
        <f t="shared" si="42"/>
        <v>-0.42176209005002774</v>
      </c>
    </row>
    <row r="82" spans="1:26" s="25" customFormat="1" outlineLevel="1" collapsed="1" x14ac:dyDescent="0.25">
      <c r="A82" s="27"/>
      <c r="B82" s="13" t="str">
        <f>CONCATENATE("     ","Inventory Adjustment                              ")</f>
        <v xml:space="preserve">     Inventory Adjustment                              </v>
      </c>
      <c r="C82" s="13"/>
      <c r="D82" s="1">
        <f>SUM(OSRRefD22_7x_0)</f>
        <v>0</v>
      </c>
      <c r="E82" s="1"/>
      <c r="F82" s="5">
        <f t="shared" si="35"/>
        <v>0</v>
      </c>
      <c r="G82" s="1"/>
      <c r="H82" s="1">
        <f>SUM(OSRRefH22_7x_0)</f>
        <v>1250</v>
      </c>
      <c r="I82" s="1"/>
      <c r="J82" s="5">
        <f t="shared" si="36"/>
        <v>6.9034906368232608E-3</v>
      </c>
      <c r="K82" s="1"/>
      <c r="L82" s="1">
        <f t="shared" si="37"/>
        <v>-1250</v>
      </c>
      <c r="M82" s="1"/>
      <c r="N82" s="5">
        <f t="shared" si="38"/>
        <v>-1</v>
      </c>
      <c r="O82" s="13"/>
      <c r="P82" s="1">
        <f>SUM(OSRRefP22_7x_0)</f>
        <v>0</v>
      </c>
      <c r="Q82" s="1"/>
      <c r="R82" s="5">
        <f t="shared" si="39"/>
        <v>0</v>
      </c>
      <c r="S82" s="1"/>
      <c r="T82" s="1">
        <f>SUM(OSRRefT22_7x_0)</f>
        <v>6250</v>
      </c>
      <c r="U82" s="1"/>
      <c r="V82" s="5">
        <f t="shared" si="40"/>
        <v>4.5822786699649485E-3</v>
      </c>
      <c r="W82" s="1"/>
      <c r="X82" s="1">
        <f t="shared" si="41"/>
        <v>-6250</v>
      </c>
      <c r="Y82" s="1"/>
      <c r="Z82" s="5">
        <f t="shared" si="42"/>
        <v>-1</v>
      </c>
    </row>
    <row r="83" spans="1:26" s="24" customFormat="1" hidden="1" outlineLevel="2" x14ac:dyDescent="0.25">
      <c r="A83" s="26"/>
      <c r="B83" s="11" t="str">
        <f>CONCATENATE("          ", "6408", " - ", "INVENTORY ADJUSTMENT")</f>
        <v xml:space="preserve">          6408 - INVENTORY ADJUSTMENT</v>
      </c>
      <c r="C83" s="11"/>
      <c r="D83" s="6"/>
      <c r="E83" s="2"/>
      <c r="F83" s="7">
        <f t="shared" si="35"/>
        <v>0</v>
      </c>
      <c r="G83" s="2"/>
      <c r="H83" s="6">
        <v>1250</v>
      </c>
      <c r="I83" s="2"/>
      <c r="J83" s="7">
        <f t="shared" si="36"/>
        <v>6.9034906368232608E-3</v>
      </c>
      <c r="K83" s="2"/>
      <c r="L83" s="6">
        <f t="shared" si="37"/>
        <v>-1250</v>
      </c>
      <c r="M83" s="2"/>
      <c r="N83" s="7">
        <f t="shared" si="38"/>
        <v>-1</v>
      </c>
      <c r="O83" s="11"/>
      <c r="P83" s="6"/>
      <c r="Q83" s="2"/>
      <c r="R83" s="7">
        <f t="shared" si="39"/>
        <v>0</v>
      </c>
      <c r="S83" s="2"/>
      <c r="T83" s="6">
        <v>6250</v>
      </c>
      <c r="U83" s="2"/>
      <c r="V83" s="7">
        <f t="shared" si="40"/>
        <v>4.5822786699649485E-3</v>
      </c>
      <c r="W83" s="2"/>
      <c r="X83" s="6">
        <f t="shared" si="41"/>
        <v>-6250</v>
      </c>
      <c r="Y83" s="2"/>
      <c r="Z83" s="7">
        <f t="shared" si="42"/>
        <v>-1</v>
      </c>
    </row>
    <row r="84" spans="1:26" s="25" customFormat="1" outlineLevel="1" collapsed="1" x14ac:dyDescent="0.25">
      <c r="A84" s="27"/>
      <c r="B84" s="13" t="str">
        <f>CONCATENATE("     ","Subscriptions &amp; Dues                              ")</f>
        <v xml:space="preserve">     Subscriptions &amp; Dues                              </v>
      </c>
      <c r="C84" s="13"/>
      <c r="D84" s="1">
        <f>SUM(OSRRefD22_8x_0)</f>
        <v>0</v>
      </c>
      <c r="E84" s="1"/>
      <c r="F84" s="5">
        <f t="shared" si="35"/>
        <v>0</v>
      </c>
      <c r="G84" s="1"/>
      <c r="H84" s="1">
        <f>SUM(OSRRefH22_8x_0)</f>
        <v>258.74</v>
      </c>
      <c r="I84" s="1"/>
      <c r="J84" s="5">
        <f t="shared" si="36"/>
        <v>1.4289673338973203E-3</v>
      </c>
      <c r="K84" s="1"/>
      <c r="L84" s="1">
        <f t="shared" si="37"/>
        <v>-258.74</v>
      </c>
      <c r="M84" s="1"/>
      <c r="N84" s="5">
        <f t="shared" si="38"/>
        <v>-1</v>
      </c>
      <c r="O84" s="13"/>
      <c r="P84" s="1">
        <f>SUM(OSRRefP22_8x_0)</f>
        <v>-5000</v>
      </c>
      <c r="Q84" s="1"/>
      <c r="R84" s="5">
        <f t="shared" si="39"/>
        <v>-3.3358126649772023E-3</v>
      </c>
      <c r="S84" s="1"/>
      <c r="T84" s="1">
        <f>SUM(OSRRefT22_8x_0)</f>
        <v>258.74</v>
      </c>
      <c r="U84" s="1"/>
      <c r="V84" s="5">
        <f t="shared" si="40"/>
        <v>1.8969900529067693E-4</v>
      </c>
      <c r="W84" s="1"/>
      <c r="X84" s="1">
        <f t="shared" si="41"/>
        <v>-5258.74</v>
      </c>
      <c r="Y84" s="1"/>
      <c r="Z84" s="5">
        <f t="shared" si="42"/>
        <v>-20.324418335008115</v>
      </c>
    </row>
    <row r="85" spans="1:26" s="24" customFormat="1" hidden="1" outlineLevel="2" x14ac:dyDescent="0.25">
      <c r="A85" s="26"/>
      <c r="B85" s="11" t="str">
        <f>CONCATENATE("          ", "6258", " - ", "MEMBERSHIP DUES")</f>
        <v xml:space="preserve">          6258 - MEMBERSHIP DUES</v>
      </c>
      <c r="C85" s="11"/>
      <c r="D85" s="6"/>
      <c r="E85" s="2"/>
      <c r="F85" s="7">
        <f t="shared" si="35"/>
        <v>0</v>
      </c>
      <c r="G85" s="2"/>
      <c r="H85" s="6">
        <v>258.74</v>
      </c>
      <c r="I85" s="2"/>
      <c r="J85" s="7">
        <f t="shared" si="36"/>
        <v>1.4289673338973203E-3</v>
      </c>
      <c r="K85" s="2"/>
      <c r="L85" s="6">
        <f t="shared" si="37"/>
        <v>-258.74</v>
      </c>
      <c r="M85" s="2"/>
      <c r="N85" s="7">
        <f t="shared" si="38"/>
        <v>-1</v>
      </c>
      <c r="O85" s="11"/>
      <c r="P85" s="6">
        <v>-5000</v>
      </c>
      <c r="Q85" s="2"/>
      <c r="R85" s="7">
        <f t="shared" si="39"/>
        <v>-3.3358126649772023E-3</v>
      </c>
      <c r="S85" s="2"/>
      <c r="T85" s="6">
        <v>258.74</v>
      </c>
      <c r="U85" s="2"/>
      <c r="V85" s="7">
        <f t="shared" si="40"/>
        <v>1.8969900529067693E-4</v>
      </c>
      <c r="W85" s="2"/>
      <c r="X85" s="6">
        <f t="shared" si="41"/>
        <v>-5258.74</v>
      </c>
      <c r="Y85" s="2"/>
      <c r="Z85" s="7">
        <f t="shared" si="42"/>
        <v>-20.324418335008115</v>
      </c>
    </row>
    <row r="86" spans="1:26" s="25" customFormat="1" outlineLevel="1" collapsed="1" x14ac:dyDescent="0.25">
      <c r="A86" s="27"/>
      <c r="B86" s="13" t="str">
        <f>CONCATENATE("     ","Supplies                                          ")</f>
        <v xml:space="preserve">     Supplies                                          </v>
      </c>
      <c r="C86" s="13"/>
      <c r="D86" s="1">
        <f>SUM(OSRRefD22_9x_0)</f>
        <v>1145.08</v>
      </c>
      <c r="E86" s="1"/>
      <c r="F86" s="5">
        <f t="shared" si="35"/>
        <v>7.1353292954968398E-3</v>
      </c>
      <c r="G86" s="1"/>
      <c r="H86" s="1">
        <f>SUM(OSRRefH22_9x_0)</f>
        <v>181.89999999999998</v>
      </c>
      <c r="I86" s="1"/>
      <c r="J86" s="5">
        <f t="shared" si="36"/>
        <v>1.0045959574705207E-3</v>
      </c>
      <c r="K86" s="1"/>
      <c r="L86" s="1">
        <f t="shared" si="37"/>
        <v>963.18</v>
      </c>
      <c r="M86" s="1"/>
      <c r="N86" s="5">
        <f t="shared" si="38"/>
        <v>5.2951072017592091</v>
      </c>
      <c r="O86" s="13"/>
      <c r="P86" s="1">
        <f>SUM(OSRRefP22_9x_0)</f>
        <v>2702.03</v>
      </c>
      <c r="Q86" s="1"/>
      <c r="R86" s="5">
        <f t="shared" si="39"/>
        <v>1.8026931790296702E-3</v>
      </c>
      <c r="S86" s="1"/>
      <c r="T86" s="1">
        <f>SUM(OSRRefT22_9x_0)</f>
        <v>1206.1799999999998</v>
      </c>
      <c r="U86" s="1"/>
      <c r="V86" s="5">
        <f t="shared" si="40"/>
        <v>8.8432846178213139E-4</v>
      </c>
      <c r="W86" s="1"/>
      <c r="X86" s="1">
        <f t="shared" si="41"/>
        <v>1495.8500000000004</v>
      </c>
      <c r="Y86" s="1"/>
      <c r="Z86" s="5">
        <f t="shared" si="42"/>
        <v>1.2401548690908493</v>
      </c>
    </row>
    <row r="87" spans="1:26" s="24" customFormat="1" hidden="1" outlineLevel="2" x14ac:dyDescent="0.25">
      <c r="A87" s="26"/>
      <c r="B87" s="11" t="str">
        <f>CONCATENATE("          ", "6241", " - ", "OFFICE EXPENSE")</f>
        <v xml:space="preserve">          6241 - OFFICE EXPENSE</v>
      </c>
      <c r="C87" s="11"/>
      <c r="D87" s="6">
        <v>76.349999999999994</v>
      </c>
      <c r="E87" s="2"/>
      <c r="F87" s="7">
        <f t="shared" si="35"/>
        <v>4.7575924102349508E-4</v>
      </c>
      <c r="G87" s="2"/>
      <c r="H87" s="6">
        <v>139.01</v>
      </c>
      <c r="I87" s="2"/>
      <c r="J87" s="7">
        <f t="shared" si="36"/>
        <v>7.677233867398411E-4</v>
      </c>
      <c r="K87" s="2"/>
      <c r="L87" s="6">
        <f t="shared" si="37"/>
        <v>-62.66</v>
      </c>
      <c r="M87" s="2"/>
      <c r="N87" s="7">
        <f t="shared" si="38"/>
        <v>-0.45075893820588447</v>
      </c>
      <c r="O87" s="11"/>
      <c r="P87" s="6">
        <v>692.65</v>
      </c>
      <c r="Q87" s="2"/>
      <c r="R87" s="7">
        <f t="shared" si="39"/>
        <v>4.6211012847929183E-4</v>
      </c>
      <c r="S87" s="2"/>
      <c r="T87" s="6">
        <v>977.42</v>
      </c>
      <c r="U87" s="2"/>
      <c r="V87" s="7">
        <f t="shared" si="40"/>
        <v>7.1660973081554241E-4</v>
      </c>
      <c r="W87" s="2"/>
      <c r="X87" s="6">
        <f t="shared" si="41"/>
        <v>-284.77</v>
      </c>
      <c r="Y87" s="2"/>
      <c r="Z87" s="7">
        <f t="shared" si="42"/>
        <v>-0.2913486525751468</v>
      </c>
    </row>
    <row r="88" spans="1:26" s="24" customFormat="1" hidden="1" outlineLevel="2" x14ac:dyDescent="0.25">
      <c r="A88" s="26"/>
      <c r="B88" s="11" t="str">
        <f>CONCATENATE("          ", "6247", " - ", "STORE SUPPLIES")</f>
        <v xml:space="preserve">          6247 - STORE SUPPLIES</v>
      </c>
      <c r="C88" s="11"/>
      <c r="D88" s="6">
        <v>1068.73</v>
      </c>
      <c r="E88" s="2"/>
      <c r="F88" s="7">
        <f t="shared" si="35"/>
        <v>6.659570054473346E-3</v>
      </c>
      <c r="G88" s="2"/>
      <c r="H88" s="6">
        <v>42.89</v>
      </c>
      <c r="I88" s="2"/>
      <c r="J88" s="7">
        <f t="shared" si="36"/>
        <v>2.3687257073067974E-4</v>
      </c>
      <c r="K88" s="2"/>
      <c r="L88" s="6">
        <f t="shared" si="37"/>
        <v>1025.8399999999999</v>
      </c>
      <c r="M88" s="2"/>
      <c r="N88" s="7">
        <f t="shared" si="38"/>
        <v>23.91792958731639</v>
      </c>
      <c r="O88" s="11"/>
      <c r="P88" s="6">
        <v>2009.38</v>
      </c>
      <c r="Q88" s="2"/>
      <c r="R88" s="7">
        <f t="shared" si="39"/>
        <v>1.3405830505503783E-3</v>
      </c>
      <c r="S88" s="2"/>
      <c r="T88" s="6">
        <v>228.76</v>
      </c>
      <c r="U88" s="2"/>
      <c r="V88" s="7">
        <f t="shared" si="40"/>
        <v>1.6771873096658907E-4</v>
      </c>
      <c r="W88" s="2"/>
      <c r="X88" s="6">
        <f t="shared" si="41"/>
        <v>1780.6200000000001</v>
      </c>
      <c r="Y88" s="2"/>
      <c r="Z88" s="7">
        <f t="shared" si="42"/>
        <v>7.7837908725301634</v>
      </c>
    </row>
    <row r="89" spans="1:26" s="25" customFormat="1" outlineLevel="1" collapsed="1" x14ac:dyDescent="0.25">
      <c r="A89" s="27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SUM(OSRRefD22_10x_0)</f>
        <v>258.35000000000002</v>
      </c>
      <c r="E89" s="1"/>
      <c r="F89" s="5">
        <f t="shared" ref="F89:F94" si="43">IF(D$12=0,0,D89/D$12)</f>
        <v>1.6098546158273737E-3</v>
      </c>
      <c r="G89" s="1"/>
      <c r="H89" s="1">
        <f>SUM(OSRRefH22_10x_0)</f>
        <v>241.45</v>
      </c>
      <c r="I89" s="1"/>
      <c r="J89" s="5">
        <f t="shared" ref="J89:J94" si="44">IF(H$12=0,0,H89/H$12)</f>
        <v>1.3334782514087811E-3</v>
      </c>
      <c r="K89" s="1"/>
      <c r="L89" s="1">
        <f t="shared" ref="L89:L94" si="45">+D89-H89</f>
        <v>16.900000000000034</v>
      </c>
      <c r="M89" s="1"/>
      <c r="N89" s="5">
        <f t="shared" ref="N89:N94" si="46">IF(H89=0,0,L89/H89)</f>
        <v>6.9993787533651E-2</v>
      </c>
      <c r="O89" s="13"/>
      <c r="P89" s="1">
        <f>SUM(OSRRefP22_10x_0)</f>
        <v>1279.1500000000001</v>
      </c>
      <c r="Q89" s="1"/>
      <c r="R89" s="5">
        <f t="shared" ref="R89:R94" si="47">IF(P$12=0,0,P89/P$12)</f>
        <v>8.5340095408111775E-4</v>
      </c>
      <c r="S89" s="1"/>
      <c r="T89" s="1">
        <f>SUM(OSRRefT22_10x_0)</f>
        <v>1775.4</v>
      </c>
      <c r="U89" s="1"/>
      <c r="V89" s="5">
        <f t="shared" ref="V89:V94" si="48">IF(T$12=0,0,T89/T$12)</f>
        <v>1.3016604081049232E-3</v>
      </c>
      <c r="W89" s="1"/>
      <c r="X89" s="1">
        <f t="shared" ref="X89:X94" si="49">+P89-T89</f>
        <v>-496.25</v>
      </c>
      <c r="Y89" s="1"/>
      <c r="Z89" s="5">
        <f t="shared" ref="Z89:Z94" si="50">IF(T89=0,0,X89/T89)</f>
        <v>-0.27951447561112985</v>
      </c>
    </row>
    <row r="90" spans="1:26" s="24" customFormat="1" hidden="1" outlineLevel="2" x14ac:dyDescent="0.25">
      <c r="A90" s="26"/>
      <c r="B90" s="11" t="str">
        <f>CONCATENATE("          ", "6309", " - ", "TELEPHONE")</f>
        <v xml:space="preserve">          6309 - TELEPHONE</v>
      </c>
      <c r="C90" s="11"/>
      <c r="D90" s="6">
        <v>258.35000000000002</v>
      </c>
      <c r="E90" s="2"/>
      <c r="F90" s="7">
        <f t="shared" si="43"/>
        <v>1.6098546158273737E-3</v>
      </c>
      <c r="G90" s="2"/>
      <c r="H90" s="6">
        <v>241.45</v>
      </c>
      <c r="I90" s="2"/>
      <c r="J90" s="7">
        <f t="shared" si="44"/>
        <v>1.3334782514087811E-3</v>
      </c>
      <c r="K90" s="2"/>
      <c r="L90" s="6">
        <f t="shared" si="45"/>
        <v>16.900000000000034</v>
      </c>
      <c r="M90" s="2"/>
      <c r="N90" s="7">
        <f t="shared" si="46"/>
        <v>6.9993787533651E-2</v>
      </c>
      <c r="O90" s="11"/>
      <c r="P90" s="6">
        <v>1279.1500000000001</v>
      </c>
      <c r="Q90" s="2"/>
      <c r="R90" s="7">
        <f t="shared" si="47"/>
        <v>8.5340095408111775E-4</v>
      </c>
      <c r="S90" s="2"/>
      <c r="T90" s="6">
        <v>1775.4</v>
      </c>
      <c r="U90" s="2"/>
      <c r="V90" s="7">
        <f t="shared" si="48"/>
        <v>1.3016604081049232E-3</v>
      </c>
      <c r="W90" s="2"/>
      <c r="X90" s="6">
        <f t="shared" si="49"/>
        <v>-496.25</v>
      </c>
      <c r="Y90" s="2"/>
      <c r="Z90" s="7">
        <f t="shared" si="50"/>
        <v>-0.27951447561112985</v>
      </c>
    </row>
    <row r="91" spans="1:26" s="25" customFormat="1" outlineLevel="1" collapsed="1" x14ac:dyDescent="0.25">
      <c r="A91" s="27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SUM(OSRRefD22_11x_0)</f>
        <v>1123.6400000000001</v>
      </c>
      <c r="E91" s="1"/>
      <c r="F91" s="5">
        <f t="shared" si="43"/>
        <v>7.0017303678276376E-3</v>
      </c>
      <c r="G91" s="1"/>
      <c r="H91" s="1">
        <f>SUM(OSRRefH22_11x_0)</f>
        <v>0</v>
      </c>
      <c r="I91" s="1"/>
      <c r="J91" s="5">
        <f t="shared" si="44"/>
        <v>0</v>
      </c>
      <c r="K91" s="1"/>
      <c r="L91" s="1">
        <f t="shared" si="45"/>
        <v>1123.6400000000001</v>
      </c>
      <c r="M91" s="1"/>
      <c r="N91" s="5">
        <f t="shared" si="46"/>
        <v>0</v>
      </c>
      <c r="O91" s="13"/>
      <c r="P91" s="1">
        <f>SUM(OSRRefP22_11x_0)</f>
        <v>1163.6400000000001</v>
      </c>
      <c r="Q91" s="1"/>
      <c r="R91" s="5">
        <f t="shared" si="47"/>
        <v>7.7633700989481445E-4</v>
      </c>
      <c r="S91" s="1"/>
      <c r="T91" s="1">
        <f>SUM(OSRRefT22_11x_0)</f>
        <v>0</v>
      </c>
      <c r="U91" s="1"/>
      <c r="V91" s="5">
        <f t="shared" si="48"/>
        <v>0</v>
      </c>
      <c r="W91" s="1"/>
      <c r="X91" s="1">
        <f t="shared" si="49"/>
        <v>1163.6400000000001</v>
      </c>
      <c r="Y91" s="1"/>
      <c r="Z91" s="5">
        <f t="shared" si="50"/>
        <v>0</v>
      </c>
    </row>
    <row r="92" spans="1:26" s="24" customFormat="1" hidden="1" outlineLevel="2" x14ac:dyDescent="0.25">
      <c r="A92" s="26"/>
      <c r="B92" s="11" t="str">
        <f>CONCATENATE("          ", "6376", " - ", "TRAINING")</f>
        <v xml:space="preserve">          6376 - TRAINING</v>
      </c>
      <c r="C92" s="11"/>
      <c r="D92" s="6">
        <v>1123.6400000000001</v>
      </c>
      <c r="E92" s="2"/>
      <c r="F92" s="7">
        <f t="shared" si="43"/>
        <v>7.0017303678276376E-3</v>
      </c>
      <c r="G92" s="2"/>
      <c r="H92" s="6"/>
      <c r="I92" s="2"/>
      <c r="J92" s="7">
        <f t="shared" si="44"/>
        <v>0</v>
      </c>
      <c r="K92" s="2"/>
      <c r="L92" s="6">
        <f t="shared" si="45"/>
        <v>1123.6400000000001</v>
      </c>
      <c r="M92" s="2"/>
      <c r="N92" s="7">
        <f t="shared" si="46"/>
        <v>0</v>
      </c>
      <c r="O92" s="11"/>
      <c r="P92" s="6">
        <v>1163.6400000000001</v>
      </c>
      <c r="Q92" s="2"/>
      <c r="R92" s="7">
        <f t="shared" si="47"/>
        <v>7.7633700989481445E-4</v>
      </c>
      <c r="S92" s="2"/>
      <c r="T92" s="6"/>
      <c r="U92" s="2"/>
      <c r="V92" s="7">
        <f t="shared" si="48"/>
        <v>0</v>
      </c>
      <c r="W92" s="2"/>
      <c r="X92" s="6">
        <f t="shared" si="49"/>
        <v>1163.6400000000001</v>
      </c>
      <c r="Y92" s="2"/>
      <c r="Z92" s="7">
        <f t="shared" si="50"/>
        <v>0</v>
      </c>
    </row>
    <row r="93" spans="1:26" s="25" customFormat="1" outlineLevel="1" collapsed="1" x14ac:dyDescent="0.25">
      <c r="A93" s="27"/>
      <c r="B93" s="13" t="str">
        <f>CONCATENATE("     ","Travel                                            ")</f>
        <v xml:space="preserve">     Travel                                            </v>
      </c>
      <c r="C93" s="13"/>
      <c r="D93" s="1">
        <f>SUM(OSRRefD22_12x_0)</f>
        <v>-178.06</v>
      </c>
      <c r="E93" s="1"/>
      <c r="F93" s="5">
        <f t="shared" si="43"/>
        <v>-1.1095440793273549E-3</v>
      </c>
      <c r="G93" s="1"/>
      <c r="H93" s="1">
        <f>SUM(OSRRefH22_12x_0)</f>
        <v>0</v>
      </c>
      <c r="I93" s="1"/>
      <c r="J93" s="5">
        <f t="shared" si="44"/>
        <v>0</v>
      </c>
      <c r="K93" s="1"/>
      <c r="L93" s="1">
        <f t="shared" si="45"/>
        <v>-178.06</v>
      </c>
      <c r="M93" s="1"/>
      <c r="N93" s="5">
        <f t="shared" si="46"/>
        <v>0</v>
      </c>
      <c r="O93" s="13"/>
      <c r="P93" s="1">
        <f>SUM(OSRRefP22_12x_0)</f>
        <v>-178.06</v>
      </c>
      <c r="Q93" s="1"/>
      <c r="R93" s="5">
        <f t="shared" si="47"/>
        <v>-1.1879496062516813E-4</v>
      </c>
      <c r="S93" s="1"/>
      <c r="T93" s="1">
        <f>SUM(OSRRefT22_12x_0)</f>
        <v>113.4</v>
      </c>
      <c r="U93" s="1"/>
      <c r="V93" s="5">
        <f t="shared" si="48"/>
        <v>8.3140864187844027E-5</v>
      </c>
      <c r="W93" s="1"/>
      <c r="X93" s="1">
        <f t="shared" si="49"/>
        <v>-291.46000000000004</v>
      </c>
      <c r="Y93" s="1"/>
      <c r="Z93" s="5">
        <f t="shared" si="50"/>
        <v>-2.570194003527337</v>
      </c>
    </row>
    <row r="94" spans="1:26" s="24" customFormat="1" hidden="1" outlineLevel="2" x14ac:dyDescent="0.25">
      <c r="A94" s="26"/>
      <c r="B94" s="11" t="str">
        <f>CONCATENATE("          ", "6292", " - ", "TRAVEL/CONFERENCE")</f>
        <v xml:space="preserve">          6292 - TRAVEL/CONFERENCE</v>
      </c>
      <c r="C94" s="11"/>
      <c r="D94" s="6">
        <v>-178.06</v>
      </c>
      <c r="E94" s="2"/>
      <c r="F94" s="7">
        <f t="shared" si="43"/>
        <v>-1.1095440793273549E-3</v>
      </c>
      <c r="G94" s="2"/>
      <c r="H94" s="6"/>
      <c r="I94" s="2"/>
      <c r="J94" s="7">
        <f t="shared" si="44"/>
        <v>0</v>
      </c>
      <c r="K94" s="2"/>
      <c r="L94" s="6">
        <f t="shared" si="45"/>
        <v>-178.06</v>
      </c>
      <c r="M94" s="2"/>
      <c r="N94" s="7">
        <f t="shared" si="46"/>
        <v>0</v>
      </c>
      <c r="O94" s="11"/>
      <c r="P94" s="6">
        <v>-178.06</v>
      </c>
      <c r="Q94" s="2"/>
      <c r="R94" s="7">
        <f t="shared" si="47"/>
        <v>-1.1879496062516813E-4</v>
      </c>
      <c r="S94" s="2"/>
      <c r="T94" s="6">
        <v>113.4</v>
      </c>
      <c r="U94" s="2"/>
      <c r="V94" s="7">
        <f t="shared" si="48"/>
        <v>8.3140864187844027E-5</v>
      </c>
      <c r="W94" s="2"/>
      <c r="X94" s="6">
        <f t="shared" si="49"/>
        <v>-291.46000000000004</v>
      </c>
      <c r="Y94" s="2"/>
      <c r="Z94" s="7">
        <f t="shared" si="50"/>
        <v>-2.570194003527337</v>
      </c>
    </row>
    <row r="95" spans="1:26" s="53" customFormat="1" x14ac:dyDescent="0.25">
      <c r="A95" s="37"/>
      <c r="B95" s="37"/>
      <c r="C95" s="37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7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collapsed="1" x14ac:dyDescent="0.25">
      <c r="A96" s="10"/>
      <c r="B96" s="28" t="s">
        <v>0</v>
      </c>
      <c r="C96" s="10"/>
      <c r="D96" s="4">
        <f>SUM(OSRRefD25x_0)</f>
        <v>942.8</v>
      </c>
      <c r="E96" s="4"/>
      <c r="F96" s="12">
        <f t="shared" ref="F96:F99" si="51">IF(D$12=0,0,D96/D$12)</f>
        <v>5.8748632932148154E-3</v>
      </c>
      <c r="G96" s="4"/>
      <c r="H96" s="4">
        <f>SUM(OSRRefH25x_0)</f>
        <v>1574.34</v>
      </c>
      <c r="I96" s="4"/>
      <c r="J96" s="12">
        <f t="shared" ref="J96:J99" si="52">IF(H$12=0,0,H96/H$12)</f>
        <v>8.6947531593410659E-3</v>
      </c>
      <c r="K96" s="4"/>
      <c r="L96" s="4">
        <f t="shared" ref="L96:L99" si="53">+D96-H96</f>
        <v>-631.54</v>
      </c>
      <c r="M96" s="4"/>
      <c r="N96" s="12">
        <f t="shared" ref="N96:N99" si="54">IF(H96=0,0,L96/H96)</f>
        <v>-0.40114587700242643</v>
      </c>
      <c r="O96" s="10"/>
      <c r="P96" s="4">
        <f>SUM(OSRRefP25x_0)</f>
        <v>7231.7300000000005</v>
      </c>
      <c r="Q96" s="4"/>
      <c r="R96" s="12">
        <f t="shared" ref="R96:R99" si="55">IF(P$12=0,0,P96/P$12)</f>
        <v>4.8247393047391174E-3</v>
      </c>
      <c r="S96" s="4"/>
      <c r="T96" s="4">
        <f>SUM(OSRRefT25x_0)</f>
        <v>6030.87</v>
      </c>
      <c r="U96" s="4"/>
      <c r="V96" s="12">
        <f t="shared" ref="V96:V99" si="56">IF(T$12=0,0,T96/T$12)</f>
        <v>4.4216203139730414E-3</v>
      </c>
      <c r="W96" s="4"/>
      <c r="X96" s="4">
        <f t="shared" ref="X96:X99" si="57">+P96-T96</f>
        <v>1200.8600000000006</v>
      </c>
      <c r="Y96" s="4"/>
      <c r="Z96" s="12">
        <f t="shared" ref="Z96:Z99" si="58">IF(T96=0,0,X96/T96)</f>
        <v>0.1991188667638335</v>
      </c>
    </row>
    <row r="97" spans="1:26" s="24" customFormat="1" hidden="1" outlineLevel="1" x14ac:dyDescent="0.25">
      <c r="A97" s="44"/>
      <c r="B97" s="11" t="str">
        <f>CONCATENATE("          ", "4187", " - ", "NON-TAXABLE SALES-COMPUTER REP")</f>
        <v xml:space="preserve">          4187 - NON-TAXABLE SALES-COMPUTER REP</v>
      </c>
      <c r="C97" s="11"/>
      <c r="D97" s="2">
        <f>--949.24</f>
        <v>949.24</v>
      </c>
      <c r="E97" s="2"/>
      <c r="F97" s="19">
        <f t="shared" si="51"/>
        <v>5.9149928218617228E-3</v>
      </c>
      <c r="G97" s="2"/>
      <c r="H97" s="2">
        <f>--701.66</f>
        <v>701.66</v>
      </c>
      <c r="I97" s="2"/>
      <c r="J97" s="19">
        <f t="shared" si="52"/>
        <v>3.8751225921867271E-3</v>
      </c>
      <c r="K97" s="2"/>
      <c r="L97" s="2">
        <f t="shared" si="53"/>
        <v>247.58000000000004</v>
      </c>
      <c r="M97" s="2"/>
      <c r="N97" s="19">
        <f t="shared" si="54"/>
        <v>0.35284895818487594</v>
      </c>
      <c r="O97" s="11"/>
      <c r="P97" s="2">
        <f>--12731.93</f>
        <v>12731.93</v>
      </c>
      <c r="Q97" s="2"/>
      <c r="R97" s="19">
        <f t="shared" si="55"/>
        <v>8.4942666687206382E-3</v>
      </c>
      <c r="S97" s="2"/>
      <c r="T97" s="2">
        <f>--4961.38</f>
        <v>4961.38</v>
      </c>
      <c r="U97" s="2"/>
      <c r="V97" s="19">
        <f t="shared" si="56"/>
        <v>3.6375081196145117E-3</v>
      </c>
      <c r="W97" s="2"/>
      <c r="X97" s="2">
        <f t="shared" si="57"/>
        <v>7770.55</v>
      </c>
      <c r="Y97" s="2"/>
      <c r="Z97" s="19">
        <f t="shared" si="58"/>
        <v>1.5662073858482921</v>
      </c>
    </row>
    <row r="98" spans="1:26" s="24" customFormat="1" hidden="1" outlineLevel="1" x14ac:dyDescent="0.25">
      <c r="A98" s="44"/>
      <c r="B98" s="11" t="str">
        <f>CONCATENATE("          ", "4387", " - ", "SALES RETURN NON TAXABLE-COMPU")</f>
        <v xml:space="preserve">          4387 - SALES RETURN NON TAXABLE-COMPU</v>
      </c>
      <c r="C98" s="11"/>
      <c r="D98" s="2">
        <f>-1098.25</f>
        <v>-1098.25</v>
      </c>
      <c r="E98" s="2"/>
      <c r="F98" s="19">
        <f t="shared" si="51"/>
        <v>-6.8435178317492271E-3</v>
      </c>
      <c r="G98" s="2"/>
      <c r="H98" s="2">
        <f>0</f>
        <v>0</v>
      </c>
      <c r="I98" s="2"/>
      <c r="J98" s="19">
        <f t="shared" si="52"/>
        <v>0</v>
      </c>
      <c r="K98" s="2"/>
      <c r="L98" s="2">
        <f t="shared" si="53"/>
        <v>-1098.25</v>
      </c>
      <c r="M98" s="2"/>
      <c r="N98" s="19">
        <f t="shared" si="54"/>
        <v>0</v>
      </c>
      <c r="O98" s="11"/>
      <c r="P98" s="2">
        <f>-7889</f>
        <v>-7889</v>
      </c>
      <c r="Q98" s="2"/>
      <c r="R98" s="19">
        <f t="shared" si="55"/>
        <v>-5.26324522280103E-3</v>
      </c>
      <c r="S98" s="2"/>
      <c r="T98" s="2">
        <f>0</f>
        <v>0</v>
      </c>
      <c r="U98" s="2"/>
      <c r="V98" s="19">
        <f t="shared" si="56"/>
        <v>0</v>
      </c>
      <c r="W98" s="2"/>
      <c r="X98" s="2">
        <f t="shared" si="57"/>
        <v>-7889</v>
      </c>
      <c r="Y98" s="2"/>
      <c r="Z98" s="19">
        <f t="shared" si="58"/>
        <v>0</v>
      </c>
    </row>
    <row r="99" spans="1:26" s="24" customFormat="1" hidden="1" outlineLevel="1" x14ac:dyDescent="0.25">
      <c r="A99" s="44"/>
      <c r="B99" s="11" t="str">
        <f>CONCATENATE("          ", "9150", " - ", "MISC. INCOME")</f>
        <v xml:space="preserve">          9150 - MISC. INCOME</v>
      </c>
      <c r="C99" s="11"/>
      <c r="D99" s="2">
        <f>--1091.81</f>
        <v>1091.81</v>
      </c>
      <c r="E99" s="2"/>
      <c r="F99" s="19">
        <f t="shared" si="51"/>
        <v>6.8033883031023206E-3</v>
      </c>
      <c r="G99" s="2"/>
      <c r="H99" s="2">
        <f>--872.68</f>
        <v>872.68</v>
      </c>
      <c r="I99" s="2"/>
      <c r="J99" s="19">
        <f t="shared" si="52"/>
        <v>4.8196305671543383E-3</v>
      </c>
      <c r="K99" s="2"/>
      <c r="L99" s="2">
        <f t="shared" si="53"/>
        <v>219.13</v>
      </c>
      <c r="M99" s="2"/>
      <c r="N99" s="19">
        <f t="shared" si="54"/>
        <v>0.25110005958656095</v>
      </c>
      <c r="O99" s="11"/>
      <c r="P99" s="2">
        <f>--2388.8</f>
        <v>2388.8000000000002</v>
      </c>
      <c r="Q99" s="2"/>
      <c r="R99" s="19">
        <f t="shared" si="55"/>
        <v>1.5937178588195083E-3</v>
      </c>
      <c r="S99" s="2"/>
      <c r="T99" s="2">
        <f>--1069.49</f>
        <v>1069.49</v>
      </c>
      <c r="U99" s="2"/>
      <c r="V99" s="19">
        <f t="shared" si="56"/>
        <v>7.8411219435853003E-4</v>
      </c>
      <c r="W99" s="2"/>
      <c r="X99" s="2">
        <f t="shared" si="57"/>
        <v>1319.3100000000002</v>
      </c>
      <c r="Y99" s="2"/>
      <c r="Z99" s="19">
        <f t="shared" si="58"/>
        <v>1.2335879718370439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9" t="s">
        <v>3</v>
      </c>
      <c r="C101" s="29"/>
      <c r="D101" s="21">
        <f>+D54-D56+D96</f>
        <v>29596.329999999929</v>
      </c>
      <c r="E101" s="14"/>
      <c r="F101" s="20">
        <f>IF(D$12=0,0,D101/D$12)</f>
        <v>0.1844234118910395</v>
      </c>
      <c r="G101" s="14"/>
      <c r="H101" s="21">
        <f>+H54-H56+H96</f>
        <v>6700.5000000000582</v>
      </c>
      <c r="I101" s="14"/>
      <c r="J101" s="20">
        <f>IF(H$12=0,0,H101/H$12)</f>
        <v>3.700547120962773E-2</v>
      </c>
      <c r="K101" s="15"/>
      <c r="L101" s="21">
        <f>+D101-H101</f>
        <v>22895.829999999871</v>
      </c>
      <c r="M101" s="15"/>
      <c r="N101" s="20">
        <f>IF(H101=0,0,L101/H101)</f>
        <v>3.4170330572344856</v>
      </c>
      <c r="O101" s="28"/>
      <c r="P101" s="21">
        <f>+P54-P56+P96</f>
        <v>54490.210000000072</v>
      </c>
      <c r="Q101" s="14"/>
      <c r="R101" s="20">
        <f>IF(P$12=0,0,P101/P$12)</f>
        <v>3.6353826527053525E-2</v>
      </c>
      <c r="S101" s="14"/>
      <c r="T101" s="21">
        <f>+T54-T56+T96</f>
        <v>48130.630000000332</v>
      </c>
      <c r="U101" s="14"/>
      <c r="V101" s="20">
        <f>IF(T$12=0,0,T101/T$12)</f>
        <v>3.5287673475356253E-2</v>
      </c>
      <c r="W101" s="15"/>
      <c r="X101" s="21">
        <f>+P101-T101</f>
        <v>6359.5799999997398</v>
      </c>
      <c r="Y101" s="15"/>
      <c r="Z101" s="20">
        <f>IF(T101=0,0,X101/T101)</f>
        <v>0.13213165919498032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1"/>
      <c r="B103" s="10" t="s">
        <v>13</v>
      </c>
      <c r="C103" s="10"/>
      <c r="D103" s="4">
        <v>23994.560000000001</v>
      </c>
      <c r="E103" s="4"/>
      <c r="F103" s="12">
        <f>IF(D$12=0,0,D103/D$12)</f>
        <v>0.14951714020029752</v>
      </c>
      <c r="G103" s="4"/>
      <c r="H103" s="4">
        <v>34882.43</v>
      </c>
      <c r="I103" s="4"/>
      <c r="J103" s="12">
        <f>IF(H$12=0,0,H103/H$12)</f>
        <v>0.19264842311571426</v>
      </c>
      <c r="K103" s="4"/>
      <c r="L103" s="4">
        <f>+D103-H103</f>
        <v>-10887.869999999999</v>
      </c>
      <c r="M103" s="4"/>
      <c r="N103" s="12">
        <f>IF(H103=0,0,L103/H103)</f>
        <v>-0.31213049090903355</v>
      </c>
      <c r="O103" s="10"/>
      <c r="P103" s="4">
        <v>158721.79999999999</v>
      </c>
      <c r="Q103" s="4"/>
      <c r="R103" s="12">
        <f>IF(P$12=0,0,P103/P$12)</f>
        <v>0.1058932381295957</v>
      </c>
      <c r="S103" s="4"/>
      <c r="T103" s="4">
        <v>143518.1</v>
      </c>
      <c r="U103" s="4"/>
      <c r="V103" s="12">
        <f>IF(T$12=0,0,T103/T$12)</f>
        <v>0.10522238854142345</v>
      </c>
      <c r="W103" s="4"/>
      <c r="X103" s="4">
        <f>+P103-T103</f>
        <v>15203.699999999983</v>
      </c>
      <c r="Y103" s="4"/>
      <c r="Z103" s="12">
        <f>IF(T103=0,0,X103/T103)</f>
        <v>0.10593576698688167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9" t="s">
        <v>4</v>
      </c>
      <c r="C105" s="29"/>
      <c r="D105" s="31">
        <f>+D101-D103</f>
        <v>5601.7699999999277</v>
      </c>
      <c r="E105" s="14"/>
      <c r="F105" s="32">
        <f>IF(D$12=0,0,D105/D$12)</f>
        <v>3.4906271690741973E-2</v>
      </c>
      <c r="G105" s="14"/>
      <c r="H105" s="31">
        <f>+H101-H103</f>
        <v>-28181.929999999942</v>
      </c>
      <c r="I105" s="14"/>
      <c r="J105" s="32">
        <f>IF(H$12=0,0,H105/H$12)</f>
        <v>-0.15564295190608651</v>
      </c>
      <c r="K105" s="15"/>
      <c r="L105" s="31">
        <f>D105-H105</f>
        <v>33783.699999999866</v>
      </c>
      <c r="M105" s="15"/>
      <c r="N105" s="32">
        <f>IF(H105=0,0,L105/H105)</f>
        <v>-1.1987716951961749</v>
      </c>
      <c r="O105" s="28"/>
      <c r="P105" s="31">
        <f>+P101-P103</f>
        <v>-104231.58999999991</v>
      </c>
      <c r="Q105" s="14"/>
      <c r="R105" s="32">
        <f>IF(P$12=0,0,P105/P$12)</f>
        <v>-6.9539411602542164E-2</v>
      </c>
      <c r="S105" s="14"/>
      <c r="T105" s="31">
        <f>+T101-T103</f>
        <v>-95387.469999999681</v>
      </c>
      <c r="U105" s="14"/>
      <c r="V105" s="32">
        <f>IF(T$12=0,0,T105/T$12)</f>
        <v>-6.9934715066067202E-2</v>
      </c>
      <c r="W105" s="15"/>
      <c r="X105" s="31">
        <f>P105-T105</f>
        <v>-8844.1200000002282</v>
      </c>
      <c r="Y105" s="15"/>
      <c r="Z105" s="32">
        <f>IF(T105=0,0,X105/T105)</f>
        <v>9.2717838097606087E-2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9" t="s">
        <v>5</v>
      </c>
      <c r="C108" s="29"/>
      <c r="D108" s="34">
        <f>SUM(D105:D107)</f>
        <v>5601.7699999999277</v>
      </c>
      <c r="E108" s="14"/>
      <c r="F108" s="30">
        <f>IF(D$12=0,0,D108/D$12)</f>
        <v>3.4906271690741973E-2</v>
      </c>
      <c r="G108" s="14"/>
      <c r="H108" s="34">
        <f>SUM(H105:H107)</f>
        <v>-28181.929999999942</v>
      </c>
      <c r="I108" s="14"/>
      <c r="J108" s="30">
        <f>IF(H$12=0,0,H108/H$12)</f>
        <v>-0.15564295190608651</v>
      </c>
      <c r="K108" s="15"/>
      <c r="L108" s="34">
        <f>+D108-H108</f>
        <v>33783.699999999866</v>
      </c>
      <c r="M108" s="15"/>
      <c r="N108" s="30">
        <f>IF(H108=0,0,L108/H108)</f>
        <v>-1.1987716951961749</v>
      </c>
      <c r="O108" s="28"/>
      <c r="P108" s="34">
        <f>SUM(P105:P107)</f>
        <v>-104231.58999999991</v>
      </c>
      <c r="Q108" s="14"/>
      <c r="R108" s="30">
        <f>IF(P$12=0,0,P108/P$12)</f>
        <v>-6.9539411602542164E-2</v>
      </c>
      <c r="S108" s="14"/>
      <c r="T108" s="34">
        <f>SUM(T105:T107)</f>
        <v>-95387.469999999681</v>
      </c>
      <c r="U108" s="14"/>
      <c r="V108" s="30">
        <f>IF(T$12=0,0,T108/T$12)</f>
        <v>-6.9934715066067202E-2</v>
      </c>
      <c r="W108" s="15"/>
      <c r="X108" s="34">
        <f>+P108-T108</f>
        <v>-8844.1200000002282</v>
      </c>
      <c r="Y108" s="15"/>
      <c r="Z108" s="30">
        <f>IF(T108=0,0,X108/T108)</f>
        <v>9.2717838097606087E-2</v>
      </c>
    </row>
    <row r="109" spans="1:26" ht="15.75" thickTop="1" x14ac:dyDescent="0.25">
      <c r="A109" s="9"/>
      <c r="C109" s="9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59">
        <v>43815.49147630787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62" t="s">
        <v>313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61"/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4:24" x14ac:dyDescent="0.25"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","317", " - ", "Computer Store")</f>
        <v>Department 317 - Computer 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160480.32999999993</v>
      </c>
      <c r="E12" s="4"/>
      <c r="F12" s="12"/>
      <c r="G12" s="4"/>
      <c r="H12" s="4">
        <f>SUM(OSRRefH13x_0)</f>
        <v>181067.82000000007</v>
      </c>
      <c r="I12" s="4"/>
      <c r="J12" s="12"/>
      <c r="K12" s="4"/>
      <c r="L12" s="4">
        <f t="shared" ref="L12:L36" si="0">+D12-H12</f>
        <v>-20587.490000000136</v>
      </c>
      <c r="M12" s="4"/>
      <c r="N12" s="12">
        <f t="shared" ref="N12:N36" si="1">IF(H12=0,0,L12/H12)</f>
        <v>-0.11370043556055476</v>
      </c>
      <c r="O12" s="10"/>
      <c r="P12" s="4">
        <f>SUM(OSRRefP13x_0)</f>
        <v>1498885.13</v>
      </c>
      <c r="Q12" s="4"/>
      <c r="R12" s="12"/>
      <c r="S12" s="4"/>
      <c r="T12" s="4">
        <f>SUM(OSRRefT13x_0)</f>
        <v>1363950.2200000002</v>
      </c>
      <c r="U12" s="4"/>
      <c r="V12" s="12"/>
      <c r="W12" s="4"/>
      <c r="X12" s="4">
        <f t="shared" ref="X12:X36" si="2">+P12-T12</f>
        <v>134934.90999999968</v>
      </c>
      <c r="Y12" s="4"/>
      <c r="Z12" s="12">
        <f t="shared" ref="Z12:Z36" si="3">IF(T12=0,0,X12/T12)</f>
        <v>9.892949758826218E-2</v>
      </c>
    </row>
    <row r="13" spans="1:26" s="24" customFormat="1" hidden="1" outlineLevel="1" x14ac:dyDescent="0.25">
      <c r="A13" s="44"/>
      <c r="B13" s="11" t="str">
        <f>CONCATENATE("          ", "4081", " - ", "TAXABLE SALES-ELECTRONICS")</f>
        <v xml:space="preserve">          4081 - TAXABLE SALES-ELECTRONICS</v>
      </c>
      <c r="C13" s="11"/>
      <c r="D13" s="2">
        <f>--16123.77</f>
        <v>16123.77</v>
      </c>
      <c r="E13" s="2"/>
      <c r="F13" s="19"/>
      <c r="G13" s="2"/>
      <c r="H13" s="2">
        <f>--10597.03</f>
        <v>10597.03</v>
      </c>
      <c r="I13" s="2"/>
      <c r="J13" s="19"/>
      <c r="K13" s="2"/>
      <c r="L13" s="2">
        <f t="shared" si="0"/>
        <v>5526.74</v>
      </c>
      <c r="M13" s="2"/>
      <c r="N13" s="19">
        <f t="shared" si="1"/>
        <v>0.52153669471540609</v>
      </c>
      <c r="O13" s="11"/>
      <c r="P13" s="2">
        <f>--229580.58</f>
        <v>229580.58</v>
      </c>
      <c r="Q13" s="2"/>
      <c r="R13" s="19"/>
      <c r="S13" s="2"/>
      <c r="T13" s="2">
        <f>--174856.95</f>
        <v>174856.95</v>
      </c>
      <c r="U13" s="2"/>
      <c r="V13" s="19"/>
      <c r="W13" s="2"/>
      <c r="X13" s="2">
        <f t="shared" si="2"/>
        <v>54723.629999999976</v>
      </c>
      <c r="Y13" s="2"/>
      <c r="Z13" s="19">
        <f t="shared" si="3"/>
        <v>0.31296228145349653</v>
      </c>
    </row>
    <row r="14" spans="1:26" s="24" customFormat="1" hidden="1" outlineLevel="1" x14ac:dyDescent="0.25">
      <c r="A14" s="44"/>
      <c r="B14" s="11" t="str">
        <f>CONCATENATE("          ", "4082", " - ", "TAXABLE SALES-COMPUTER HARDWAR")</f>
        <v xml:space="preserve">          4082 - TAXABLE SALES-COMPUTER HARDWAR</v>
      </c>
      <c r="C14" s="11"/>
      <c r="D14" s="2">
        <f>--134369.21</f>
        <v>134369.21</v>
      </c>
      <c r="E14" s="2"/>
      <c r="F14" s="19"/>
      <c r="G14" s="2"/>
      <c r="H14" s="2">
        <f>--123497.45</f>
        <v>123497.45</v>
      </c>
      <c r="I14" s="2"/>
      <c r="J14" s="19"/>
      <c r="K14" s="2"/>
      <c r="L14" s="2">
        <f t="shared" si="0"/>
        <v>10871.759999999995</v>
      </c>
      <c r="M14" s="2"/>
      <c r="N14" s="19">
        <f t="shared" si="1"/>
        <v>8.8032263014337503E-2</v>
      </c>
      <c r="O14" s="11"/>
      <c r="P14" s="2">
        <f>--1282768.84</f>
        <v>1282768.8400000001</v>
      </c>
      <c r="Q14" s="2"/>
      <c r="R14" s="19"/>
      <c r="S14" s="2"/>
      <c r="T14" s="2">
        <f>--960079.91</f>
        <v>960079.91</v>
      </c>
      <c r="U14" s="2"/>
      <c r="V14" s="19"/>
      <c r="W14" s="2"/>
      <c r="X14" s="2">
        <f t="shared" si="2"/>
        <v>322688.93000000005</v>
      </c>
      <c r="Y14" s="2"/>
      <c r="Z14" s="19">
        <f t="shared" si="3"/>
        <v>0.33610632473290691</v>
      </c>
    </row>
    <row r="15" spans="1:26" s="24" customFormat="1" hidden="1" outlineLevel="1" x14ac:dyDescent="0.25">
      <c r="A15" s="44"/>
      <c r="B15" s="11" t="str">
        <f>CONCATENATE("          ", "4083", " - ", "TAXABLE SALES-COMPUTER EQUIPME")</f>
        <v xml:space="preserve">          4083 - TAXABLE SALES-COMPUTER EQUIPME</v>
      </c>
      <c r="C15" s="11"/>
      <c r="D15" s="2">
        <f>--9897.8</f>
        <v>9897.7999999999993</v>
      </c>
      <c r="E15" s="2"/>
      <c r="F15" s="19"/>
      <c r="G15" s="2"/>
      <c r="H15" s="2">
        <f>--15982.42</f>
        <v>15982.42</v>
      </c>
      <c r="I15" s="2"/>
      <c r="J15" s="19"/>
      <c r="K15" s="2"/>
      <c r="L15" s="2">
        <f t="shared" si="0"/>
        <v>-6084.6200000000008</v>
      </c>
      <c r="M15" s="2"/>
      <c r="N15" s="19">
        <f t="shared" si="1"/>
        <v>-0.38070705187324577</v>
      </c>
      <c r="O15" s="11"/>
      <c r="P15" s="2">
        <f>--63504.02</f>
        <v>63504.02</v>
      </c>
      <c r="Q15" s="2"/>
      <c r="R15" s="19"/>
      <c r="S15" s="2"/>
      <c r="T15" s="2">
        <f>--69029.89</f>
        <v>69029.89</v>
      </c>
      <c r="U15" s="2"/>
      <c r="V15" s="19"/>
      <c r="W15" s="2"/>
      <c r="X15" s="2">
        <f t="shared" si="2"/>
        <v>-5525.8700000000026</v>
      </c>
      <c r="Y15" s="2"/>
      <c r="Z15" s="19">
        <f t="shared" si="3"/>
        <v>-8.0050395560531867E-2</v>
      </c>
    </row>
    <row r="16" spans="1:26" s="24" customFormat="1" hidden="1" outlineLevel="1" x14ac:dyDescent="0.25">
      <c r="A16" s="44"/>
      <c r="B16" s="11" t="str">
        <f>CONCATENATE("          ", "4084", " - ", "TAXABLE SALES-SOFTWARE LICENSE")</f>
        <v xml:space="preserve">          4084 - TAXABLE SALES-SOFTWARE LICENSE</v>
      </c>
      <c r="C16" s="11"/>
      <c r="D16" s="2">
        <f t="shared" ref="D16:D17" si="4">0</f>
        <v>0</v>
      </c>
      <c r="E16" s="2"/>
      <c r="F16" s="19"/>
      <c r="G16" s="2"/>
      <c r="H16" s="2">
        <f>--129</f>
        <v>129</v>
      </c>
      <c r="I16" s="2"/>
      <c r="J16" s="19"/>
      <c r="K16" s="2"/>
      <c r="L16" s="2">
        <f t="shared" si="0"/>
        <v>-129</v>
      </c>
      <c r="M16" s="2"/>
      <c r="N16" s="19">
        <f t="shared" si="1"/>
        <v>-1</v>
      </c>
      <c r="O16" s="11"/>
      <c r="P16" s="2">
        <f>--129</f>
        <v>129</v>
      </c>
      <c r="Q16" s="2"/>
      <c r="R16" s="19"/>
      <c r="S16" s="2"/>
      <c r="T16" s="2">
        <f>--407.99</f>
        <v>407.99</v>
      </c>
      <c r="U16" s="2"/>
      <c r="V16" s="19"/>
      <c r="W16" s="2"/>
      <c r="X16" s="2">
        <f t="shared" si="2"/>
        <v>-278.99</v>
      </c>
      <c r="Y16" s="2"/>
      <c r="Z16" s="19">
        <f t="shared" si="3"/>
        <v>-0.68381577979852448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--836</f>
        <v>836</v>
      </c>
      <c r="I17" s="2"/>
      <c r="J17" s="19"/>
      <c r="K17" s="2"/>
      <c r="L17" s="2">
        <f t="shared" si="0"/>
        <v>-836</v>
      </c>
      <c r="M17" s="2"/>
      <c r="N17" s="19">
        <f t="shared" si="1"/>
        <v>-1</v>
      </c>
      <c r="O17" s="11"/>
      <c r="P17" s="2">
        <f>--4407.94</f>
        <v>4407.9399999999996</v>
      </c>
      <c r="Q17" s="2"/>
      <c r="R17" s="19"/>
      <c r="S17" s="2"/>
      <c r="T17" s="2">
        <f>--9438.84</f>
        <v>9438.84</v>
      </c>
      <c r="U17" s="2"/>
      <c r="V17" s="19"/>
      <c r="W17" s="2"/>
      <c r="X17" s="2">
        <f t="shared" si="2"/>
        <v>-5030.9000000000005</v>
      </c>
      <c r="Y17" s="2"/>
      <c r="Z17" s="19">
        <f t="shared" si="3"/>
        <v>-0.53299981777421812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--3769.61</f>
        <v>3769.61</v>
      </c>
      <c r="E18" s="2"/>
      <c r="F18" s="19"/>
      <c r="G18" s="2"/>
      <c r="H18" s="2">
        <f>--4265.26</f>
        <v>4265.26</v>
      </c>
      <c r="I18" s="2"/>
      <c r="J18" s="19"/>
      <c r="K18" s="2"/>
      <c r="L18" s="2">
        <f t="shared" si="0"/>
        <v>-495.65000000000009</v>
      </c>
      <c r="M18" s="2"/>
      <c r="N18" s="19">
        <f t="shared" si="1"/>
        <v>-0.11620628050810503</v>
      </c>
      <c r="O18" s="11"/>
      <c r="P18" s="2">
        <f>--30367.91</f>
        <v>30367.91</v>
      </c>
      <c r="Q18" s="2"/>
      <c r="R18" s="19"/>
      <c r="S18" s="2"/>
      <c r="T18" s="2">
        <f>--35744.26</f>
        <v>35744.26</v>
      </c>
      <c r="U18" s="2"/>
      <c r="V18" s="19"/>
      <c r="W18" s="2"/>
      <c r="X18" s="2">
        <f t="shared" si="2"/>
        <v>-5376.3500000000022</v>
      </c>
      <c r="Y18" s="2"/>
      <c r="Z18" s="19">
        <f t="shared" si="3"/>
        <v>-0.15041156258375477</v>
      </c>
    </row>
    <row r="19" spans="1:26" s="24" customFormat="1" hidden="1" outlineLevel="1" x14ac:dyDescent="0.25">
      <c r="A19" s="44"/>
      <c r="B19" s="11" t="str">
        <f>CONCATENATE("          ", "4088", " - ", "TAXABLE SALES-MUSIC")</f>
        <v xml:space="preserve">          4088 - TAXABLE SALES-MUSIC</v>
      </c>
      <c r="C19" s="11"/>
      <c r="D19" s="2">
        <f>--118.97</f>
        <v>118.97</v>
      </c>
      <c r="E19" s="2"/>
      <c r="F19" s="19"/>
      <c r="G19" s="2"/>
      <c r="H19" s="2">
        <f>--365.97</f>
        <v>365.97</v>
      </c>
      <c r="I19" s="2"/>
      <c r="J19" s="19"/>
      <c r="K19" s="2"/>
      <c r="L19" s="2">
        <f t="shared" si="0"/>
        <v>-247.00000000000003</v>
      </c>
      <c r="M19" s="2"/>
      <c r="N19" s="19">
        <f t="shared" si="1"/>
        <v>-0.67491870918381291</v>
      </c>
      <c r="O19" s="11"/>
      <c r="P19" s="2">
        <f>--936.91</f>
        <v>936.91</v>
      </c>
      <c r="Q19" s="2"/>
      <c r="R19" s="19"/>
      <c r="S19" s="2"/>
      <c r="T19" s="2">
        <f>--1279.86</f>
        <v>1279.8599999999999</v>
      </c>
      <c r="U19" s="2"/>
      <c r="V19" s="19"/>
      <c r="W19" s="2"/>
      <c r="X19" s="2">
        <f t="shared" si="2"/>
        <v>-342.94999999999993</v>
      </c>
      <c r="Y19" s="2"/>
      <c r="Z19" s="19">
        <f t="shared" si="3"/>
        <v>-0.26795899551513441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0</f>
        <v>0</v>
      </c>
      <c r="E20" s="2"/>
      <c r="F20" s="19"/>
      <c r="G20" s="2"/>
      <c r="H20" s="2">
        <f>--841.97</f>
        <v>841.97</v>
      </c>
      <c r="I20" s="2"/>
      <c r="J20" s="19"/>
      <c r="K20" s="2"/>
      <c r="L20" s="2">
        <f t="shared" si="0"/>
        <v>-841.97</v>
      </c>
      <c r="M20" s="2"/>
      <c r="N20" s="19">
        <f t="shared" si="1"/>
        <v>-1</v>
      </c>
      <c r="O20" s="11"/>
      <c r="P20" s="2">
        <f>--1462.51</f>
        <v>1462.51</v>
      </c>
      <c r="Q20" s="2"/>
      <c r="R20" s="19"/>
      <c r="S20" s="2"/>
      <c r="T20" s="2">
        <f>--1778.86</f>
        <v>1778.86</v>
      </c>
      <c r="U20" s="2"/>
      <c r="V20" s="19"/>
      <c r="W20" s="2"/>
      <c r="X20" s="2">
        <f t="shared" si="2"/>
        <v>-316.34999999999991</v>
      </c>
      <c r="Y20" s="2"/>
      <c r="Z20" s="19">
        <f t="shared" si="3"/>
        <v>-0.1778386157426666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--5749</f>
        <v>5749</v>
      </c>
      <c r="E21" s="2"/>
      <c r="F21" s="19"/>
      <c r="G21" s="2"/>
      <c r="H21" s="2">
        <f>--29248.97</f>
        <v>29248.97</v>
      </c>
      <c r="I21" s="2"/>
      <c r="J21" s="19"/>
      <c r="K21" s="2"/>
      <c r="L21" s="2">
        <f t="shared" si="0"/>
        <v>-23499.97</v>
      </c>
      <c r="M21" s="2"/>
      <c r="N21" s="19">
        <f t="shared" si="1"/>
        <v>-0.80344607006674085</v>
      </c>
      <c r="O21" s="11"/>
      <c r="P21" s="2">
        <f>--62309</f>
        <v>62309</v>
      </c>
      <c r="Q21" s="2"/>
      <c r="R21" s="19"/>
      <c r="S21" s="2"/>
      <c r="T21" s="2">
        <f>--148812.85</f>
        <v>148812.85</v>
      </c>
      <c r="U21" s="2"/>
      <c r="V21" s="19"/>
      <c r="W21" s="2"/>
      <c r="X21" s="2">
        <f t="shared" si="2"/>
        <v>-86503.85</v>
      </c>
      <c r="Y21" s="2"/>
      <c r="Z21" s="19">
        <f t="shared" si="3"/>
        <v>-0.58129287894156989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--249.96</f>
        <v>249.96</v>
      </c>
      <c r="E22" s="2"/>
      <c r="F22" s="19"/>
      <c r="G22" s="2"/>
      <c r="H22" s="2">
        <f>--457.93</f>
        <v>457.93</v>
      </c>
      <c r="I22" s="2"/>
      <c r="J22" s="19"/>
      <c r="K22" s="2"/>
      <c r="L22" s="2">
        <f t="shared" si="0"/>
        <v>-207.97</v>
      </c>
      <c r="M22" s="2"/>
      <c r="N22" s="19">
        <f t="shared" si="1"/>
        <v>-0.45415238136833141</v>
      </c>
      <c r="O22" s="11"/>
      <c r="P22" s="2">
        <f>--3304.88</f>
        <v>3304.88</v>
      </c>
      <c r="Q22" s="2"/>
      <c r="R22" s="19"/>
      <c r="S22" s="2"/>
      <c r="T22" s="2">
        <f>--4600.75</f>
        <v>4600.75</v>
      </c>
      <c r="U22" s="2"/>
      <c r="V22" s="19"/>
      <c r="W22" s="2"/>
      <c r="X22" s="2">
        <f t="shared" si="2"/>
        <v>-1295.8699999999999</v>
      </c>
      <c r="Y22" s="2"/>
      <c r="Z22" s="19">
        <f t="shared" si="3"/>
        <v>-0.28166494593272834</v>
      </c>
    </row>
    <row r="23" spans="1:26" s="24" customFormat="1" hidden="1" outlineLevel="1" x14ac:dyDescent="0.25">
      <c r="A23" s="44"/>
      <c r="B23" s="11" t="str">
        <f>CONCATENATE("          ", "4184", " - ", "NON-TAXABLE SALES-SOFTWARE LIC")</f>
        <v xml:space="preserve">          4184 - NON-TAXABLE SALES-SOFTWARE LIC</v>
      </c>
      <c r="C23" s="11"/>
      <c r="D23" s="2">
        <f>--1206</f>
        <v>1206</v>
      </c>
      <c r="E23" s="2"/>
      <c r="F23" s="19"/>
      <c r="G23" s="2"/>
      <c r="H23" s="2">
        <f>--258</f>
        <v>258</v>
      </c>
      <c r="I23" s="2"/>
      <c r="J23" s="19"/>
      <c r="K23" s="2"/>
      <c r="L23" s="2">
        <f t="shared" si="0"/>
        <v>948</v>
      </c>
      <c r="M23" s="2"/>
      <c r="N23" s="19">
        <f t="shared" si="1"/>
        <v>3.6744186046511627</v>
      </c>
      <c r="O23" s="11"/>
      <c r="P23" s="2">
        <f>--2728</f>
        <v>2728</v>
      </c>
      <c r="Q23" s="2"/>
      <c r="R23" s="19"/>
      <c r="S23" s="2"/>
      <c r="T23" s="2">
        <f>--357</f>
        <v>357</v>
      </c>
      <c r="U23" s="2"/>
      <c r="V23" s="19"/>
      <c r="W23" s="2"/>
      <c r="X23" s="2">
        <f t="shared" si="2"/>
        <v>2371</v>
      </c>
      <c r="Y23" s="2"/>
      <c r="Z23" s="19">
        <f t="shared" si="3"/>
        <v>6.6414565826330536</v>
      </c>
    </row>
    <row r="24" spans="1:26" s="24" customFormat="1" hidden="1" outlineLevel="1" x14ac:dyDescent="0.25">
      <c r="A24" s="44"/>
      <c r="B24" s="11" t="str">
        <f>CONCATENATE("          ", "4185", " - ", "NON-TAXABLE SALES-SOFTWARE")</f>
        <v xml:space="preserve">          4185 - NON-TAXABLE SALES-SOFTWARE</v>
      </c>
      <c r="C24" s="11"/>
      <c r="D24" s="2">
        <f>--495.98</f>
        <v>495.98</v>
      </c>
      <c r="E24" s="2"/>
      <c r="F24" s="19"/>
      <c r="G24" s="2"/>
      <c r="H24" s="2">
        <f>--256</f>
        <v>256</v>
      </c>
      <c r="I24" s="2"/>
      <c r="J24" s="19"/>
      <c r="K24" s="2"/>
      <c r="L24" s="2">
        <f t="shared" si="0"/>
        <v>239.98000000000002</v>
      </c>
      <c r="M24" s="2"/>
      <c r="N24" s="19">
        <f t="shared" si="1"/>
        <v>0.93742187500000007</v>
      </c>
      <c r="O24" s="11"/>
      <c r="P24" s="2">
        <f>--8963.87</f>
        <v>8963.8700000000008</v>
      </c>
      <c r="Q24" s="2"/>
      <c r="R24" s="19"/>
      <c r="S24" s="2"/>
      <c r="T24" s="2">
        <f>--2649.91</f>
        <v>2649.91</v>
      </c>
      <c r="U24" s="2"/>
      <c r="V24" s="19"/>
      <c r="W24" s="2"/>
      <c r="X24" s="2">
        <f t="shared" si="2"/>
        <v>6313.9600000000009</v>
      </c>
      <c r="Y24" s="2"/>
      <c r="Z24" s="19">
        <f t="shared" si="3"/>
        <v>2.3827073372303214</v>
      </c>
    </row>
    <row r="25" spans="1:26" s="24" customFormat="1" hidden="1" outlineLevel="1" x14ac:dyDescent="0.25">
      <c r="A25" s="44"/>
      <c r="B25" s="11" t="str">
        <f>CONCATENATE("          ", "4186", " - ", "NON-TAXABLE SALES-COMPUTER SUP")</f>
        <v xml:space="preserve">          4186 - NON-TAXABLE SALES-COMPUTER SUP</v>
      </c>
      <c r="C25" s="11"/>
      <c r="D25" s="2">
        <f>--49.99</f>
        <v>49.99</v>
      </c>
      <c r="E25" s="2"/>
      <c r="F25" s="19"/>
      <c r="G25" s="2"/>
      <c r="H25" s="2">
        <f>--489.85</f>
        <v>489.85</v>
      </c>
      <c r="I25" s="2"/>
      <c r="J25" s="19"/>
      <c r="K25" s="2"/>
      <c r="L25" s="2">
        <f t="shared" si="0"/>
        <v>-439.86</v>
      </c>
      <c r="M25" s="2"/>
      <c r="N25" s="19">
        <f t="shared" si="1"/>
        <v>-0.89794835153618457</v>
      </c>
      <c r="O25" s="11"/>
      <c r="P25" s="2">
        <f>--1603.37</f>
        <v>1603.37</v>
      </c>
      <c r="Q25" s="2"/>
      <c r="R25" s="19"/>
      <c r="S25" s="2"/>
      <c r="T25" s="2">
        <f>--2914.01</f>
        <v>2914.01</v>
      </c>
      <c r="U25" s="2"/>
      <c r="V25" s="19"/>
      <c r="W25" s="2"/>
      <c r="X25" s="2">
        <f t="shared" si="2"/>
        <v>-1310.6400000000003</v>
      </c>
      <c r="Y25" s="2"/>
      <c r="Z25" s="19">
        <f t="shared" si="3"/>
        <v>-0.44977196372009715</v>
      </c>
    </row>
    <row r="26" spans="1:26" s="24" customFormat="1" hidden="1" outlineLevel="1" x14ac:dyDescent="0.25">
      <c r="A26" s="44"/>
      <c r="B26" s="11" t="str">
        <f>CONCATENATE("          ", "4188", " - ", "NON-TAXABLE SALES-MUSIC")</f>
        <v xml:space="preserve">          4188 - NON-TAXABLE SALES-MUSIC</v>
      </c>
      <c r="C26" s="11"/>
      <c r="D26" s="2">
        <f>0</f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--219.96</f>
        <v>219.96</v>
      </c>
      <c r="Q26" s="2"/>
      <c r="R26" s="19"/>
      <c r="S26" s="2"/>
      <c r="T26" s="2">
        <f>--199.98</f>
        <v>199.98</v>
      </c>
      <c r="U26" s="2"/>
      <c r="V26" s="19"/>
      <c r="W26" s="2"/>
      <c r="X26" s="2">
        <f t="shared" si="2"/>
        <v>19.980000000000018</v>
      </c>
      <c r="Y26" s="2"/>
      <c r="Z26" s="19">
        <f t="shared" si="3"/>
        <v>9.9909990999100001E-2</v>
      </c>
    </row>
    <row r="27" spans="1:26" s="24" customFormat="1" hidden="1" outlineLevel="1" x14ac:dyDescent="0.25">
      <c r="A27" s="44"/>
      <c r="B27" s="11" t="str">
        <f>CONCATENATE("          ", "4281", " - ", "SALES RETURN TAXABLE-ELECTRONI")</f>
        <v xml:space="preserve">          4281 - SALES RETURN TAXABLE-ELECTRONI</v>
      </c>
      <c r="C27" s="11"/>
      <c r="D27" s="2">
        <f>-445.93</f>
        <v>-445.93</v>
      </c>
      <c r="E27" s="2"/>
      <c r="F27" s="19"/>
      <c r="G27" s="2"/>
      <c r="H27" s="2">
        <f>-621.86</f>
        <v>-621.86</v>
      </c>
      <c r="I27" s="2"/>
      <c r="J27" s="19"/>
      <c r="K27" s="2"/>
      <c r="L27" s="2">
        <f t="shared" si="0"/>
        <v>175.93</v>
      </c>
      <c r="M27" s="2"/>
      <c r="N27" s="19">
        <f t="shared" si="1"/>
        <v>-0.28290933650660921</v>
      </c>
      <c r="O27" s="11"/>
      <c r="P27" s="2">
        <f>-5002.08</f>
        <v>-5002.08</v>
      </c>
      <c r="Q27" s="2"/>
      <c r="R27" s="19"/>
      <c r="S27" s="2"/>
      <c r="T27" s="2">
        <f>-4488.03</f>
        <v>-4488.03</v>
      </c>
      <c r="U27" s="2"/>
      <c r="V27" s="19"/>
      <c r="W27" s="2"/>
      <c r="X27" s="2">
        <f t="shared" si="2"/>
        <v>-514.05000000000018</v>
      </c>
      <c r="Y27" s="2"/>
      <c r="Z27" s="19">
        <f t="shared" si="3"/>
        <v>0.11453800442510416</v>
      </c>
    </row>
    <row r="28" spans="1:26" s="24" customFormat="1" hidden="1" outlineLevel="1" x14ac:dyDescent="0.25">
      <c r="A28" s="44"/>
      <c r="B28" s="11" t="str">
        <f>CONCATENATE("          ", "4282", " - ", "SALES RETURN TAXABLE-COMPUTER")</f>
        <v xml:space="preserve">          4282 - SALES RETURN TAXABLE-COMPUTER</v>
      </c>
      <c r="C28" s="11"/>
      <c r="D28" s="2">
        <f>-10339.73</f>
        <v>-10339.73</v>
      </c>
      <c r="E28" s="2"/>
      <c r="F28" s="19"/>
      <c r="G28" s="2"/>
      <c r="H28" s="2">
        <f>-4801.4</f>
        <v>-4801.3999999999996</v>
      </c>
      <c r="I28" s="2"/>
      <c r="J28" s="19"/>
      <c r="K28" s="2"/>
      <c r="L28" s="2">
        <f t="shared" si="0"/>
        <v>-5538.33</v>
      </c>
      <c r="M28" s="2"/>
      <c r="N28" s="19">
        <f t="shared" si="1"/>
        <v>1.1534823176573501</v>
      </c>
      <c r="O28" s="11"/>
      <c r="P28" s="2">
        <f>-180477.59</f>
        <v>-180477.59</v>
      </c>
      <c r="Q28" s="2"/>
      <c r="R28" s="19"/>
      <c r="S28" s="2"/>
      <c r="T28" s="2">
        <f>-37576.67</f>
        <v>-37576.67</v>
      </c>
      <c r="U28" s="2"/>
      <c r="V28" s="19"/>
      <c r="W28" s="2"/>
      <c r="X28" s="2">
        <f t="shared" si="2"/>
        <v>-142900.91999999998</v>
      </c>
      <c r="Y28" s="2"/>
      <c r="Z28" s="19">
        <f t="shared" si="3"/>
        <v>3.8029160114507219</v>
      </c>
    </row>
    <row r="29" spans="1:26" s="24" customFormat="1" hidden="1" outlineLevel="1" x14ac:dyDescent="0.25">
      <c r="A29" s="44"/>
      <c r="B29" s="11" t="str">
        <f>CONCATENATE("          ", "4283", " - ", "SALES RETURN TAXABLE-COMPUTER")</f>
        <v xml:space="preserve">          4283 - SALES RETURN TAXABLE-COMPUTER</v>
      </c>
      <c r="C29" s="11"/>
      <c r="D29" s="2">
        <f>-423.91</f>
        <v>-423.91</v>
      </c>
      <c r="E29" s="2"/>
      <c r="F29" s="19"/>
      <c r="G29" s="2"/>
      <c r="H29" s="2">
        <f>-403.71</f>
        <v>-403.71</v>
      </c>
      <c r="I29" s="2"/>
      <c r="J29" s="19"/>
      <c r="K29" s="2"/>
      <c r="L29" s="2">
        <f t="shared" si="0"/>
        <v>-20.200000000000045</v>
      </c>
      <c r="M29" s="2"/>
      <c r="N29" s="19">
        <f t="shared" si="1"/>
        <v>5.0035916871021394E-2</v>
      </c>
      <c r="O29" s="11"/>
      <c r="P29" s="2">
        <f>-2956.24</f>
        <v>-2956.24</v>
      </c>
      <c r="Q29" s="2"/>
      <c r="R29" s="19"/>
      <c r="S29" s="2"/>
      <c r="T29" s="2">
        <f>-3608.53</f>
        <v>-3608.53</v>
      </c>
      <c r="U29" s="2"/>
      <c r="V29" s="19"/>
      <c r="W29" s="2"/>
      <c r="X29" s="2">
        <f t="shared" si="2"/>
        <v>652.29000000000042</v>
      </c>
      <c r="Y29" s="2"/>
      <c r="Z29" s="19">
        <f t="shared" si="3"/>
        <v>-0.1807633579324546</v>
      </c>
    </row>
    <row r="30" spans="1:26" s="24" customFormat="1" hidden="1" outlineLevel="1" x14ac:dyDescent="0.25">
      <c r="A30" s="44"/>
      <c r="B30" s="11" t="str">
        <f>CONCATENATE("          ", "4284", " - ", "SALES RETURN TAXABLE-SOFTWARE")</f>
        <v xml:space="preserve">          4284 - SALES RETURN TAXABLE-SOFTWARE</v>
      </c>
      <c r="C30" s="11"/>
      <c r="D30" s="2">
        <f t="shared" ref="D30:D31" si="5">0</f>
        <v>0</v>
      </c>
      <c r="E30" s="2"/>
      <c r="F30" s="19"/>
      <c r="G30" s="2"/>
      <c r="H30" s="2">
        <f t="shared" ref="H30:H31" si="6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-129</f>
        <v>-129</v>
      </c>
      <c r="Q30" s="2"/>
      <c r="R30" s="19"/>
      <c r="S30" s="2"/>
      <c r="T30" s="2">
        <f t="shared" ref="T30:T31" si="7">0</f>
        <v>0</v>
      </c>
      <c r="U30" s="2"/>
      <c r="V30" s="19"/>
      <c r="W30" s="2"/>
      <c r="X30" s="2">
        <f t="shared" si="2"/>
        <v>-129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"4285", " - ", "SALES RETURN TAXABLE-SOFTWARE")</f>
        <v xml:space="preserve">          4285 - SALES RETURN TAXABLE-SOFTWARE</v>
      </c>
      <c r="C31" s="11"/>
      <c r="D31" s="2">
        <f t="shared" si="5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-655.98</f>
        <v>-655.98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-655.98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"4286", " - ", "SALES RETURN TAXABLE-COMPUTER")</f>
        <v xml:space="preserve">          4286 - SALES RETURN TAXABLE-COMPUTER</v>
      </c>
      <c r="C32" s="11"/>
      <c r="D32" s="2">
        <f>-340.39</f>
        <v>-340.39</v>
      </c>
      <c r="E32" s="2"/>
      <c r="F32" s="19"/>
      <c r="G32" s="2"/>
      <c r="H32" s="2">
        <f>-331.06</f>
        <v>-331.06</v>
      </c>
      <c r="I32" s="2"/>
      <c r="J32" s="19"/>
      <c r="K32" s="2"/>
      <c r="L32" s="2">
        <f t="shared" si="0"/>
        <v>-9.3299999999999841</v>
      </c>
      <c r="M32" s="2"/>
      <c r="N32" s="19">
        <f t="shared" si="1"/>
        <v>2.8182202621881182E-2</v>
      </c>
      <c r="O32" s="11"/>
      <c r="P32" s="2">
        <f>-2791.99</f>
        <v>-2791.99</v>
      </c>
      <c r="Q32" s="2"/>
      <c r="R32" s="19"/>
      <c r="S32" s="2"/>
      <c r="T32" s="2">
        <f>-2513.62</f>
        <v>-2513.62</v>
      </c>
      <c r="U32" s="2"/>
      <c r="V32" s="19"/>
      <c r="W32" s="2"/>
      <c r="X32" s="2">
        <f t="shared" si="2"/>
        <v>-278.36999999999989</v>
      </c>
      <c r="Y32" s="2"/>
      <c r="Z32" s="19">
        <f t="shared" si="3"/>
        <v>0.11074466307556428</v>
      </c>
    </row>
    <row r="33" spans="1:26" s="24" customFormat="1" hidden="1" outlineLevel="1" x14ac:dyDescent="0.25">
      <c r="A33" s="44"/>
      <c r="B33" s="11" t="str">
        <f>CONCATENATE("          ", "4288", " - ", "TAXABLE SALES RETURN-MUSIC")</f>
        <v xml:space="preserve">          4288 - TAXABLE SALES RETURN-MUSIC</v>
      </c>
      <c r="C33" s="11"/>
      <c r="D33" s="2">
        <f t="shared" ref="D33:D36" si="8">0</f>
        <v>0</v>
      </c>
      <c r="E33" s="2"/>
      <c r="F33" s="19"/>
      <c r="G33" s="2"/>
      <c r="H33" s="2">
        <f t="shared" ref="H33:H36" si="9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-3.99</f>
        <v>-3.99</v>
      </c>
      <c r="Q33" s="2"/>
      <c r="R33" s="19"/>
      <c r="S33" s="2"/>
      <c r="T33" s="2">
        <f t="shared" ref="T33:T34" si="10">0</f>
        <v>0</v>
      </c>
      <c r="U33" s="2"/>
      <c r="V33" s="19"/>
      <c r="W33" s="2"/>
      <c r="X33" s="2">
        <f t="shared" si="2"/>
        <v>-3.99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 t="shared" si="8"/>
        <v>0</v>
      </c>
      <c r="E34" s="2"/>
      <c r="F34" s="19"/>
      <c r="G34" s="2"/>
      <c r="H34" s="2">
        <f t="shared" si="9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-1279.84</f>
        <v>-1279.8399999999999</v>
      </c>
      <c r="Q34" s="2"/>
      <c r="R34" s="19"/>
      <c r="S34" s="2"/>
      <c r="T34" s="2">
        <f t="shared" si="10"/>
        <v>0</v>
      </c>
      <c r="U34" s="2"/>
      <c r="V34" s="19"/>
      <c r="W34" s="2"/>
      <c r="X34" s="2">
        <f t="shared" si="2"/>
        <v>-1279.8399999999999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si="8"/>
        <v>0</v>
      </c>
      <c r="E35" s="2"/>
      <c r="F35" s="19"/>
      <c r="G35" s="2"/>
      <c r="H35" s="2">
        <f t="shared" si="9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-49.98</f>
        <v>-49.98</v>
      </c>
      <c r="Q35" s="2"/>
      <c r="R35" s="19"/>
      <c r="S35" s="2"/>
      <c r="T35" s="2">
        <f>-13.99</f>
        <v>-13.99</v>
      </c>
      <c r="U35" s="2"/>
      <c r="V35" s="19"/>
      <c r="W35" s="2"/>
      <c r="X35" s="2">
        <f t="shared" si="2"/>
        <v>-35.989999999999995</v>
      </c>
      <c r="Y35" s="2"/>
      <c r="Z35" s="19">
        <f t="shared" si="3"/>
        <v>2.5725518227305213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8"/>
        <v>0</v>
      </c>
      <c r="E36" s="2"/>
      <c r="F36" s="19"/>
      <c r="G36" s="2"/>
      <c r="H36" s="2">
        <f t="shared" si="9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-54.97</f>
        <v>-54.97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-54.97</v>
      </c>
      <c r="Y36" s="2"/>
      <c r="Z36" s="19">
        <f t="shared" si="3"/>
        <v>0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8" t="s">
        <v>8</v>
      </c>
      <c r="C38" s="10"/>
      <c r="D38" s="4">
        <f>SUM(OSRRefD16x_0)</f>
        <v>136420.06</v>
      </c>
      <c r="E38" s="4"/>
      <c r="F38" s="12">
        <f t="shared" ref="F38:F52" si="11">IF(D$12=0,0,D38/D$12)</f>
        <v>0.85007340151905253</v>
      </c>
      <c r="G38" s="4"/>
      <c r="H38" s="4">
        <f>SUM(OSRRefH16x_0)</f>
        <v>151120.79</v>
      </c>
      <c r="I38" s="4"/>
      <c r="J38" s="12">
        <f t="shared" ref="J38:J52" si="12">IF(H$12=0,0,H38/H$12)</f>
        <v>0.83460876703546749</v>
      </c>
      <c r="K38" s="4"/>
      <c r="L38" s="4">
        <f t="shared" ref="L38:L52" si="13">+D38-H38</f>
        <v>-14700.73000000001</v>
      </c>
      <c r="M38" s="4"/>
      <c r="N38" s="12">
        <f t="shared" ref="N38:N52" si="14">IF(H38=0,0,L38/H38)</f>
        <v>-9.7278011847344165E-2</v>
      </c>
      <c r="O38" s="10"/>
      <c r="P38" s="4">
        <f>SUM(OSRRefP16x_0)</f>
        <v>1336501.0599999998</v>
      </c>
      <c r="Q38" s="4"/>
      <c r="R38" s="12">
        <f t="shared" ref="R38:R52" si="15">IF(P$12=0,0,P38/P$12)</f>
        <v>0.89166343254069103</v>
      </c>
      <c r="S38" s="4"/>
      <c r="T38" s="4">
        <f>SUM(OSRRefT16x_0)</f>
        <v>1163174.1399999999</v>
      </c>
      <c r="U38" s="4"/>
      <c r="V38" s="12">
        <f t="shared" ref="V38:V52" si="16">IF(T$12=0,0,T38/T$12)</f>
        <v>0.85279808818829161</v>
      </c>
      <c r="W38" s="4"/>
      <c r="X38" s="4">
        <f t="shared" ref="X38:X52" si="17">+P38-T38</f>
        <v>173326.91999999993</v>
      </c>
      <c r="Y38" s="4"/>
      <c r="Z38" s="12">
        <f t="shared" ref="Z38:Z52" si="18">IF(T38=0,0,X38/T38)</f>
        <v>0.14901201293900837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16634.11</v>
      </c>
      <c r="E39" s="2"/>
      <c r="F39" s="19">
        <f t="shared" si="11"/>
        <v>0.10365201766471946</v>
      </c>
      <c r="G39" s="2"/>
      <c r="H39" s="2">
        <v>14442.18</v>
      </c>
      <c r="I39" s="2"/>
      <c r="J39" s="19">
        <f t="shared" si="12"/>
        <v>7.9761163524252929E-2</v>
      </c>
      <c r="K39" s="2"/>
      <c r="L39" s="2">
        <f t="shared" si="13"/>
        <v>2191.9300000000003</v>
      </c>
      <c r="M39" s="2"/>
      <c r="N39" s="19">
        <f t="shared" si="14"/>
        <v>0.15177279330405799</v>
      </c>
      <c r="O39" s="11"/>
      <c r="P39" s="2">
        <v>184807.73</v>
      </c>
      <c r="Q39" s="2"/>
      <c r="R39" s="19">
        <f t="shared" si="15"/>
        <v>0.12329679326393746</v>
      </c>
      <c r="S39" s="2"/>
      <c r="T39" s="2">
        <v>159041.77000000002</v>
      </c>
      <c r="U39" s="2"/>
      <c r="V39" s="19">
        <f t="shared" si="16"/>
        <v>0.11660379364871541</v>
      </c>
      <c r="W39" s="2"/>
      <c r="X39" s="2">
        <f t="shared" si="17"/>
        <v>25765.959999999992</v>
      </c>
      <c r="Y39" s="2"/>
      <c r="Z39" s="19">
        <f t="shared" si="18"/>
        <v>0.16200750280885323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62712.56</v>
      </c>
      <c r="E40" s="2"/>
      <c r="F40" s="19">
        <f t="shared" si="11"/>
        <v>0.39078035295665225</v>
      </c>
      <c r="G40" s="2"/>
      <c r="H40" s="2">
        <v>224355.15</v>
      </c>
      <c r="I40" s="2"/>
      <c r="J40" s="19">
        <f t="shared" si="12"/>
        <v>1.2390669418784626</v>
      </c>
      <c r="K40" s="2"/>
      <c r="L40" s="2">
        <f t="shared" si="13"/>
        <v>-161642.59</v>
      </c>
      <c r="M40" s="2"/>
      <c r="N40" s="19">
        <f t="shared" si="14"/>
        <v>-0.72047639646337513</v>
      </c>
      <c r="O40" s="11"/>
      <c r="P40" s="2">
        <v>958350.26</v>
      </c>
      <c r="Q40" s="2"/>
      <c r="R40" s="19">
        <f t="shared" si="15"/>
        <v>0.63937538695843898</v>
      </c>
      <c r="S40" s="2"/>
      <c r="T40" s="2">
        <v>859164.56</v>
      </c>
      <c r="U40" s="2"/>
      <c r="V40" s="19">
        <f t="shared" si="16"/>
        <v>0.62990902996445131</v>
      </c>
      <c r="W40" s="2"/>
      <c r="X40" s="2">
        <f t="shared" si="17"/>
        <v>99185.699999999953</v>
      </c>
      <c r="Y40" s="2"/>
      <c r="Z40" s="19">
        <f t="shared" si="18"/>
        <v>0.11544435678305906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7127.48</v>
      </c>
      <c r="E41" s="2"/>
      <c r="F41" s="19">
        <f t="shared" si="11"/>
        <v>4.4413418142896406E-2</v>
      </c>
      <c r="G41" s="2"/>
      <c r="H41" s="2">
        <v>12912.13</v>
      </c>
      <c r="I41" s="2"/>
      <c r="J41" s="19">
        <f t="shared" si="12"/>
        <v>7.1311014845155785E-2</v>
      </c>
      <c r="K41" s="2"/>
      <c r="L41" s="2">
        <f t="shared" si="13"/>
        <v>-5784.65</v>
      </c>
      <c r="M41" s="2"/>
      <c r="N41" s="19">
        <f t="shared" si="14"/>
        <v>-0.44800122055772362</v>
      </c>
      <c r="O41" s="11"/>
      <c r="P41" s="2">
        <v>48936.17</v>
      </c>
      <c r="Q41" s="2"/>
      <c r="R41" s="19">
        <f t="shared" si="15"/>
        <v>3.2648379132295485E-2</v>
      </c>
      <c r="S41" s="2"/>
      <c r="T41" s="2">
        <v>56966.65</v>
      </c>
      <c r="U41" s="2"/>
      <c r="V41" s="19">
        <f t="shared" si="16"/>
        <v>4.1765930431097401E-2</v>
      </c>
      <c r="W41" s="2"/>
      <c r="X41" s="2">
        <f t="shared" si="17"/>
        <v>-8030.4800000000032</v>
      </c>
      <c r="Y41" s="2"/>
      <c r="Z41" s="19">
        <f t="shared" si="18"/>
        <v>-0.14096809273495989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11"/>
        <v>0</v>
      </c>
      <c r="G42" s="2"/>
      <c r="H42" s="2">
        <v>445</v>
      </c>
      <c r="I42" s="2"/>
      <c r="J42" s="19">
        <f t="shared" si="12"/>
        <v>2.4576426667090806E-3</v>
      </c>
      <c r="K42" s="2"/>
      <c r="L42" s="2">
        <f t="shared" si="13"/>
        <v>-445</v>
      </c>
      <c r="M42" s="2"/>
      <c r="N42" s="19">
        <f t="shared" si="14"/>
        <v>-1</v>
      </c>
      <c r="O42" s="11"/>
      <c r="P42" s="2">
        <v>2728</v>
      </c>
      <c r="Q42" s="2"/>
      <c r="R42" s="19">
        <f t="shared" si="15"/>
        <v>1.8200193900115617E-3</v>
      </c>
      <c r="S42" s="2"/>
      <c r="T42" s="2">
        <v>673</v>
      </c>
      <c r="U42" s="2"/>
      <c r="V42" s="19">
        <f t="shared" si="16"/>
        <v>4.934197671818257E-4</v>
      </c>
      <c r="W42" s="2"/>
      <c r="X42" s="2">
        <f t="shared" si="17"/>
        <v>2055</v>
      </c>
      <c r="Y42" s="2"/>
      <c r="Z42" s="19">
        <f t="shared" si="18"/>
        <v>3.0534918276374441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148.36000000000001</v>
      </c>
      <c r="E43" s="2"/>
      <c r="F43" s="19">
        <f t="shared" si="11"/>
        <v>9.2447466926320551E-4</v>
      </c>
      <c r="G43" s="2"/>
      <c r="H43" s="2"/>
      <c r="I43" s="2"/>
      <c r="J43" s="19">
        <f t="shared" si="12"/>
        <v>0</v>
      </c>
      <c r="K43" s="2"/>
      <c r="L43" s="2">
        <f t="shared" si="13"/>
        <v>148.36000000000001</v>
      </c>
      <c r="M43" s="2"/>
      <c r="N43" s="19">
        <f t="shared" si="14"/>
        <v>0</v>
      </c>
      <c r="O43" s="11"/>
      <c r="P43" s="2">
        <v>7080.4</v>
      </c>
      <c r="Q43" s="2"/>
      <c r="R43" s="19">
        <f t="shared" si="15"/>
        <v>4.723777598620916E-3</v>
      </c>
      <c r="S43" s="2"/>
      <c r="T43" s="2">
        <v>6563.47</v>
      </c>
      <c r="U43" s="2"/>
      <c r="V43" s="19">
        <f t="shared" si="16"/>
        <v>4.8121037731127751E-3</v>
      </c>
      <c r="W43" s="2"/>
      <c r="X43" s="2">
        <f t="shared" si="17"/>
        <v>516.92999999999938</v>
      </c>
      <c r="Y43" s="2"/>
      <c r="Z43" s="19">
        <f t="shared" si="18"/>
        <v>7.8758644436555572E-2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826.55</v>
      </c>
      <c r="E44" s="2"/>
      <c r="F44" s="19">
        <f t="shared" si="11"/>
        <v>5.1504754507920086E-3</v>
      </c>
      <c r="G44" s="2"/>
      <c r="H44" s="2">
        <v>1315.2</v>
      </c>
      <c r="I44" s="2"/>
      <c r="J44" s="19">
        <f t="shared" si="12"/>
        <v>7.263576708439962E-3</v>
      </c>
      <c r="K44" s="2"/>
      <c r="L44" s="2">
        <f t="shared" si="13"/>
        <v>-488.65000000000009</v>
      </c>
      <c r="M44" s="2"/>
      <c r="N44" s="19">
        <f t="shared" si="14"/>
        <v>-0.37154045012165454</v>
      </c>
      <c r="O44" s="11"/>
      <c r="P44" s="2">
        <v>19194.649999999998</v>
      </c>
      <c r="Q44" s="2"/>
      <c r="R44" s="19">
        <f t="shared" si="15"/>
        <v>1.280595131396093E-2</v>
      </c>
      <c r="S44" s="2"/>
      <c r="T44" s="2">
        <v>18538.14</v>
      </c>
      <c r="U44" s="2"/>
      <c r="V44" s="19">
        <f t="shared" si="16"/>
        <v>1.3591507760451841E-2</v>
      </c>
      <c r="W44" s="2"/>
      <c r="X44" s="2">
        <f t="shared" si="17"/>
        <v>656.5099999999984</v>
      </c>
      <c r="Y44" s="2"/>
      <c r="Z44" s="19">
        <f t="shared" si="18"/>
        <v>3.5414016724439369E-2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11"/>
        <v>0</v>
      </c>
      <c r="G45" s="2"/>
      <c r="H45" s="2"/>
      <c r="I45" s="2"/>
      <c r="J45" s="19">
        <f t="shared" si="12"/>
        <v>0</v>
      </c>
      <c r="K45" s="2"/>
      <c r="L45" s="2">
        <f t="shared" si="13"/>
        <v>0</v>
      </c>
      <c r="M45" s="2"/>
      <c r="N45" s="19">
        <f t="shared" si="14"/>
        <v>0</v>
      </c>
      <c r="O45" s="11"/>
      <c r="P45" s="2">
        <v>88.75</v>
      </c>
      <c r="Q45" s="2"/>
      <c r="R45" s="19">
        <f t="shared" si="15"/>
        <v>5.921067480334534E-5</v>
      </c>
      <c r="S45" s="2"/>
      <c r="T45" s="2">
        <v>0</v>
      </c>
      <c r="U45" s="2"/>
      <c r="V45" s="19">
        <f t="shared" si="16"/>
        <v>0</v>
      </c>
      <c r="W45" s="2"/>
      <c r="X45" s="2">
        <f t="shared" si="17"/>
        <v>88.75</v>
      </c>
      <c r="Y45" s="2"/>
      <c r="Z45" s="19">
        <f t="shared" si="18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-87449</v>
      </c>
      <c r="E46" s="2"/>
      <c r="F46" s="19">
        <f t="shared" si="11"/>
        <v>-0.54492036500672725</v>
      </c>
      <c r="G46" s="2"/>
      <c r="H46" s="2">
        <v>-253482.99999999997</v>
      </c>
      <c r="I46" s="2"/>
      <c r="J46" s="19">
        <f t="shared" si="12"/>
        <v>-1.3999340136750964</v>
      </c>
      <c r="K46" s="2"/>
      <c r="L46" s="2">
        <f t="shared" si="13"/>
        <v>166033.99999999997</v>
      </c>
      <c r="M46" s="2"/>
      <c r="N46" s="19">
        <f t="shared" si="14"/>
        <v>-0.65501039517442983</v>
      </c>
      <c r="O46" s="11"/>
      <c r="P46" s="2">
        <v>-1221498</v>
      </c>
      <c r="Q46" s="2"/>
      <c r="R46" s="19">
        <f t="shared" si="15"/>
        <v>-0.81493769972886454</v>
      </c>
      <c r="S46" s="2"/>
      <c r="T46" s="2">
        <v>-1101117</v>
      </c>
      <c r="U46" s="2"/>
      <c r="V46" s="19">
        <f t="shared" si="16"/>
        <v>-0.80729999075772707</v>
      </c>
      <c r="W46" s="2"/>
      <c r="X46" s="2">
        <f t="shared" si="17"/>
        <v>-120381</v>
      </c>
      <c r="Y46" s="2"/>
      <c r="Z46" s="19">
        <f t="shared" si="18"/>
        <v>0.10932625688278358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136420</v>
      </c>
      <c r="E47" s="2"/>
      <c r="F47" s="19">
        <f t="shared" si="11"/>
        <v>0.85007302764145654</v>
      </c>
      <c r="G47" s="2"/>
      <c r="H47" s="2">
        <v>151106</v>
      </c>
      <c r="I47" s="2"/>
      <c r="J47" s="19">
        <f t="shared" si="12"/>
        <v>0.83452708493425254</v>
      </c>
      <c r="K47" s="2"/>
      <c r="L47" s="2">
        <f t="shared" si="13"/>
        <v>-14686</v>
      </c>
      <c r="M47" s="2"/>
      <c r="N47" s="19">
        <f t="shared" si="14"/>
        <v>-9.7190052016465259E-2</v>
      </c>
      <c r="O47" s="11"/>
      <c r="P47" s="2">
        <v>1336499</v>
      </c>
      <c r="Q47" s="2"/>
      <c r="R47" s="19">
        <f t="shared" si="15"/>
        <v>0.89166205818587319</v>
      </c>
      <c r="S47" s="2"/>
      <c r="T47" s="2">
        <v>1163161</v>
      </c>
      <c r="U47" s="2"/>
      <c r="V47" s="19">
        <f t="shared" si="16"/>
        <v>0.8527884544056159</v>
      </c>
      <c r="W47" s="2"/>
      <c r="X47" s="2">
        <f t="shared" si="17"/>
        <v>173338</v>
      </c>
      <c r="Y47" s="2"/>
      <c r="Z47" s="19">
        <f t="shared" si="18"/>
        <v>0.14902322206470128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11"/>
        <v>0</v>
      </c>
      <c r="G48" s="2"/>
      <c r="H48" s="2">
        <v>14.08</v>
      </c>
      <c r="I48" s="2"/>
      <c r="J48" s="19">
        <f t="shared" si="12"/>
        <v>7.7760918533177213E-5</v>
      </c>
      <c r="K48" s="2"/>
      <c r="L48" s="2">
        <f t="shared" si="13"/>
        <v>-14.08</v>
      </c>
      <c r="M48" s="2"/>
      <c r="N48" s="19">
        <f t="shared" si="14"/>
        <v>-1</v>
      </c>
      <c r="O48" s="11"/>
      <c r="P48" s="2"/>
      <c r="Q48" s="2"/>
      <c r="R48" s="19">
        <f t="shared" si="15"/>
        <v>0</v>
      </c>
      <c r="S48" s="2"/>
      <c r="T48" s="2">
        <v>14.08</v>
      </c>
      <c r="U48" s="2"/>
      <c r="V48" s="19">
        <f t="shared" si="16"/>
        <v>1.0322957387697036E-5</v>
      </c>
      <c r="W48" s="2"/>
      <c r="X48" s="2">
        <f t="shared" si="17"/>
        <v>-14.08</v>
      </c>
      <c r="Y48" s="2"/>
      <c r="Z48" s="19">
        <f t="shared" si="18"/>
        <v>-1</v>
      </c>
    </row>
    <row r="49" spans="1:26" s="24" customFormat="1" hidden="1" outlineLevel="1" x14ac:dyDescent="0.25">
      <c r="A49" s="44"/>
      <c r="B49" s="11" t="str">
        <f>CONCATENATE("          ", "5581", " - ", "FREIGHT-IN-ELECTRONICS")</f>
        <v xml:space="preserve">          5581 - FREIGHT-IN-ELECTRONICS</v>
      </c>
      <c r="C49" s="11"/>
      <c r="D49" s="2"/>
      <c r="E49" s="2"/>
      <c r="F49" s="19">
        <f t="shared" si="11"/>
        <v>0</v>
      </c>
      <c r="G49" s="2"/>
      <c r="H49" s="2"/>
      <c r="I49" s="2"/>
      <c r="J49" s="19">
        <f t="shared" si="12"/>
        <v>0</v>
      </c>
      <c r="K49" s="2"/>
      <c r="L49" s="2">
        <f t="shared" si="13"/>
        <v>0</v>
      </c>
      <c r="M49" s="2"/>
      <c r="N49" s="19">
        <f t="shared" si="14"/>
        <v>0</v>
      </c>
      <c r="O49" s="11"/>
      <c r="P49" s="2">
        <v>105.75</v>
      </c>
      <c r="Q49" s="2"/>
      <c r="R49" s="19">
        <f t="shared" si="15"/>
        <v>7.0552437864267832E-5</v>
      </c>
      <c r="S49" s="2"/>
      <c r="T49" s="2"/>
      <c r="U49" s="2"/>
      <c r="V49" s="19">
        <f t="shared" si="16"/>
        <v>0</v>
      </c>
      <c r="W49" s="2"/>
      <c r="X49" s="2">
        <f t="shared" si="17"/>
        <v>105.75</v>
      </c>
      <c r="Y49" s="2"/>
      <c r="Z49" s="19">
        <f t="shared" si="18"/>
        <v>0</v>
      </c>
    </row>
    <row r="50" spans="1:26" s="24" customFormat="1" hidden="1" outlineLevel="1" x14ac:dyDescent="0.25">
      <c r="A50" s="44"/>
      <c r="B50" s="11" t="str">
        <f>CONCATENATE("          ", "5582", " - ", "FREIGHT-IN-COMPUTER HARDWARE")</f>
        <v xml:space="preserve">          5582 - FREIGHT-IN-COMPUTER HARDWARE</v>
      </c>
      <c r="C50" s="11"/>
      <c r="D50" s="2"/>
      <c r="E50" s="2"/>
      <c r="F50" s="19">
        <f t="shared" si="11"/>
        <v>0</v>
      </c>
      <c r="G50" s="2"/>
      <c r="H50" s="2"/>
      <c r="I50" s="2"/>
      <c r="J50" s="19">
        <f t="shared" si="12"/>
        <v>0</v>
      </c>
      <c r="K50" s="2"/>
      <c r="L50" s="2">
        <f t="shared" si="13"/>
        <v>0</v>
      </c>
      <c r="M50" s="2"/>
      <c r="N50" s="19">
        <f t="shared" si="14"/>
        <v>0</v>
      </c>
      <c r="O50" s="11"/>
      <c r="P50" s="2">
        <v>4.84</v>
      </c>
      <c r="Q50" s="2"/>
      <c r="R50" s="19">
        <f t="shared" si="15"/>
        <v>3.2290666596979319E-6</v>
      </c>
      <c r="S50" s="2"/>
      <c r="T50" s="2"/>
      <c r="U50" s="2"/>
      <c r="V50" s="19">
        <f t="shared" si="16"/>
        <v>0</v>
      </c>
      <c r="W50" s="2"/>
      <c r="X50" s="2">
        <f t="shared" si="17"/>
        <v>4.84</v>
      </c>
      <c r="Y50" s="2"/>
      <c r="Z50" s="19">
        <f t="shared" si="18"/>
        <v>0</v>
      </c>
    </row>
    <row r="51" spans="1:26" s="24" customFormat="1" hidden="1" outlineLevel="1" x14ac:dyDescent="0.25">
      <c r="A51" s="44"/>
      <c r="B51" s="11" t="str">
        <f>CONCATENATE("          ", "5583", " - ", "FREIGHT-IN-COMPUTER EQUIPMENT")</f>
        <v xml:space="preserve">          5583 - FREIGHT-IN-COMPUTER EQUIPMENT</v>
      </c>
      <c r="C51" s="11"/>
      <c r="D51" s="2"/>
      <c r="E51" s="2"/>
      <c r="F51" s="19">
        <f t="shared" si="11"/>
        <v>0</v>
      </c>
      <c r="G51" s="2"/>
      <c r="H51" s="2"/>
      <c r="I51" s="2"/>
      <c r="J51" s="19">
        <f t="shared" si="12"/>
        <v>0</v>
      </c>
      <c r="K51" s="2"/>
      <c r="L51" s="2">
        <f t="shared" si="13"/>
        <v>0</v>
      </c>
      <c r="M51" s="2"/>
      <c r="N51" s="19">
        <f t="shared" si="14"/>
        <v>0</v>
      </c>
      <c r="O51" s="11"/>
      <c r="P51" s="2">
        <v>41</v>
      </c>
      <c r="Q51" s="2"/>
      <c r="R51" s="19">
        <f t="shared" si="15"/>
        <v>2.735366385281306E-5</v>
      </c>
      <c r="S51" s="2"/>
      <c r="T51" s="2">
        <v>22.9</v>
      </c>
      <c r="U51" s="2"/>
      <c r="V51" s="19">
        <f t="shared" si="16"/>
        <v>1.6789469046751571E-5</v>
      </c>
      <c r="W51" s="2"/>
      <c r="X51" s="2">
        <f t="shared" si="17"/>
        <v>18.100000000000001</v>
      </c>
      <c r="Y51" s="2"/>
      <c r="Z51" s="19">
        <f t="shared" si="18"/>
        <v>0.79039301310043675</v>
      </c>
    </row>
    <row r="52" spans="1:26" s="24" customFormat="1" hidden="1" outlineLevel="1" x14ac:dyDescent="0.25">
      <c r="A52" s="44"/>
      <c r="B52" s="11" t="str">
        <f>CONCATENATE("          ", "5586", " - ", "FREIGHT-IN-COMPUTER SUPPLIES")</f>
        <v xml:space="preserve">          5586 - FREIGHT-IN-COMPUTER SUPPLIES</v>
      </c>
      <c r="C52" s="11"/>
      <c r="D52" s="2"/>
      <c r="E52" s="2"/>
      <c r="F52" s="19">
        <f t="shared" si="11"/>
        <v>0</v>
      </c>
      <c r="G52" s="2"/>
      <c r="H52" s="2">
        <v>14.05</v>
      </c>
      <c r="I52" s="2"/>
      <c r="J52" s="19">
        <f t="shared" si="12"/>
        <v>7.7595234757893455E-5</v>
      </c>
      <c r="K52" s="2"/>
      <c r="L52" s="2">
        <f t="shared" si="13"/>
        <v>-14.05</v>
      </c>
      <c r="M52" s="2"/>
      <c r="N52" s="19">
        <f t="shared" si="14"/>
        <v>-1</v>
      </c>
      <c r="O52" s="11"/>
      <c r="P52" s="2">
        <v>162.51</v>
      </c>
      <c r="Q52" s="2"/>
      <c r="R52" s="19">
        <f t="shared" si="15"/>
        <v>1.0842058323708902E-4</v>
      </c>
      <c r="S52" s="2"/>
      <c r="T52" s="2">
        <v>145.57</v>
      </c>
      <c r="U52" s="2"/>
      <c r="V52" s="19">
        <f t="shared" si="16"/>
        <v>1.0672676895788761E-4</v>
      </c>
      <c r="W52" s="2"/>
      <c r="X52" s="2">
        <f t="shared" si="17"/>
        <v>16.939999999999998</v>
      </c>
      <c r="Y52" s="2"/>
      <c r="Z52" s="19">
        <f t="shared" si="18"/>
        <v>0.11637013120835336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1">
        <f>D12-D38</f>
        <v>24060.269999999931</v>
      </c>
      <c r="E54" s="14"/>
      <c r="F54" s="20">
        <f>IF(D$12=0,0,D54/D$12)</f>
        <v>0.14992659848094742</v>
      </c>
      <c r="G54" s="14"/>
      <c r="H54" s="21">
        <f>H12-H38</f>
        <v>29947.030000000057</v>
      </c>
      <c r="I54" s="14"/>
      <c r="J54" s="20">
        <f>IF(H$12=0,0,H54/H$12)</f>
        <v>0.16539123296453256</v>
      </c>
      <c r="K54" s="15"/>
      <c r="L54" s="21">
        <f>+D54-H54</f>
        <v>-5886.7600000001257</v>
      </c>
      <c r="M54" s="15"/>
      <c r="N54" s="20">
        <f>IF(H54=0,0,L54/H54)</f>
        <v>-0.19657241469354772</v>
      </c>
      <c r="O54" s="28"/>
      <c r="P54" s="21">
        <f>P12-P38</f>
        <v>162384.07000000007</v>
      </c>
      <c r="Q54" s="14"/>
      <c r="R54" s="20">
        <f>IF(P$12=0,0,P54/P$12)</f>
        <v>0.10833656745930896</v>
      </c>
      <c r="S54" s="14"/>
      <c r="T54" s="21">
        <f>T12-T38</f>
        <v>200776.08000000031</v>
      </c>
      <c r="U54" s="14"/>
      <c r="V54" s="20">
        <f>IF(T$12=0,0,T54/T$12)</f>
        <v>0.14720191181170841</v>
      </c>
      <c r="W54" s="15"/>
      <c r="X54" s="21">
        <f>+P54-T54</f>
        <v>-38392.010000000242</v>
      </c>
      <c r="Y54" s="15"/>
      <c r="Z54" s="20">
        <f>IF(T54=0,0,X54/T54)</f>
        <v>-0.19121804748852644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2">
        <f>SUM(OSRRefD22x_0)</f>
        <v>-4593.2599999999984</v>
      </c>
      <c r="E56" s="22"/>
      <c r="F56" s="33">
        <f t="shared" ref="F56:F66" si="19">IF(D$12=0,0,D56/D$12)</f>
        <v>-2.8621950116877255E-2</v>
      </c>
      <c r="G56" s="22"/>
      <c r="H56" s="22">
        <f>SUM(OSRRefH22x_0)</f>
        <v>24820.87</v>
      </c>
      <c r="I56" s="22"/>
      <c r="J56" s="33">
        <f t="shared" ref="J56:J66" si="20">IF(H$12=0,0,H56/H$12)</f>
        <v>0.13708051491424589</v>
      </c>
      <c r="K56" s="4"/>
      <c r="L56" s="22">
        <f t="shared" ref="L56:L66" si="21">+D56-H56</f>
        <v>-29414.129999999997</v>
      </c>
      <c r="M56" s="4"/>
      <c r="N56" s="33">
        <f t="shared" ref="N56:N66" si="22">IF(H56=0,0,L56/H56)</f>
        <v>-1.1850563658727513</v>
      </c>
      <c r="O56" s="10"/>
      <c r="P56" s="22">
        <f>SUM(OSRRefP22x_0)</f>
        <v>115125.59</v>
      </c>
      <c r="Q56" s="22"/>
      <c r="R56" s="33">
        <f t="shared" ref="R56:R66" si="23">IF(P$12=0,0,P56/P$12)</f>
        <v>7.6807480236994546E-2</v>
      </c>
      <c r="S56" s="22"/>
      <c r="T56" s="22">
        <f>SUM(OSRRefT22x_0)</f>
        <v>158676.31999999998</v>
      </c>
      <c r="U56" s="22"/>
      <c r="V56" s="33">
        <f t="shared" ref="V56:V66" si="24">IF(T$12=0,0,T56/T$12)</f>
        <v>0.1163358586503252</v>
      </c>
      <c r="W56" s="4"/>
      <c r="X56" s="22">
        <f t="shared" ref="X56:X66" si="25">+P56-T56</f>
        <v>-43550.729999999981</v>
      </c>
      <c r="Y56" s="4"/>
      <c r="Z56" s="33">
        <f t="shared" ref="Z56:Z66" si="26">IF(T56=0,0,X56/T56)</f>
        <v>-0.27446269235384324</v>
      </c>
    </row>
    <row r="57" spans="1:26" s="25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2953.7200000000003</v>
      </c>
      <c r="E57" s="1"/>
      <c r="F57" s="5">
        <f t="shared" si="19"/>
        <v>1.8405495552009404E-2</v>
      </c>
      <c r="G57" s="1"/>
      <c r="H57" s="1">
        <f>SUM(OSRRefH22_0x_0)</f>
        <v>2047.3200000000002</v>
      </c>
      <c r="I57" s="1"/>
      <c r="J57" s="5">
        <f t="shared" si="20"/>
        <v>1.13069235604648E-2</v>
      </c>
      <c r="K57" s="1"/>
      <c r="L57" s="1">
        <f t="shared" si="21"/>
        <v>906.40000000000009</v>
      </c>
      <c r="M57" s="1"/>
      <c r="N57" s="5">
        <f t="shared" si="22"/>
        <v>0.44272512357618743</v>
      </c>
      <c r="O57" s="13"/>
      <c r="P57" s="1">
        <f>SUM(OSRRefP22_0x_0)</f>
        <v>15230</v>
      </c>
      <c r="Q57" s="1"/>
      <c r="R57" s="5">
        <f t="shared" si="23"/>
        <v>1.0160885377520558E-2</v>
      </c>
      <c r="S57" s="1"/>
      <c r="T57" s="1">
        <f>SUM(OSRRefT22_0x_0)</f>
        <v>12550.61</v>
      </c>
      <c r="U57" s="1"/>
      <c r="V57" s="5">
        <f t="shared" si="24"/>
        <v>9.2016627996878066E-3</v>
      </c>
      <c r="W57" s="1"/>
      <c r="X57" s="1">
        <f t="shared" si="25"/>
        <v>2679.3899999999994</v>
      </c>
      <c r="Y57" s="1"/>
      <c r="Z57" s="5">
        <f t="shared" si="26"/>
        <v>0.21348683450445829</v>
      </c>
    </row>
    <row r="58" spans="1:26" s="24" customFormat="1" hidden="1" outlineLevel="2" x14ac:dyDescent="0.25">
      <c r="A58" s="26"/>
      <c r="B58" s="11" t="str">
        <f>CONCATENATE("          ", "6111", " - ", "F.I.C.A.")</f>
        <v xml:space="preserve">          6111 - F.I.C.A.</v>
      </c>
      <c r="C58" s="11"/>
      <c r="D58" s="6">
        <v>566.58000000000004</v>
      </c>
      <c r="E58" s="2"/>
      <c r="F58" s="7">
        <f t="shared" si="19"/>
        <v>3.5305261398702278E-3</v>
      </c>
      <c r="G58" s="2"/>
      <c r="H58" s="6">
        <v>259.98</v>
      </c>
      <c r="I58" s="2"/>
      <c r="J58" s="7">
        <f t="shared" si="20"/>
        <v>1.4358155966090491E-3</v>
      </c>
      <c r="K58" s="2"/>
      <c r="L58" s="6">
        <f t="shared" si="21"/>
        <v>306.60000000000002</v>
      </c>
      <c r="M58" s="2"/>
      <c r="N58" s="7">
        <f t="shared" si="22"/>
        <v>1.1793214862681745</v>
      </c>
      <c r="O58" s="11"/>
      <c r="P58" s="6">
        <v>3701.74</v>
      </c>
      <c r="Q58" s="2"/>
      <c r="R58" s="7">
        <f t="shared" si="23"/>
        <v>2.4696622348905416E-3</v>
      </c>
      <c r="S58" s="2"/>
      <c r="T58" s="6">
        <v>3028.53</v>
      </c>
      <c r="U58" s="2"/>
      <c r="V58" s="7">
        <f t="shared" si="24"/>
        <v>2.2204109472558314E-3</v>
      </c>
      <c r="W58" s="2"/>
      <c r="X58" s="6">
        <f t="shared" si="25"/>
        <v>673.20999999999958</v>
      </c>
      <c r="Y58" s="2"/>
      <c r="Z58" s="7">
        <f t="shared" si="26"/>
        <v>0.22228936150541667</v>
      </c>
    </row>
    <row r="59" spans="1:26" s="24" customFormat="1" hidden="1" outlineLevel="2" x14ac:dyDescent="0.25">
      <c r="A59" s="26"/>
      <c r="B59" s="11" t="str">
        <f>CONCATENATE("          ", "6112", " - ", "COMPENSATION INSURANCE")</f>
        <v xml:space="preserve">          6112 - COMPENSATION INSURANCE</v>
      </c>
      <c r="C59" s="11"/>
      <c r="D59" s="6">
        <v>194.36</v>
      </c>
      <c r="E59" s="2"/>
      <c r="F59" s="7">
        <f t="shared" si="19"/>
        <v>1.2111141595982516E-3</v>
      </c>
      <c r="G59" s="2"/>
      <c r="H59" s="6">
        <v>91.02</v>
      </c>
      <c r="I59" s="2"/>
      <c r="J59" s="7">
        <f t="shared" si="20"/>
        <v>5.026845742109225E-4</v>
      </c>
      <c r="K59" s="2"/>
      <c r="L59" s="6">
        <f t="shared" si="21"/>
        <v>103.34000000000002</v>
      </c>
      <c r="M59" s="2"/>
      <c r="N59" s="7">
        <f t="shared" si="22"/>
        <v>1.1353548670621845</v>
      </c>
      <c r="O59" s="11"/>
      <c r="P59" s="6">
        <v>705.92</v>
      </c>
      <c r="Q59" s="2"/>
      <c r="R59" s="7">
        <f t="shared" si="23"/>
        <v>4.709633752921413E-4</v>
      </c>
      <c r="S59" s="2"/>
      <c r="T59" s="6">
        <v>627.4</v>
      </c>
      <c r="U59" s="2"/>
      <c r="V59" s="7">
        <f t="shared" si="24"/>
        <v>4.5998746200576137E-4</v>
      </c>
      <c r="W59" s="2"/>
      <c r="X59" s="6">
        <f t="shared" si="25"/>
        <v>78.519999999999982</v>
      </c>
      <c r="Y59" s="2"/>
      <c r="Z59" s="7">
        <f t="shared" si="26"/>
        <v>0.12515141855275738</v>
      </c>
    </row>
    <row r="60" spans="1:26" s="24" customFormat="1" hidden="1" outlineLevel="2" x14ac:dyDescent="0.25">
      <c r="A60" s="26"/>
      <c r="B60" s="11" t="str">
        <f>CONCATENATE("          ", "6113", " - ", "GROUP INSURANCE")</f>
        <v xml:space="preserve">          6113 - GROUP INSURANCE</v>
      </c>
      <c r="C60" s="11"/>
      <c r="D60" s="6">
        <v>1287.6500000000001</v>
      </c>
      <c r="E60" s="2"/>
      <c r="F60" s="7">
        <f t="shared" si="19"/>
        <v>8.0237247767374394E-3</v>
      </c>
      <c r="G60" s="2"/>
      <c r="H60" s="6">
        <v>1029.08</v>
      </c>
      <c r="I60" s="2"/>
      <c r="J60" s="7">
        <f t="shared" si="20"/>
        <v>5.6833953156336641E-3</v>
      </c>
      <c r="K60" s="2"/>
      <c r="L60" s="6">
        <f t="shared" si="21"/>
        <v>258.57000000000016</v>
      </c>
      <c r="M60" s="2"/>
      <c r="N60" s="7">
        <f t="shared" si="22"/>
        <v>0.25126326427488649</v>
      </c>
      <c r="O60" s="11"/>
      <c r="P60" s="6">
        <v>5147.17</v>
      </c>
      <c r="Q60" s="2"/>
      <c r="R60" s="7">
        <f t="shared" si="23"/>
        <v>3.4339989749581413E-3</v>
      </c>
      <c r="S60" s="2"/>
      <c r="T60" s="6">
        <v>4509.58</v>
      </c>
      <c r="U60" s="2"/>
      <c r="V60" s="7">
        <f t="shared" si="24"/>
        <v>3.3062643591200854E-3</v>
      </c>
      <c r="W60" s="2"/>
      <c r="X60" s="6">
        <f t="shared" si="25"/>
        <v>637.59000000000015</v>
      </c>
      <c r="Y60" s="2"/>
      <c r="Z60" s="7">
        <f t="shared" si="26"/>
        <v>0.14138567227990192</v>
      </c>
    </row>
    <row r="61" spans="1:26" s="24" customFormat="1" hidden="1" outlineLevel="2" x14ac:dyDescent="0.25">
      <c r="A61" s="26"/>
      <c r="B61" s="11" t="str">
        <f>CONCATENATE("          ", "6114", " - ", "STATE UNEMPLOYMENT INSURANCE")</f>
        <v xml:space="preserve">          6114 - STATE UNEMPLOYMENT INSURANCE</v>
      </c>
      <c r="C61" s="11"/>
      <c r="D61" s="6">
        <v>28.65</v>
      </c>
      <c r="E61" s="2"/>
      <c r="F61" s="7">
        <f t="shared" si="19"/>
        <v>1.7852655213258854E-4</v>
      </c>
      <c r="G61" s="2"/>
      <c r="H61" s="6">
        <v>19.89</v>
      </c>
      <c r="I61" s="2"/>
      <c r="J61" s="7">
        <f t="shared" si="20"/>
        <v>1.0984834301313173E-4</v>
      </c>
      <c r="K61" s="2"/>
      <c r="L61" s="6">
        <f t="shared" si="21"/>
        <v>8.759999999999998</v>
      </c>
      <c r="M61" s="2"/>
      <c r="N61" s="7">
        <f t="shared" si="22"/>
        <v>0.44042232277526383</v>
      </c>
      <c r="O61" s="11"/>
      <c r="P61" s="6">
        <v>125.05</v>
      </c>
      <c r="Q61" s="2"/>
      <c r="R61" s="7">
        <f t="shared" si="23"/>
        <v>8.3428674751079827E-5</v>
      </c>
      <c r="S61" s="2"/>
      <c r="T61" s="6">
        <v>137.09</v>
      </c>
      <c r="U61" s="2"/>
      <c r="V61" s="7">
        <f t="shared" si="24"/>
        <v>1.0050953325847917E-4</v>
      </c>
      <c r="W61" s="2"/>
      <c r="X61" s="6">
        <f t="shared" si="25"/>
        <v>-12.040000000000006</v>
      </c>
      <c r="Y61" s="2"/>
      <c r="Z61" s="7">
        <f t="shared" si="26"/>
        <v>-8.7825516084324207E-2</v>
      </c>
    </row>
    <row r="62" spans="1:26" s="24" customFormat="1" hidden="1" outlineLevel="2" x14ac:dyDescent="0.25">
      <c r="A62" s="26"/>
      <c r="B62" s="11" t="str">
        <f>CONCATENATE("          ", "6115", " - ", "P.E.R.S.")</f>
        <v xml:space="preserve">          6115 - P.E.R.S.</v>
      </c>
      <c r="C62" s="11"/>
      <c r="D62" s="6">
        <v>263.31</v>
      </c>
      <c r="E62" s="2"/>
      <c r="F62" s="7">
        <f t="shared" si="19"/>
        <v>1.6407618304374132E-3</v>
      </c>
      <c r="G62" s="2"/>
      <c r="H62" s="6">
        <v>174.42</v>
      </c>
      <c r="I62" s="2"/>
      <c r="J62" s="7">
        <f t="shared" si="20"/>
        <v>9.6328546949977047E-4</v>
      </c>
      <c r="K62" s="2"/>
      <c r="L62" s="6">
        <f t="shared" si="21"/>
        <v>88.890000000000015</v>
      </c>
      <c r="M62" s="2"/>
      <c r="N62" s="7">
        <f t="shared" si="22"/>
        <v>0.50963192294461657</v>
      </c>
      <c r="O62" s="11"/>
      <c r="P62" s="6">
        <v>1022.61</v>
      </c>
      <c r="Q62" s="2"/>
      <c r="R62" s="7">
        <f t="shared" si="23"/>
        <v>6.8224707786646737E-4</v>
      </c>
      <c r="S62" s="2"/>
      <c r="T62" s="6">
        <v>956.77</v>
      </c>
      <c r="U62" s="2"/>
      <c r="V62" s="7">
        <f t="shared" si="24"/>
        <v>7.0146988208997824E-4</v>
      </c>
      <c r="W62" s="2"/>
      <c r="X62" s="6">
        <f t="shared" si="25"/>
        <v>65.840000000000032</v>
      </c>
      <c r="Y62" s="2"/>
      <c r="Z62" s="7">
        <f t="shared" si="26"/>
        <v>6.8814866686873574E-2</v>
      </c>
    </row>
    <row r="63" spans="1:26" s="24" customFormat="1" hidden="1" outlineLevel="2" x14ac:dyDescent="0.25">
      <c r="A63" s="26"/>
      <c r="B63" s="11" t="str">
        <f>CONCATENATE("          ", "6117", " - ", "RETIREMENT STAFF HOURLY")</f>
        <v xml:space="preserve">          6117 - RETIREMENT STAFF HOURLY</v>
      </c>
      <c r="C63" s="11"/>
      <c r="D63" s="6">
        <v>173.93</v>
      </c>
      <c r="E63" s="2"/>
      <c r="F63" s="7">
        <f t="shared" si="19"/>
        <v>1.0838088381298822E-3</v>
      </c>
      <c r="G63" s="2"/>
      <c r="H63" s="6">
        <v>69.400000000000006</v>
      </c>
      <c r="I63" s="2"/>
      <c r="J63" s="7">
        <f t="shared" si="20"/>
        <v>3.8328180015642746E-4</v>
      </c>
      <c r="K63" s="2"/>
      <c r="L63" s="6">
        <f t="shared" si="21"/>
        <v>104.53</v>
      </c>
      <c r="M63" s="2"/>
      <c r="N63" s="7">
        <f t="shared" si="22"/>
        <v>1.5061959654178674</v>
      </c>
      <c r="O63" s="11"/>
      <c r="P63" s="6">
        <v>872.68</v>
      </c>
      <c r="Q63" s="2"/>
      <c r="R63" s="7">
        <f t="shared" si="23"/>
        <v>5.8221939929446092E-4</v>
      </c>
      <c r="S63" s="2"/>
      <c r="T63" s="6">
        <v>779.56</v>
      </c>
      <c r="U63" s="2"/>
      <c r="V63" s="7">
        <f t="shared" si="24"/>
        <v>5.7154578559326006E-4</v>
      </c>
      <c r="W63" s="2"/>
      <c r="X63" s="6">
        <f t="shared" si="25"/>
        <v>93.12</v>
      </c>
      <c r="Y63" s="2"/>
      <c r="Z63" s="7">
        <f t="shared" si="26"/>
        <v>0.11945199856329212</v>
      </c>
    </row>
    <row r="64" spans="1:26" s="24" customFormat="1" hidden="1" outlineLevel="2" x14ac:dyDescent="0.25">
      <c r="A64" s="26"/>
      <c r="B64" s="11" t="str">
        <f>CONCATENATE("          ", "6118", " - ", "VACATION")</f>
        <v xml:space="preserve">          6118 - VACATION</v>
      </c>
      <c r="C64" s="11"/>
      <c r="D64" s="6">
        <v>114.56</v>
      </c>
      <c r="E64" s="2"/>
      <c r="F64" s="7">
        <f t="shared" si="19"/>
        <v>7.1385695679962804E-4</v>
      </c>
      <c r="G64" s="2"/>
      <c r="H64" s="6">
        <v>146.9</v>
      </c>
      <c r="I64" s="2"/>
      <c r="J64" s="7">
        <f t="shared" si="20"/>
        <v>8.112982196394696E-4</v>
      </c>
      <c r="K64" s="2"/>
      <c r="L64" s="6">
        <f t="shared" si="21"/>
        <v>-32.340000000000003</v>
      </c>
      <c r="M64" s="2"/>
      <c r="N64" s="7">
        <f t="shared" si="22"/>
        <v>-0.22014976174268211</v>
      </c>
      <c r="O64" s="11"/>
      <c r="P64" s="6">
        <v>1405.57</v>
      </c>
      <c r="Q64" s="2"/>
      <c r="R64" s="7">
        <f t="shared" si="23"/>
        <v>9.3774364150240122E-4</v>
      </c>
      <c r="S64" s="2"/>
      <c r="T64" s="6">
        <v>957.87</v>
      </c>
      <c r="U64" s="2"/>
      <c r="V64" s="7">
        <f t="shared" si="24"/>
        <v>7.0227636313589207E-4</v>
      </c>
      <c r="W64" s="2"/>
      <c r="X64" s="6">
        <f t="shared" si="25"/>
        <v>447.69999999999993</v>
      </c>
      <c r="Y64" s="2"/>
      <c r="Z64" s="7">
        <f t="shared" si="26"/>
        <v>0.46739119087141257</v>
      </c>
    </row>
    <row r="65" spans="1:26" s="24" customFormat="1" hidden="1" outlineLevel="2" x14ac:dyDescent="0.25">
      <c r="A65" s="26"/>
      <c r="B65" s="11" t="str">
        <f>CONCATENATE("          ", "6119", " - ", "SICK LEAVE")</f>
        <v xml:space="preserve">          6119 - SICK LEAVE</v>
      </c>
      <c r="C65" s="11"/>
      <c r="D65" s="6">
        <v>173.86</v>
      </c>
      <c r="E65" s="2"/>
      <c r="F65" s="7">
        <f t="shared" si="19"/>
        <v>1.0833726476011116E-3</v>
      </c>
      <c r="G65" s="2"/>
      <c r="H65" s="6">
        <v>117.58</v>
      </c>
      <c r="I65" s="2"/>
      <c r="J65" s="7">
        <f t="shared" si="20"/>
        <v>6.4936994326214321E-4</v>
      </c>
      <c r="K65" s="2"/>
      <c r="L65" s="6">
        <f t="shared" si="21"/>
        <v>56.280000000000015</v>
      </c>
      <c r="M65" s="2"/>
      <c r="N65" s="7">
        <f t="shared" si="22"/>
        <v>0.47865283211430532</v>
      </c>
      <c r="O65" s="11"/>
      <c r="P65" s="6">
        <v>1454.26</v>
      </c>
      <c r="Q65" s="2"/>
      <c r="R65" s="7">
        <f t="shared" si="23"/>
        <v>9.702277852339492E-4</v>
      </c>
      <c r="S65" s="2"/>
      <c r="T65" s="6">
        <v>814.76</v>
      </c>
      <c r="U65" s="2"/>
      <c r="V65" s="7">
        <f t="shared" si="24"/>
        <v>5.9735317906250268E-4</v>
      </c>
      <c r="W65" s="2"/>
      <c r="X65" s="6">
        <f t="shared" si="25"/>
        <v>639.5</v>
      </c>
      <c r="Y65" s="2"/>
      <c r="Z65" s="7">
        <f t="shared" si="26"/>
        <v>0.78489371103146943</v>
      </c>
    </row>
    <row r="66" spans="1:26" s="24" customFormat="1" hidden="1" outlineLevel="2" x14ac:dyDescent="0.25">
      <c r="A66" s="26"/>
      <c r="B66" s="11" t="str">
        <f>CONCATENATE("          ", "6156", " - ", "EMPLOYEE MEALS")</f>
        <v xml:space="preserve">          6156 - EMPLOYEE MEALS</v>
      </c>
      <c r="C66" s="11"/>
      <c r="D66" s="6">
        <v>150.82</v>
      </c>
      <c r="E66" s="2"/>
      <c r="F66" s="7">
        <f t="shared" si="19"/>
        <v>9.3980365070286227E-4</v>
      </c>
      <c r="G66" s="2"/>
      <c r="H66" s="6">
        <v>139.05000000000001</v>
      </c>
      <c r="I66" s="2"/>
      <c r="J66" s="7">
        <f t="shared" si="20"/>
        <v>7.6794429844021959E-4</v>
      </c>
      <c r="K66" s="2"/>
      <c r="L66" s="6">
        <f t="shared" si="21"/>
        <v>11.769999999999982</v>
      </c>
      <c r="M66" s="2"/>
      <c r="N66" s="7">
        <f t="shared" si="22"/>
        <v>8.4645810859402953E-2</v>
      </c>
      <c r="O66" s="11"/>
      <c r="P66" s="6">
        <v>795</v>
      </c>
      <c r="Q66" s="2"/>
      <c r="R66" s="7">
        <f t="shared" si="23"/>
        <v>5.3039421373137516E-4</v>
      </c>
      <c r="S66" s="2"/>
      <c r="T66" s="6">
        <v>739.05</v>
      </c>
      <c r="U66" s="2"/>
      <c r="V66" s="7">
        <f t="shared" si="24"/>
        <v>5.4184528816601525E-4</v>
      </c>
      <c r="W66" s="2"/>
      <c r="X66" s="6">
        <f t="shared" si="25"/>
        <v>55.950000000000045</v>
      </c>
      <c r="Y66" s="2"/>
      <c r="Z66" s="7">
        <f t="shared" si="26"/>
        <v>7.570529734118131E-2</v>
      </c>
    </row>
    <row r="67" spans="1:26" s="25" customFormat="1" outlineLevel="1" collapsed="1" x14ac:dyDescent="0.25">
      <c r="A67" s="27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9624.76</v>
      </c>
      <c r="E67" s="1"/>
      <c r="F67" s="5">
        <f t="shared" ref="F67:F71" si="27">IF(D$12=0,0,D67/D$12)</f>
        <v>5.997470219558998E-2</v>
      </c>
      <c r="G67" s="1"/>
      <c r="H67" s="1">
        <f>SUM(OSRRefH22_1x_0)</f>
        <v>6553.91</v>
      </c>
      <c r="I67" s="1"/>
      <c r="J67" s="5">
        <f t="shared" ref="J67:J71" si="28">IF(H$12=0,0,H67/H$12)</f>
        <v>3.6195885055665872E-2</v>
      </c>
      <c r="K67" s="1"/>
      <c r="L67" s="1">
        <f t="shared" ref="L67:L71" si="29">+D67-H67</f>
        <v>3070.8500000000004</v>
      </c>
      <c r="M67" s="1"/>
      <c r="N67" s="5">
        <f t="shared" ref="N67:N71" si="30">IF(H67=0,0,L67/H67)</f>
        <v>0.46855236034672437</v>
      </c>
      <c r="O67" s="13"/>
      <c r="P67" s="1">
        <f>SUM(OSRRefP22_1x_0)</f>
        <v>48719.140000000007</v>
      </c>
      <c r="Q67" s="1"/>
      <c r="R67" s="5">
        <f t="shared" ref="R67:R71" si="31">IF(P$12=0,0,P67/P$12)</f>
        <v>3.250358484775949E-2</v>
      </c>
      <c r="S67" s="1"/>
      <c r="T67" s="1">
        <f>SUM(OSRRefT22_1x_0)</f>
        <v>48063.14</v>
      </c>
      <c r="U67" s="1"/>
      <c r="V67" s="5">
        <f t="shared" ref="V67:V71" si="32">IF(T$12=0,0,T67/T$12)</f>
        <v>3.5238192197366257E-2</v>
      </c>
      <c r="W67" s="1"/>
      <c r="X67" s="1">
        <f t="shared" ref="X67:X71" si="33">+P67-T67</f>
        <v>656.00000000000728</v>
      </c>
      <c r="Y67" s="1"/>
      <c r="Z67" s="5">
        <f t="shared" ref="Z67:Z71" si="34">IF(T67=0,0,X67/T67)</f>
        <v>1.3648712922210393E-2</v>
      </c>
    </row>
    <row r="68" spans="1:26" s="24" customFormat="1" hidden="1" outlineLevel="2" x14ac:dyDescent="0.25">
      <c r="A68" s="26"/>
      <c r="B68" s="11" t="str">
        <f>CONCATENATE("          ", "6002", " - ", "STAFF SALARIES")</f>
        <v xml:space="preserve">          6002 - STAFF SALARIES</v>
      </c>
      <c r="C68" s="11"/>
      <c r="D68" s="6">
        <v>3193.56</v>
      </c>
      <c r="E68" s="2"/>
      <c r="F68" s="7">
        <f t="shared" si="27"/>
        <v>1.9900008929443262E-2</v>
      </c>
      <c r="G68" s="2"/>
      <c r="H68" s="6">
        <v>2294.2800000000002</v>
      </c>
      <c r="I68" s="2"/>
      <c r="J68" s="7">
        <f t="shared" si="28"/>
        <v>1.2670832398600698E-2</v>
      </c>
      <c r="K68" s="2"/>
      <c r="L68" s="6">
        <f t="shared" si="29"/>
        <v>899.27999999999975</v>
      </c>
      <c r="M68" s="2"/>
      <c r="N68" s="7">
        <f t="shared" si="30"/>
        <v>0.391966107013965</v>
      </c>
      <c r="O68" s="11"/>
      <c r="P68" s="6">
        <v>15056.58</v>
      </c>
      <c r="Q68" s="2"/>
      <c r="R68" s="7">
        <f t="shared" si="31"/>
        <v>1.0045186051048489E-2</v>
      </c>
      <c r="S68" s="2"/>
      <c r="T68" s="6">
        <v>13128.38</v>
      </c>
      <c r="U68" s="2"/>
      <c r="V68" s="7">
        <f t="shared" si="32"/>
        <v>9.6252633032311088E-3</v>
      </c>
      <c r="W68" s="2"/>
      <c r="X68" s="6">
        <f t="shared" si="33"/>
        <v>1928.2000000000007</v>
      </c>
      <c r="Y68" s="2"/>
      <c r="Z68" s="7">
        <f t="shared" si="34"/>
        <v>0.14687265298536459</v>
      </c>
    </row>
    <row r="69" spans="1:26" s="24" customFormat="1" hidden="1" outlineLevel="2" x14ac:dyDescent="0.25">
      <c r="A69" s="26"/>
      <c r="B69" s="11" t="str">
        <f>CONCATENATE("          ", "6005", " - ", "TEMPORARY WAGES-HOURLY")</f>
        <v xml:space="preserve">          6005 - TEMPORARY WAGES-HOURLY</v>
      </c>
      <c r="C69" s="11"/>
      <c r="D69" s="6">
        <v>3063.73</v>
      </c>
      <c r="E69" s="2"/>
      <c r="F69" s="7">
        <f t="shared" si="27"/>
        <v>1.9091000124438935E-2</v>
      </c>
      <c r="G69" s="2"/>
      <c r="H69" s="6">
        <v>967.69</v>
      </c>
      <c r="I69" s="2"/>
      <c r="J69" s="7">
        <f t="shared" si="28"/>
        <v>5.3443510834780012E-3</v>
      </c>
      <c r="K69" s="2"/>
      <c r="L69" s="6">
        <f t="shared" si="29"/>
        <v>2096.04</v>
      </c>
      <c r="M69" s="2"/>
      <c r="N69" s="7">
        <f t="shared" si="30"/>
        <v>2.1660242433010568</v>
      </c>
      <c r="O69" s="11"/>
      <c r="P69" s="6">
        <v>17202.25</v>
      </c>
      <c r="Q69" s="2"/>
      <c r="R69" s="7">
        <f t="shared" si="31"/>
        <v>1.1476696683220817E-2</v>
      </c>
      <c r="S69" s="2"/>
      <c r="T69" s="6">
        <v>14361.32</v>
      </c>
      <c r="U69" s="2"/>
      <c r="V69" s="7">
        <f t="shared" si="32"/>
        <v>1.0529211249366562E-2</v>
      </c>
      <c r="W69" s="2"/>
      <c r="X69" s="6">
        <f t="shared" si="33"/>
        <v>2840.9300000000003</v>
      </c>
      <c r="Y69" s="2"/>
      <c r="Z69" s="7">
        <f t="shared" si="34"/>
        <v>0.19781816713226921</v>
      </c>
    </row>
    <row r="70" spans="1:26" s="24" customFormat="1" hidden="1" outlineLevel="2" x14ac:dyDescent="0.25">
      <c r="A70" s="26"/>
      <c r="B70" s="11" t="str">
        <f>CONCATENATE("          ", "6006", " - ", "TEMPORARY PART TIME")</f>
        <v xml:space="preserve">          6006 - TEMPORARY PART TIME</v>
      </c>
      <c r="C70" s="11"/>
      <c r="D70" s="6">
        <v>1053</v>
      </c>
      <c r="E70" s="2"/>
      <c r="F70" s="7">
        <f t="shared" si="27"/>
        <v>6.5615518113652958E-3</v>
      </c>
      <c r="G70" s="2"/>
      <c r="H70" s="6"/>
      <c r="I70" s="2"/>
      <c r="J70" s="7">
        <f t="shared" si="28"/>
        <v>0</v>
      </c>
      <c r="K70" s="2"/>
      <c r="L70" s="6">
        <f t="shared" si="29"/>
        <v>1053</v>
      </c>
      <c r="M70" s="2"/>
      <c r="N70" s="7">
        <f t="shared" si="30"/>
        <v>0</v>
      </c>
      <c r="O70" s="11"/>
      <c r="P70" s="6">
        <v>7601.16</v>
      </c>
      <c r="Q70" s="2"/>
      <c r="R70" s="7">
        <f t="shared" si="31"/>
        <v>5.0712091593036225E-3</v>
      </c>
      <c r="S70" s="2"/>
      <c r="T70" s="6"/>
      <c r="U70" s="2"/>
      <c r="V70" s="7">
        <f t="shared" si="32"/>
        <v>0</v>
      </c>
      <c r="W70" s="2"/>
      <c r="X70" s="6">
        <f t="shared" si="33"/>
        <v>7601.16</v>
      </c>
      <c r="Y70" s="2"/>
      <c r="Z70" s="7">
        <f t="shared" si="34"/>
        <v>0</v>
      </c>
    </row>
    <row r="71" spans="1:26" s="24" customFormat="1" hidden="1" outlineLevel="2" x14ac:dyDescent="0.25">
      <c r="A71" s="26"/>
      <c r="B71" s="11" t="str">
        <f>CONCATENATE("          ", "6007", " - ", "STUDENT HOURLY")</f>
        <v xml:space="preserve">          6007 - STUDENT HOURLY</v>
      </c>
      <c r="C71" s="11"/>
      <c r="D71" s="6">
        <v>2314.4699999999998</v>
      </c>
      <c r="E71" s="2"/>
      <c r="F71" s="7">
        <f t="shared" si="27"/>
        <v>1.4422141330342484E-2</v>
      </c>
      <c r="G71" s="2"/>
      <c r="H71" s="6">
        <v>3291.94</v>
      </c>
      <c r="I71" s="2"/>
      <c r="J71" s="7">
        <f t="shared" si="28"/>
        <v>1.8180701573587171E-2</v>
      </c>
      <c r="K71" s="2"/>
      <c r="L71" s="6">
        <f t="shared" si="29"/>
        <v>-977.47000000000025</v>
      </c>
      <c r="M71" s="2"/>
      <c r="N71" s="7">
        <f t="shared" si="30"/>
        <v>-0.29692825507147769</v>
      </c>
      <c r="O71" s="11"/>
      <c r="P71" s="6">
        <v>8859.15</v>
      </c>
      <c r="Q71" s="2"/>
      <c r="R71" s="7">
        <f t="shared" si="31"/>
        <v>5.910492954186556E-3</v>
      </c>
      <c r="S71" s="2"/>
      <c r="T71" s="6">
        <v>20573.439999999999</v>
      </c>
      <c r="U71" s="2"/>
      <c r="V71" s="7">
        <f t="shared" si="32"/>
        <v>1.5083717644768587E-2</v>
      </c>
      <c r="W71" s="2"/>
      <c r="X71" s="6">
        <f t="shared" si="33"/>
        <v>-11714.289999999999</v>
      </c>
      <c r="Y71" s="2"/>
      <c r="Z71" s="7">
        <f t="shared" si="34"/>
        <v>-0.56938897918870157</v>
      </c>
    </row>
    <row r="72" spans="1:26" s="25" customFormat="1" outlineLevel="1" collapsed="1" x14ac:dyDescent="0.25">
      <c r="A72" s="27"/>
      <c r="B72" s="13" t="str">
        <f>CONCATENATE("     ","Advertising/Promo                                 ")</f>
        <v xml:space="preserve">     Advertising/Promo                                 </v>
      </c>
      <c r="C72" s="13"/>
      <c r="D72" s="1">
        <f>SUM(OSRRefD22_2x_0)</f>
        <v>208.92</v>
      </c>
      <c r="E72" s="1"/>
      <c r="F72" s="5">
        <f t="shared" ref="F72:F88" si="35">IF(D$12=0,0,D72/D$12)</f>
        <v>1.3018417895825619E-3</v>
      </c>
      <c r="G72" s="1"/>
      <c r="H72" s="1">
        <f>SUM(OSRRefH22_2x_0)</f>
        <v>1479.8</v>
      </c>
      <c r="I72" s="1"/>
      <c r="J72" s="5">
        <f t="shared" ref="J72:J88" si="36">IF(H$12=0,0,H72/H$12)</f>
        <v>8.1726283554968485E-3</v>
      </c>
      <c r="K72" s="1"/>
      <c r="L72" s="1">
        <f t="shared" ref="L72:L88" si="37">+D72-H72</f>
        <v>-1270.8799999999999</v>
      </c>
      <c r="M72" s="1"/>
      <c r="N72" s="5">
        <f t="shared" ref="N72:N88" si="38">IF(H72=0,0,L72/H72)</f>
        <v>-0.85881875929179619</v>
      </c>
      <c r="O72" s="13"/>
      <c r="P72" s="1">
        <f>SUM(OSRRefP22_2x_0)</f>
        <v>1428.71</v>
      </c>
      <c r="Q72" s="1"/>
      <c r="R72" s="5">
        <f t="shared" ref="R72:R88" si="39">IF(P$12=0,0,P72/P$12)</f>
        <v>9.5318178251591577E-4</v>
      </c>
      <c r="S72" s="1"/>
      <c r="T72" s="1">
        <f>SUM(OSRRefT22_2x_0)</f>
        <v>1721.89</v>
      </c>
      <c r="U72" s="1"/>
      <c r="V72" s="5">
        <f t="shared" ref="V72:V88" si="40">IF(T$12=0,0,T72/T$12)</f>
        <v>1.2624287710441514E-3</v>
      </c>
      <c r="W72" s="1"/>
      <c r="X72" s="1">
        <f t="shared" ref="X72:X88" si="41">+P72-T72</f>
        <v>-293.18000000000006</v>
      </c>
      <c r="Y72" s="1"/>
      <c r="Z72" s="5">
        <f t="shared" ref="Z72:Z88" si="42">IF(T72=0,0,X72/T72)</f>
        <v>-0.17026639332361534</v>
      </c>
    </row>
    <row r="73" spans="1:26" s="24" customFormat="1" hidden="1" outlineLevel="2" x14ac:dyDescent="0.25">
      <c r="A73" s="26"/>
      <c r="B73" s="11" t="str">
        <f>CONCATENATE("          ", "6362", " - ", "ADVERTISING EXPENSE")</f>
        <v xml:space="preserve">          6362 - ADVERTISING EXPENSE</v>
      </c>
      <c r="C73" s="11"/>
      <c r="D73" s="6">
        <v>208.92</v>
      </c>
      <c r="E73" s="2"/>
      <c r="F73" s="7">
        <f t="shared" si="35"/>
        <v>1.3018417895825619E-3</v>
      </c>
      <c r="G73" s="2"/>
      <c r="H73" s="6">
        <v>1479.8</v>
      </c>
      <c r="I73" s="2"/>
      <c r="J73" s="7">
        <f t="shared" si="36"/>
        <v>8.1726283554968485E-3</v>
      </c>
      <c r="K73" s="2"/>
      <c r="L73" s="6">
        <f t="shared" si="37"/>
        <v>-1270.8799999999999</v>
      </c>
      <c r="M73" s="2"/>
      <c r="N73" s="7">
        <f t="shared" si="38"/>
        <v>-0.85881875929179619</v>
      </c>
      <c r="O73" s="11"/>
      <c r="P73" s="6">
        <v>1428.71</v>
      </c>
      <c r="Q73" s="2"/>
      <c r="R73" s="7">
        <f t="shared" si="39"/>
        <v>9.5318178251591577E-4</v>
      </c>
      <c r="S73" s="2"/>
      <c r="T73" s="6">
        <v>1721.89</v>
      </c>
      <c r="U73" s="2"/>
      <c r="V73" s="7">
        <f t="shared" si="40"/>
        <v>1.2624287710441514E-3</v>
      </c>
      <c r="W73" s="2"/>
      <c r="X73" s="6">
        <f t="shared" si="41"/>
        <v>-293.18000000000006</v>
      </c>
      <c r="Y73" s="2"/>
      <c r="Z73" s="7">
        <f t="shared" si="42"/>
        <v>-0.17026639332361534</v>
      </c>
    </row>
    <row r="74" spans="1:26" s="25" customFormat="1" outlineLevel="1" collapsed="1" x14ac:dyDescent="0.25">
      <c r="A74" s="27"/>
      <c r="B74" s="13" t="str">
        <f>CONCATENATE("     ","Depreciation                                      ")</f>
        <v xml:space="preserve">     Depreciation                                      </v>
      </c>
      <c r="C74" s="13"/>
      <c r="D74" s="1">
        <f>SUM(OSRRefD22_3x_0)</f>
        <v>280.44</v>
      </c>
      <c r="E74" s="1"/>
      <c r="F74" s="5">
        <f t="shared" si="35"/>
        <v>1.7475038841208771E-3</v>
      </c>
      <c r="G74" s="1"/>
      <c r="H74" s="1">
        <f>SUM(OSRRefH22_3x_0)</f>
        <v>280.44</v>
      </c>
      <c r="I74" s="1"/>
      <c r="J74" s="5">
        <f t="shared" si="36"/>
        <v>1.5488119313525721E-3</v>
      </c>
      <c r="K74" s="1"/>
      <c r="L74" s="1">
        <f t="shared" si="37"/>
        <v>0</v>
      </c>
      <c r="M74" s="1"/>
      <c r="N74" s="5">
        <f t="shared" si="38"/>
        <v>0</v>
      </c>
      <c r="O74" s="13"/>
      <c r="P74" s="1">
        <f>SUM(OSRRefP22_3x_0)</f>
        <v>1402.2</v>
      </c>
      <c r="Q74" s="1"/>
      <c r="R74" s="5">
        <f t="shared" si="39"/>
        <v>9.3549530376620669E-4</v>
      </c>
      <c r="S74" s="1"/>
      <c r="T74" s="1">
        <f>SUM(OSRRefT22_3x_0)</f>
        <v>1402.2</v>
      </c>
      <c r="U74" s="1"/>
      <c r="V74" s="5">
        <f t="shared" si="40"/>
        <v>1.0280433841639762E-3</v>
      </c>
      <c r="W74" s="1"/>
      <c r="X74" s="1">
        <f t="shared" si="41"/>
        <v>0</v>
      </c>
      <c r="Y74" s="1"/>
      <c r="Z74" s="5">
        <f t="shared" si="42"/>
        <v>0</v>
      </c>
    </row>
    <row r="75" spans="1:26" s="24" customFormat="1" hidden="1" outlineLevel="2" x14ac:dyDescent="0.25">
      <c r="A75" s="26"/>
      <c r="B75" s="11" t="str">
        <f>CONCATENATE("          ", "6322", " - ", "EQUIPMENT DEPRECIATION EXPENSE")</f>
        <v xml:space="preserve">          6322 - EQUIPMENT DEPRECIATION EXPENSE</v>
      </c>
      <c r="C75" s="11"/>
      <c r="D75" s="6">
        <v>280.44</v>
      </c>
      <c r="E75" s="2"/>
      <c r="F75" s="7">
        <f t="shared" si="35"/>
        <v>1.7475038841208771E-3</v>
      </c>
      <c r="G75" s="2"/>
      <c r="H75" s="6">
        <v>280.44</v>
      </c>
      <c r="I75" s="2"/>
      <c r="J75" s="7">
        <f t="shared" si="36"/>
        <v>1.5488119313525721E-3</v>
      </c>
      <c r="K75" s="2"/>
      <c r="L75" s="6">
        <f t="shared" si="37"/>
        <v>0</v>
      </c>
      <c r="M75" s="2"/>
      <c r="N75" s="7">
        <f t="shared" si="38"/>
        <v>0</v>
      </c>
      <c r="O75" s="11"/>
      <c r="P75" s="6">
        <v>1402.2</v>
      </c>
      <c r="Q75" s="2"/>
      <c r="R75" s="7">
        <f t="shared" si="39"/>
        <v>9.3549530376620669E-4</v>
      </c>
      <c r="S75" s="2"/>
      <c r="T75" s="6">
        <v>1402.2</v>
      </c>
      <c r="U75" s="2"/>
      <c r="V75" s="7">
        <f t="shared" si="40"/>
        <v>1.0280433841639762E-3</v>
      </c>
      <c r="W75" s="2"/>
      <c r="X75" s="6">
        <f t="shared" si="41"/>
        <v>0</v>
      </c>
      <c r="Y75" s="2"/>
      <c r="Z75" s="7">
        <f t="shared" si="42"/>
        <v>0</v>
      </c>
    </row>
    <row r="76" spans="1:26" s="25" customFormat="1" outlineLevel="1" collapsed="1" x14ac:dyDescent="0.25">
      <c r="A76" s="27"/>
      <c r="B76" s="13" t="str">
        <f>CONCATENATE("     ","Discounts and Markdowns                           ")</f>
        <v xml:space="preserve">     Discounts and Markdowns                           </v>
      </c>
      <c r="C76" s="13"/>
      <c r="D76" s="1">
        <f>SUM(OSRRefD22_4x_0)</f>
        <v>-20040.96</v>
      </c>
      <c r="E76" s="1"/>
      <c r="F76" s="5">
        <f t="shared" si="35"/>
        <v>-0.12488109913532711</v>
      </c>
      <c r="G76" s="1"/>
      <c r="H76" s="1">
        <f>SUM(OSRRefH22_4x_0)</f>
        <v>12429.78</v>
      </c>
      <c r="I76" s="1"/>
      <c r="J76" s="5">
        <f t="shared" si="36"/>
        <v>6.8647095878218434E-2</v>
      </c>
      <c r="K76" s="1"/>
      <c r="L76" s="1">
        <f t="shared" si="37"/>
        <v>-32470.739999999998</v>
      </c>
      <c r="M76" s="1"/>
      <c r="N76" s="5">
        <f t="shared" si="38"/>
        <v>-2.6123342488764885</v>
      </c>
      <c r="O76" s="13"/>
      <c r="P76" s="1">
        <f>SUM(OSRRefP22_4x_0)</f>
        <v>48337.17</v>
      </c>
      <c r="Q76" s="1"/>
      <c r="R76" s="5">
        <f t="shared" si="39"/>
        <v>3.2248748775031214E-2</v>
      </c>
      <c r="S76" s="1"/>
      <c r="T76" s="1">
        <f>SUM(OSRRefT22_4x_0)</f>
        <v>85080.960000000006</v>
      </c>
      <c r="U76" s="1"/>
      <c r="V76" s="5">
        <f t="shared" si="40"/>
        <v>6.2378346916502563E-2</v>
      </c>
      <c r="W76" s="1"/>
      <c r="X76" s="1">
        <f t="shared" si="41"/>
        <v>-36743.790000000008</v>
      </c>
      <c r="Y76" s="1"/>
      <c r="Z76" s="5">
        <f t="shared" si="42"/>
        <v>-0.4318685402703496</v>
      </c>
    </row>
    <row r="77" spans="1:26" s="24" customFormat="1" hidden="1" outlineLevel="2" x14ac:dyDescent="0.25">
      <c r="A77" s="26"/>
      <c r="B77" s="11" t="str">
        <f>CONCATENATE("          ", "6382", " - ", "DISCOUNTS/MARK DOWNS")</f>
        <v xml:space="preserve">          6382 - DISCOUNTS/MARK DOWNS</v>
      </c>
      <c r="C77" s="11"/>
      <c r="D77" s="6">
        <v>-20040.96</v>
      </c>
      <c r="E77" s="2"/>
      <c r="F77" s="7">
        <f t="shared" si="35"/>
        <v>-0.12488109913532711</v>
      </c>
      <c r="G77" s="2"/>
      <c r="H77" s="6">
        <v>12429.78</v>
      </c>
      <c r="I77" s="2"/>
      <c r="J77" s="7">
        <f t="shared" si="36"/>
        <v>6.8647095878218434E-2</v>
      </c>
      <c r="K77" s="2"/>
      <c r="L77" s="6">
        <f t="shared" si="37"/>
        <v>-32470.739999999998</v>
      </c>
      <c r="M77" s="2"/>
      <c r="N77" s="7">
        <f t="shared" si="38"/>
        <v>-2.6123342488764885</v>
      </c>
      <c r="O77" s="11"/>
      <c r="P77" s="6">
        <v>48337.17</v>
      </c>
      <c r="Q77" s="2"/>
      <c r="R77" s="7">
        <f t="shared" si="39"/>
        <v>3.2248748775031214E-2</v>
      </c>
      <c r="S77" s="2"/>
      <c r="T77" s="6">
        <v>85080.960000000006</v>
      </c>
      <c r="U77" s="2"/>
      <c r="V77" s="7">
        <f t="shared" si="40"/>
        <v>6.2378346916502563E-2</v>
      </c>
      <c r="W77" s="2"/>
      <c r="X77" s="6">
        <f t="shared" si="41"/>
        <v>-36743.790000000008</v>
      </c>
      <c r="Y77" s="2"/>
      <c r="Z77" s="7">
        <f t="shared" si="42"/>
        <v>-0.4318685402703496</v>
      </c>
    </row>
    <row r="78" spans="1:26" s="25" customFormat="1" outlineLevel="1" collapsed="1" x14ac:dyDescent="0.25">
      <c r="A78" s="27"/>
      <c r="B78" s="13" t="str">
        <f>CONCATENATE("     ","Employees' Appreciation                           ")</f>
        <v xml:space="preserve">     Employees' Appreciation                           </v>
      </c>
      <c r="C78" s="13"/>
      <c r="D78" s="1">
        <f>SUM(OSRRefD22_5x_0)</f>
        <v>0</v>
      </c>
      <c r="E78" s="1"/>
      <c r="F78" s="5">
        <f t="shared" si="35"/>
        <v>0</v>
      </c>
      <c r="G78" s="1"/>
      <c r="H78" s="1">
        <f>SUM(OSRRefH22_5x_0)</f>
        <v>97.53</v>
      </c>
      <c r="I78" s="1"/>
      <c r="J78" s="5">
        <f t="shared" si="36"/>
        <v>5.3863795344749805E-4</v>
      </c>
      <c r="K78" s="1"/>
      <c r="L78" s="1">
        <f t="shared" si="37"/>
        <v>-97.53</v>
      </c>
      <c r="M78" s="1"/>
      <c r="N78" s="5">
        <f t="shared" si="38"/>
        <v>-1</v>
      </c>
      <c r="O78" s="13"/>
      <c r="P78" s="1">
        <f>SUM(OSRRefP22_5x_0)</f>
        <v>0</v>
      </c>
      <c r="Q78" s="1"/>
      <c r="R78" s="5">
        <f t="shared" si="39"/>
        <v>0</v>
      </c>
      <c r="S78" s="1"/>
      <c r="T78" s="1">
        <f>SUM(OSRRefT22_5x_0)</f>
        <v>181.84</v>
      </c>
      <c r="U78" s="1"/>
      <c r="V78" s="5">
        <f t="shared" si="40"/>
        <v>1.3331864853542821E-4</v>
      </c>
      <c r="W78" s="1"/>
      <c r="X78" s="1">
        <f t="shared" si="41"/>
        <v>-181.84</v>
      </c>
      <c r="Y78" s="1"/>
      <c r="Z78" s="5">
        <f t="shared" si="42"/>
        <v>-1</v>
      </c>
    </row>
    <row r="79" spans="1:26" s="24" customFormat="1" hidden="1" outlineLevel="2" x14ac:dyDescent="0.25">
      <c r="A79" s="26"/>
      <c r="B79" s="11" t="str">
        <f>CONCATENATE("          ", "6277", " - ", "EMPLOYEE APPRECIATION")</f>
        <v xml:space="preserve">          6277 - EMPLOYEE APPRECIATION</v>
      </c>
      <c r="C79" s="11"/>
      <c r="D79" s="6"/>
      <c r="E79" s="2"/>
      <c r="F79" s="7">
        <f t="shared" si="35"/>
        <v>0</v>
      </c>
      <c r="G79" s="2"/>
      <c r="H79" s="6">
        <v>97.53</v>
      </c>
      <c r="I79" s="2"/>
      <c r="J79" s="7">
        <f t="shared" si="36"/>
        <v>5.3863795344749805E-4</v>
      </c>
      <c r="K79" s="2"/>
      <c r="L79" s="6">
        <f t="shared" si="37"/>
        <v>-97.53</v>
      </c>
      <c r="M79" s="2"/>
      <c r="N79" s="7">
        <f t="shared" si="38"/>
        <v>-1</v>
      </c>
      <c r="O79" s="11"/>
      <c r="P79" s="6"/>
      <c r="Q79" s="2"/>
      <c r="R79" s="7">
        <f t="shared" si="39"/>
        <v>0</v>
      </c>
      <c r="S79" s="2"/>
      <c r="T79" s="6">
        <v>181.84</v>
      </c>
      <c r="U79" s="2"/>
      <c r="V79" s="7">
        <f t="shared" si="40"/>
        <v>1.3331864853542821E-4</v>
      </c>
      <c r="W79" s="2"/>
      <c r="X79" s="6">
        <f t="shared" si="41"/>
        <v>-181.84</v>
      </c>
      <c r="Y79" s="2"/>
      <c r="Z79" s="7">
        <f t="shared" si="42"/>
        <v>-1</v>
      </c>
    </row>
    <row r="80" spans="1:26" s="25" customFormat="1" outlineLevel="1" collapsed="1" x14ac:dyDescent="0.25">
      <c r="A80" s="27"/>
      <c r="B80" s="13" t="str">
        <f>CONCATENATE("     ","Freight out/Postage                               ")</f>
        <v xml:space="preserve">     Freight out/Postage                               </v>
      </c>
      <c r="C80" s="13"/>
      <c r="D80" s="1">
        <f>SUM(OSRRefD22_6x_0)</f>
        <v>30.85</v>
      </c>
      <c r="E80" s="1"/>
      <c r="F80" s="5">
        <f t="shared" si="35"/>
        <v>1.9223539732252554E-4</v>
      </c>
      <c r="G80" s="1"/>
      <c r="H80" s="1">
        <f>SUM(OSRRefH22_6x_0)</f>
        <v>0</v>
      </c>
      <c r="I80" s="1"/>
      <c r="J80" s="5">
        <f t="shared" si="36"/>
        <v>0</v>
      </c>
      <c r="K80" s="1"/>
      <c r="L80" s="1">
        <f t="shared" si="37"/>
        <v>30.85</v>
      </c>
      <c r="M80" s="1"/>
      <c r="N80" s="5">
        <f t="shared" si="38"/>
        <v>0</v>
      </c>
      <c r="O80" s="13"/>
      <c r="P80" s="1">
        <f>SUM(OSRRefP22_6x_0)</f>
        <v>41.61</v>
      </c>
      <c r="Q80" s="1"/>
      <c r="R80" s="5">
        <f t="shared" si="39"/>
        <v>2.7760632997940277E-5</v>
      </c>
      <c r="S80" s="1"/>
      <c r="T80" s="1">
        <f>SUM(OSRRefT22_6x_0)</f>
        <v>71.959999999999994</v>
      </c>
      <c r="U80" s="1"/>
      <c r="V80" s="5">
        <f t="shared" si="40"/>
        <v>5.2758523694508425E-5</v>
      </c>
      <c r="W80" s="1"/>
      <c r="X80" s="1">
        <f t="shared" si="41"/>
        <v>-30.349999999999994</v>
      </c>
      <c r="Y80" s="1"/>
      <c r="Z80" s="5">
        <f t="shared" si="42"/>
        <v>-0.42176209005002774</v>
      </c>
    </row>
    <row r="81" spans="1:26" s="24" customFormat="1" hidden="1" outlineLevel="2" x14ac:dyDescent="0.25">
      <c r="A81" s="26"/>
      <c r="B81" s="11" t="str">
        <f>CONCATENATE("          ", "6305", " - ", "FREIGHT OUT")</f>
        <v xml:space="preserve">          6305 - FREIGHT OUT</v>
      </c>
      <c r="C81" s="11"/>
      <c r="D81" s="6">
        <v>30.85</v>
      </c>
      <c r="E81" s="2"/>
      <c r="F81" s="7">
        <f t="shared" si="35"/>
        <v>1.9223539732252554E-4</v>
      </c>
      <c r="G81" s="2"/>
      <c r="H81" s="6"/>
      <c r="I81" s="2"/>
      <c r="J81" s="7">
        <f t="shared" si="36"/>
        <v>0</v>
      </c>
      <c r="K81" s="2"/>
      <c r="L81" s="6">
        <f t="shared" si="37"/>
        <v>30.85</v>
      </c>
      <c r="M81" s="2"/>
      <c r="N81" s="7">
        <f t="shared" si="38"/>
        <v>0</v>
      </c>
      <c r="O81" s="11"/>
      <c r="P81" s="6">
        <v>41.61</v>
      </c>
      <c r="Q81" s="2"/>
      <c r="R81" s="7">
        <f t="shared" si="39"/>
        <v>2.7760632997940277E-5</v>
      </c>
      <c r="S81" s="2"/>
      <c r="T81" s="6">
        <v>71.959999999999994</v>
      </c>
      <c r="U81" s="2"/>
      <c r="V81" s="7">
        <f t="shared" si="40"/>
        <v>5.2758523694508425E-5</v>
      </c>
      <c r="W81" s="2"/>
      <c r="X81" s="6">
        <f t="shared" si="41"/>
        <v>-30.349999999999994</v>
      </c>
      <c r="Y81" s="2"/>
      <c r="Z81" s="7">
        <f t="shared" si="42"/>
        <v>-0.42176209005002774</v>
      </c>
    </row>
    <row r="82" spans="1:26" s="25" customFormat="1" outlineLevel="1" collapsed="1" x14ac:dyDescent="0.25">
      <c r="A82" s="27"/>
      <c r="B82" s="13" t="str">
        <f>CONCATENATE("     ","Inventory Adjustment                              ")</f>
        <v xml:space="preserve">     Inventory Adjustment                              </v>
      </c>
      <c r="C82" s="13"/>
      <c r="D82" s="1">
        <f>SUM(OSRRefD22_7x_0)</f>
        <v>0</v>
      </c>
      <c r="E82" s="1"/>
      <c r="F82" s="5">
        <f t="shared" si="35"/>
        <v>0</v>
      </c>
      <c r="G82" s="1"/>
      <c r="H82" s="1">
        <f>SUM(OSRRefH22_7x_0)</f>
        <v>1250</v>
      </c>
      <c r="I82" s="1"/>
      <c r="J82" s="5">
        <f t="shared" si="36"/>
        <v>6.9034906368232608E-3</v>
      </c>
      <c r="K82" s="1"/>
      <c r="L82" s="1">
        <f t="shared" si="37"/>
        <v>-1250</v>
      </c>
      <c r="M82" s="1"/>
      <c r="N82" s="5">
        <f t="shared" si="38"/>
        <v>-1</v>
      </c>
      <c r="O82" s="13"/>
      <c r="P82" s="1">
        <f>SUM(OSRRefP22_7x_0)</f>
        <v>0</v>
      </c>
      <c r="Q82" s="1"/>
      <c r="R82" s="5">
        <f t="shared" si="39"/>
        <v>0</v>
      </c>
      <c r="S82" s="1"/>
      <c r="T82" s="1">
        <f>SUM(OSRRefT22_7x_0)</f>
        <v>6250</v>
      </c>
      <c r="U82" s="1"/>
      <c r="V82" s="5">
        <f t="shared" si="40"/>
        <v>4.5822786699649485E-3</v>
      </c>
      <c r="W82" s="1"/>
      <c r="X82" s="1">
        <f t="shared" si="41"/>
        <v>-6250</v>
      </c>
      <c r="Y82" s="1"/>
      <c r="Z82" s="5">
        <f t="shared" si="42"/>
        <v>-1</v>
      </c>
    </row>
    <row r="83" spans="1:26" s="24" customFormat="1" hidden="1" outlineLevel="2" x14ac:dyDescent="0.25">
      <c r="A83" s="26"/>
      <c r="B83" s="11" t="str">
        <f>CONCATENATE("          ", "6408", " - ", "INVENTORY ADJUSTMENT")</f>
        <v xml:space="preserve">          6408 - INVENTORY ADJUSTMENT</v>
      </c>
      <c r="C83" s="11"/>
      <c r="D83" s="6"/>
      <c r="E83" s="2"/>
      <c r="F83" s="7">
        <f t="shared" si="35"/>
        <v>0</v>
      </c>
      <c r="G83" s="2"/>
      <c r="H83" s="6">
        <v>1250</v>
      </c>
      <c r="I83" s="2"/>
      <c r="J83" s="7">
        <f t="shared" si="36"/>
        <v>6.9034906368232608E-3</v>
      </c>
      <c r="K83" s="2"/>
      <c r="L83" s="6">
        <f t="shared" si="37"/>
        <v>-1250</v>
      </c>
      <c r="M83" s="2"/>
      <c r="N83" s="7">
        <f t="shared" si="38"/>
        <v>-1</v>
      </c>
      <c r="O83" s="11"/>
      <c r="P83" s="6"/>
      <c r="Q83" s="2"/>
      <c r="R83" s="7">
        <f t="shared" si="39"/>
        <v>0</v>
      </c>
      <c r="S83" s="2"/>
      <c r="T83" s="6">
        <v>6250</v>
      </c>
      <c r="U83" s="2"/>
      <c r="V83" s="7">
        <f t="shared" si="40"/>
        <v>4.5822786699649485E-3</v>
      </c>
      <c r="W83" s="2"/>
      <c r="X83" s="6">
        <f t="shared" si="41"/>
        <v>-6250</v>
      </c>
      <c r="Y83" s="2"/>
      <c r="Z83" s="7">
        <f t="shared" si="42"/>
        <v>-1</v>
      </c>
    </row>
    <row r="84" spans="1:26" s="25" customFormat="1" outlineLevel="1" collapsed="1" x14ac:dyDescent="0.25">
      <c r="A84" s="27"/>
      <c r="B84" s="13" t="str">
        <f>CONCATENATE("     ","Subscriptions &amp; Dues                              ")</f>
        <v xml:space="preserve">     Subscriptions &amp; Dues                              </v>
      </c>
      <c r="C84" s="13"/>
      <c r="D84" s="1">
        <f>SUM(OSRRefD22_8x_0)</f>
        <v>0</v>
      </c>
      <c r="E84" s="1"/>
      <c r="F84" s="5">
        <f t="shared" si="35"/>
        <v>0</v>
      </c>
      <c r="G84" s="1"/>
      <c r="H84" s="1">
        <f>SUM(OSRRefH22_8x_0)</f>
        <v>258.74</v>
      </c>
      <c r="I84" s="1"/>
      <c r="J84" s="5">
        <f t="shared" si="36"/>
        <v>1.4289673338973203E-3</v>
      </c>
      <c r="K84" s="1"/>
      <c r="L84" s="1">
        <f t="shared" si="37"/>
        <v>-258.74</v>
      </c>
      <c r="M84" s="1"/>
      <c r="N84" s="5">
        <f t="shared" si="38"/>
        <v>-1</v>
      </c>
      <c r="O84" s="13"/>
      <c r="P84" s="1">
        <f>SUM(OSRRefP22_8x_0)</f>
        <v>-5000</v>
      </c>
      <c r="Q84" s="1"/>
      <c r="R84" s="5">
        <f t="shared" si="39"/>
        <v>-3.3358126649772023E-3</v>
      </c>
      <c r="S84" s="1"/>
      <c r="T84" s="1">
        <f>SUM(OSRRefT22_8x_0)</f>
        <v>258.74</v>
      </c>
      <c r="U84" s="1"/>
      <c r="V84" s="5">
        <f t="shared" si="40"/>
        <v>1.8969900529067693E-4</v>
      </c>
      <c r="W84" s="1"/>
      <c r="X84" s="1">
        <f t="shared" si="41"/>
        <v>-5258.74</v>
      </c>
      <c r="Y84" s="1"/>
      <c r="Z84" s="5">
        <f t="shared" si="42"/>
        <v>-20.324418335008115</v>
      </c>
    </row>
    <row r="85" spans="1:26" s="24" customFormat="1" hidden="1" outlineLevel="2" x14ac:dyDescent="0.25">
      <c r="A85" s="26"/>
      <c r="B85" s="11" t="str">
        <f>CONCATENATE("          ", "6258", " - ", "MEMBERSHIP DUES")</f>
        <v xml:space="preserve">          6258 - MEMBERSHIP DUES</v>
      </c>
      <c r="C85" s="11"/>
      <c r="D85" s="6"/>
      <c r="E85" s="2"/>
      <c r="F85" s="7">
        <f t="shared" si="35"/>
        <v>0</v>
      </c>
      <c r="G85" s="2"/>
      <c r="H85" s="6">
        <v>258.74</v>
      </c>
      <c r="I85" s="2"/>
      <c r="J85" s="7">
        <f t="shared" si="36"/>
        <v>1.4289673338973203E-3</v>
      </c>
      <c r="K85" s="2"/>
      <c r="L85" s="6">
        <f t="shared" si="37"/>
        <v>-258.74</v>
      </c>
      <c r="M85" s="2"/>
      <c r="N85" s="7">
        <f t="shared" si="38"/>
        <v>-1</v>
      </c>
      <c r="O85" s="11"/>
      <c r="P85" s="6">
        <v>-5000</v>
      </c>
      <c r="Q85" s="2"/>
      <c r="R85" s="7">
        <f t="shared" si="39"/>
        <v>-3.3358126649772023E-3</v>
      </c>
      <c r="S85" s="2"/>
      <c r="T85" s="6">
        <v>258.74</v>
      </c>
      <c r="U85" s="2"/>
      <c r="V85" s="7">
        <f t="shared" si="40"/>
        <v>1.8969900529067693E-4</v>
      </c>
      <c r="W85" s="2"/>
      <c r="X85" s="6">
        <f t="shared" si="41"/>
        <v>-5258.74</v>
      </c>
      <c r="Y85" s="2"/>
      <c r="Z85" s="7">
        <f t="shared" si="42"/>
        <v>-20.324418335008115</v>
      </c>
    </row>
    <row r="86" spans="1:26" s="25" customFormat="1" outlineLevel="1" collapsed="1" x14ac:dyDescent="0.25">
      <c r="A86" s="27"/>
      <c r="B86" s="13" t="str">
        <f>CONCATENATE("     ","Supplies                                          ")</f>
        <v xml:space="preserve">     Supplies                                          </v>
      </c>
      <c r="C86" s="13"/>
      <c r="D86" s="1">
        <f>SUM(OSRRefD22_9x_0)</f>
        <v>1145.08</v>
      </c>
      <c r="E86" s="1"/>
      <c r="F86" s="5">
        <f t="shared" si="35"/>
        <v>7.1353292954968398E-3</v>
      </c>
      <c r="G86" s="1"/>
      <c r="H86" s="1">
        <f>SUM(OSRRefH22_9x_0)</f>
        <v>181.89999999999998</v>
      </c>
      <c r="I86" s="1"/>
      <c r="J86" s="5">
        <f t="shared" si="36"/>
        <v>1.0045959574705207E-3</v>
      </c>
      <c r="K86" s="1"/>
      <c r="L86" s="1">
        <f t="shared" si="37"/>
        <v>963.18</v>
      </c>
      <c r="M86" s="1"/>
      <c r="N86" s="5">
        <f t="shared" si="38"/>
        <v>5.2951072017592091</v>
      </c>
      <c r="O86" s="13"/>
      <c r="P86" s="1">
        <f>SUM(OSRRefP22_9x_0)</f>
        <v>2702.03</v>
      </c>
      <c r="Q86" s="1"/>
      <c r="R86" s="5">
        <f t="shared" si="39"/>
        <v>1.8026931790296702E-3</v>
      </c>
      <c r="S86" s="1"/>
      <c r="T86" s="1">
        <f>SUM(OSRRefT22_9x_0)</f>
        <v>1206.1799999999998</v>
      </c>
      <c r="U86" s="1"/>
      <c r="V86" s="5">
        <f t="shared" si="40"/>
        <v>8.8432846178213139E-4</v>
      </c>
      <c r="W86" s="1"/>
      <c r="X86" s="1">
        <f t="shared" si="41"/>
        <v>1495.8500000000004</v>
      </c>
      <c r="Y86" s="1"/>
      <c r="Z86" s="5">
        <f t="shared" si="42"/>
        <v>1.2401548690908493</v>
      </c>
    </row>
    <row r="87" spans="1:26" s="24" customFormat="1" hidden="1" outlineLevel="2" x14ac:dyDescent="0.25">
      <c r="A87" s="26"/>
      <c r="B87" s="11" t="str">
        <f>CONCATENATE("          ", "6241", " - ", "OFFICE EXPENSE")</f>
        <v xml:space="preserve">          6241 - OFFICE EXPENSE</v>
      </c>
      <c r="C87" s="11"/>
      <c r="D87" s="6">
        <v>76.349999999999994</v>
      </c>
      <c r="E87" s="2"/>
      <c r="F87" s="7">
        <f t="shared" si="35"/>
        <v>4.7575924102349508E-4</v>
      </c>
      <c r="G87" s="2"/>
      <c r="H87" s="6">
        <v>139.01</v>
      </c>
      <c r="I87" s="2"/>
      <c r="J87" s="7">
        <f t="shared" si="36"/>
        <v>7.677233867398411E-4</v>
      </c>
      <c r="K87" s="2"/>
      <c r="L87" s="6">
        <f t="shared" si="37"/>
        <v>-62.66</v>
      </c>
      <c r="M87" s="2"/>
      <c r="N87" s="7">
        <f t="shared" si="38"/>
        <v>-0.45075893820588447</v>
      </c>
      <c r="O87" s="11"/>
      <c r="P87" s="6">
        <v>692.65</v>
      </c>
      <c r="Q87" s="2"/>
      <c r="R87" s="7">
        <f t="shared" si="39"/>
        <v>4.6211012847929183E-4</v>
      </c>
      <c r="S87" s="2"/>
      <c r="T87" s="6">
        <v>977.42</v>
      </c>
      <c r="U87" s="2"/>
      <c r="V87" s="7">
        <f t="shared" si="40"/>
        <v>7.1660973081554241E-4</v>
      </c>
      <c r="W87" s="2"/>
      <c r="X87" s="6">
        <f t="shared" si="41"/>
        <v>-284.77</v>
      </c>
      <c r="Y87" s="2"/>
      <c r="Z87" s="7">
        <f t="shared" si="42"/>
        <v>-0.2913486525751468</v>
      </c>
    </row>
    <row r="88" spans="1:26" s="24" customFormat="1" hidden="1" outlineLevel="2" x14ac:dyDescent="0.25">
      <c r="A88" s="26"/>
      <c r="B88" s="11" t="str">
        <f>CONCATENATE("          ", "6247", " - ", "STORE SUPPLIES")</f>
        <v xml:space="preserve">          6247 - STORE SUPPLIES</v>
      </c>
      <c r="C88" s="11"/>
      <c r="D88" s="6">
        <v>1068.73</v>
      </c>
      <c r="E88" s="2"/>
      <c r="F88" s="7">
        <f t="shared" si="35"/>
        <v>6.659570054473346E-3</v>
      </c>
      <c r="G88" s="2"/>
      <c r="H88" s="6">
        <v>42.89</v>
      </c>
      <c r="I88" s="2"/>
      <c r="J88" s="7">
        <f t="shared" si="36"/>
        <v>2.3687257073067974E-4</v>
      </c>
      <c r="K88" s="2"/>
      <c r="L88" s="6">
        <f t="shared" si="37"/>
        <v>1025.8399999999999</v>
      </c>
      <c r="M88" s="2"/>
      <c r="N88" s="7">
        <f t="shared" si="38"/>
        <v>23.91792958731639</v>
      </c>
      <c r="O88" s="11"/>
      <c r="P88" s="6">
        <v>2009.38</v>
      </c>
      <c r="Q88" s="2"/>
      <c r="R88" s="7">
        <f t="shared" si="39"/>
        <v>1.3405830505503783E-3</v>
      </c>
      <c r="S88" s="2"/>
      <c r="T88" s="6">
        <v>228.76</v>
      </c>
      <c r="U88" s="2"/>
      <c r="V88" s="7">
        <f t="shared" si="40"/>
        <v>1.6771873096658907E-4</v>
      </c>
      <c r="W88" s="2"/>
      <c r="X88" s="6">
        <f t="shared" si="41"/>
        <v>1780.6200000000001</v>
      </c>
      <c r="Y88" s="2"/>
      <c r="Z88" s="7">
        <f t="shared" si="42"/>
        <v>7.7837908725301634</v>
      </c>
    </row>
    <row r="89" spans="1:26" s="25" customFormat="1" outlineLevel="1" collapsed="1" x14ac:dyDescent="0.25">
      <c r="A89" s="27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SUM(OSRRefD22_10x_0)</f>
        <v>258.35000000000002</v>
      </c>
      <c r="E89" s="1"/>
      <c r="F89" s="5">
        <f t="shared" ref="F89:F94" si="43">IF(D$12=0,0,D89/D$12)</f>
        <v>1.6098546158273737E-3</v>
      </c>
      <c r="G89" s="1"/>
      <c r="H89" s="1">
        <f>SUM(OSRRefH22_10x_0)</f>
        <v>241.45</v>
      </c>
      <c r="I89" s="1"/>
      <c r="J89" s="5">
        <f t="shared" ref="J89:J94" si="44">IF(H$12=0,0,H89/H$12)</f>
        <v>1.3334782514087811E-3</v>
      </c>
      <c r="K89" s="1"/>
      <c r="L89" s="1">
        <f t="shared" ref="L89:L94" si="45">+D89-H89</f>
        <v>16.900000000000034</v>
      </c>
      <c r="M89" s="1"/>
      <c r="N89" s="5">
        <f t="shared" ref="N89:N94" si="46">IF(H89=0,0,L89/H89)</f>
        <v>6.9993787533651E-2</v>
      </c>
      <c r="O89" s="13"/>
      <c r="P89" s="1">
        <f>SUM(OSRRefP22_10x_0)</f>
        <v>1279.1500000000001</v>
      </c>
      <c r="Q89" s="1"/>
      <c r="R89" s="5">
        <f t="shared" ref="R89:R94" si="47">IF(P$12=0,0,P89/P$12)</f>
        <v>8.5340095408111775E-4</v>
      </c>
      <c r="S89" s="1"/>
      <c r="T89" s="1">
        <f>SUM(OSRRefT22_10x_0)</f>
        <v>1775.4</v>
      </c>
      <c r="U89" s="1"/>
      <c r="V89" s="5">
        <f t="shared" ref="V89:V94" si="48">IF(T$12=0,0,T89/T$12)</f>
        <v>1.3016604081049232E-3</v>
      </c>
      <c r="W89" s="1"/>
      <c r="X89" s="1">
        <f t="shared" ref="X89:X94" si="49">+P89-T89</f>
        <v>-496.25</v>
      </c>
      <c r="Y89" s="1"/>
      <c r="Z89" s="5">
        <f t="shared" ref="Z89:Z94" si="50">IF(T89=0,0,X89/T89)</f>
        <v>-0.27951447561112985</v>
      </c>
    </row>
    <row r="90" spans="1:26" s="24" customFormat="1" hidden="1" outlineLevel="2" x14ac:dyDescent="0.25">
      <c r="A90" s="26"/>
      <c r="B90" s="11" t="str">
        <f>CONCATENATE("          ", "6309", " - ", "TELEPHONE")</f>
        <v xml:space="preserve">          6309 - TELEPHONE</v>
      </c>
      <c r="C90" s="11"/>
      <c r="D90" s="6">
        <v>258.35000000000002</v>
      </c>
      <c r="E90" s="2"/>
      <c r="F90" s="7">
        <f t="shared" si="43"/>
        <v>1.6098546158273737E-3</v>
      </c>
      <c r="G90" s="2"/>
      <c r="H90" s="6">
        <v>241.45</v>
      </c>
      <c r="I90" s="2"/>
      <c r="J90" s="7">
        <f t="shared" si="44"/>
        <v>1.3334782514087811E-3</v>
      </c>
      <c r="K90" s="2"/>
      <c r="L90" s="6">
        <f t="shared" si="45"/>
        <v>16.900000000000034</v>
      </c>
      <c r="M90" s="2"/>
      <c r="N90" s="7">
        <f t="shared" si="46"/>
        <v>6.9993787533651E-2</v>
      </c>
      <c r="O90" s="11"/>
      <c r="P90" s="6">
        <v>1279.1500000000001</v>
      </c>
      <c r="Q90" s="2"/>
      <c r="R90" s="7">
        <f t="shared" si="47"/>
        <v>8.5340095408111775E-4</v>
      </c>
      <c r="S90" s="2"/>
      <c r="T90" s="6">
        <v>1775.4</v>
      </c>
      <c r="U90" s="2"/>
      <c r="V90" s="7">
        <f t="shared" si="48"/>
        <v>1.3016604081049232E-3</v>
      </c>
      <c r="W90" s="2"/>
      <c r="X90" s="6">
        <f t="shared" si="49"/>
        <v>-496.25</v>
      </c>
      <c r="Y90" s="2"/>
      <c r="Z90" s="7">
        <f t="shared" si="50"/>
        <v>-0.27951447561112985</v>
      </c>
    </row>
    <row r="91" spans="1:26" s="25" customFormat="1" outlineLevel="1" collapsed="1" x14ac:dyDescent="0.25">
      <c r="A91" s="27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SUM(OSRRefD22_11x_0)</f>
        <v>1123.6400000000001</v>
      </c>
      <c r="E91" s="1"/>
      <c r="F91" s="5">
        <f t="shared" si="43"/>
        <v>7.0017303678276376E-3</v>
      </c>
      <c r="G91" s="1"/>
      <c r="H91" s="1">
        <f>SUM(OSRRefH22_11x_0)</f>
        <v>0</v>
      </c>
      <c r="I91" s="1"/>
      <c r="J91" s="5">
        <f t="shared" si="44"/>
        <v>0</v>
      </c>
      <c r="K91" s="1"/>
      <c r="L91" s="1">
        <f t="shared" si="45"/>
        <v>1123.6400000000001</v>
      </c>
      <c r="M91" s="1"/>
      <c r="N91" s="5">
        <f t="shared" si="46"/>
        <v>0</v>
      </c>
      <c r="O91" s="13"/>
      <c r="P91" s="1">
        <f>SUM(OSRRefP22_11x_0)</f>
        <v>1163.6400000000001</v>
      </c>
      <c r="Q91" s="1"/>
      <c r="R91" s="5">
        <f t="shared" si="47"/>
        <v>7.7633700989481445E-4</v>
      </c>
      <c r="S91" s="1"/>
      <c r="T91" s="1">
        <f>SUM(OSRRefT22_11x_0)</f>
        <v>0</v>
      </c>
      <c r="U91" s="1"/>
      <c r="V91" s="5">
        <f t="shared" si="48"/>
        <v>0</v>
      </c>
      <c r="W91" s="1"/>
      <c r="X91" s="1">
        <f t="shared" si="49"/>
        <v>1163.6400000000001</v>
      </c>
      <c r="Y91" s="1"/>
      <c r="Z91" s="5">
        <f t="shared" si="50"/>
        <v>0</v>
      </c>
    </row>
    <row r="92" spans="1:26" s="24" customFormat="1" hidden="1" outlineLevel="2" x14ac:dyDescent="0.25">
      <c r="A92" s="26"/>
      <c r="B92" s="11" t="str">
        <f>CONCATENATE("          ", "6376", " - ", "TRAINING")</f>
        <v xml:space="preserve">          6376 - TRAINING</v>
      </c>
      <c r="C92" s="11"/>
      <c r="D92" s="6">
        <v>1123.6400000000001</v>
      </c>
      <c r="E92" s="2"/>
      <c r="F92" s="7">
        <f t="shared" si="43"/>
        <v>7.0017303678276376E-3</v>
      </c>
      <c r="G92" s="2"/>
      <c r="H92" s="6"/>
      <c r="I92" s="2"/>
      <c r="J92" s="7">
        <f t="shared" si="44"/>
        <v>0</v>
      </c>
      <c r="K92" s="2"/>
      <c r="L92" s="6">
        <f t="shared" si="45"/>
        <v>1123.6400000000001</v>
      </c>
      <c r="M92" s="2"/>
      <c r="N92" s="7">
        <f t="shared" si="46"/>
        <v>0</v>
      </c>
      <c r="O92" s="11"/>
      <c r="P92" s="6">
        <v>1163.6400000000001</v>
      </c>
      <c r="Q92" s="2"/>
      <c r="R92" s="7">
        <f t="shared" si="47"/>
        <v>7.7633700989481445E-4</v>
      </c>
      <c r="S92" s="2"/>
      <c r="T92" s="6"/>
      <c r="U92" s="2"/>
      <c r="V92" s="7">
        <f t="shared" si="48"/>
        <v>0</v>
      </c>
      <c r="W92" s="2"/>
      <c r="X92" s="6">
        <f t="shared" si="49"/>
        <v>1163.6400000000001</v>
      </c>
      <c r="Y92" s="2"/>
      <c r="Z92" s="7">
        <f t="shared" si="50"/>
        <v>0</v>
      </c>
    </row>
    <row r="93" spans="1:26" s="25" customFormat="1" outlineLevel="1" collapsed="1" x14ac:dyDescent="0.25">
      <c r="A93" s="27"/>
      <c r="B93" s="13" t="str">
        <f>CONCATENATE("     ","Travel                                            ")</f>
        <v xml:space="preserve">     Travel                                            </v>
      </c>
      <c r="C93" s="13"/>
      <c r="D93" s="1">
        <f>SUM(OSRRefD22_12x_0)</f>
        <v>-178.06</v>
      </c>
      <c r="E93" s="1"/>
      <c r="F93" s="5">
        <f t="shared" si="43"/>
        <v>-1.1095440793273549E-3</v>
      </c>
      <c r="G93" s="1"/>
      <c r="H93" s="1">
        <f>SUM(OSRRefH22_12x_0)</f>
        <v>0</v>
      </c>
      <c r="I93" s="1"/>
      <c r="J93" s="5">
        <f t="shared" si="44"/>
        <v>0</v>
      </c>
      <c r="K93" s="1"/>
      <c r="L93" s="1">
        <f t="shared" si="45"/>
        <v>-178.06</v>
      </c>
      <c r="M93" s="1"/>
      <c r="N93" s="5">
        <f t="shared" si="46"/>
        <v>0</v>
      </c>
      <c r="O93" s="13"/>
      <c r="P93" s="1">
        <f>SUM(OSRRefP22_12x_0)</f>
        <v>-178.06</v>
      </c>
      <c r="Q93" s="1"/>
      <c r="R93" s="5">
        <f t="shared" si="47"/>
        <v>-1.1879496062516813E-4</v>
      </c>
      <c r="S93" s="1"/>
      <c r="T93" s="1">
        <f>SUM(OSRRefT22_12x_0)</f>
        <v>113.4</v>
      </c>
      <c r="U93" s="1"/>
      <c r="V93" s="5">
        <f t="shared" si="48"/>
        <v>8.3140864187844027E-5</v>
      </c>
      <c r="W93" s="1"/>
      <c r="X93" s="1">
        <f t="shared" si="49"/>
        <v>-291.46000000000004</v>
      </c>
      <c r="Y93" s="1"/>
      <c r="Z93" s="5">
        <f t="shared" si="50"/>
        <v>-2.570194003527337</v>
      </c>
    </row>
    <row r="94" spans="1:26" s="24" customFormat="1" hidden="1" outlineLevel="2" x14ac:dyDescent="0.25">
      <c r="A94" s="26"/>
      <c r="B94" s="11" t="str">
        <f>CONCATENATE("          ", "6292", " - ", "TRAVEL/CONFERENCE")</f>
        <v xml:space="preserve">          6292 - TRAVEL/CONFERENCE</v>
      </c>
      <c r="C94" s="11"/>
      <c r="D94" s="6">
        <v>-178.06</v>
      </c>
      <c r="E94" s="2"/>
      <c r="F94" s="7">
        <f t="shared" si="43"/>
        <v>-1.1095440793273549E-3</v>
      </c>
      <c r="G94" s="2"/>
      <c r="H94" s="6"/>
      <c r="I94" s="2"/>
      <c r="J94" s="7">
        <f t="shared" si="44"/>
        <v>0</v>
      </c>
      <c r="K94" s="2"/>
      <c r="L94" s="6">
        <f t="shared" si="45"/>
        <v>-178.06</v>
      </c>
      <c r="M94" s="2"/>
      <c r="N94" s="7">
        <f t="shared" si="46"/>
        <v>0</v>
      </c>
      <c r="O94" s="11"/>
      <c r="P94" s="6">
        <v>-178.06</v>
      </c>
      <c r="Q94" s="2"/>
      <c r="R94" s="7">
        <f t="shared" si="47"/>
        <v>-1.1879496062516813E-4</v>
      </c>
      <c r="S94" s="2"/>
      <c r="T94" s="6">
        <v>113.4</v>
      </c>
      <c r="U94" s="2"/>
      <c r="V94" s="7">
        <f t="shared" si="48"/>
        <v>8.3140864187844027E-5</v>
      </c>
      <c r="W94" s="2"/>
      <c r="X94" s="6">
        <f t="shared" si="49"/>
        <v>-291.46000000000004</v>
      </c>
      <c r="Y94" s="2"/>
      <c r="Z94" s="7">
        <f t="shared" si="50"/>
        <v>-2.570194003527337</v>
      </c>
    </row>
    <row r="95" spans="1:26" s="53" customFormat="1" x14ac:dyDescent="0.25">
      <c r="A95" s="37"/>
      <c r="B95" s="37"/>
      <c r="C95" s="37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7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collapsed="1" x14ac:dyDescent="0.25">
      <c r="A96" s="10"/>
      <c r="B96" s="28" t="s">
        <v>0</v>
      </c>
      <c r="C96" s="10"/>
      <c r="D96" s="4">
        <f>SUM(OSRRefD25x_0)</f>
        <v>942.8</v>
      </c>
      <c r="E96" s="4"/>
      <c r="F96" s="12">
        <f t="shared" ref="F96:F99" si="51">IF(D$12=0,0,D96/D$12)</f>
        <v>5.8748632932148154E-3</v>
      </c>
      <c r="G96" s="4"/>
      <c r="H96" s="4">
        <f>SUM(OSRRefH25x_0)</f>
        <v>1574.34</v>
      </c>
      <c r="I96" s="4"/>
      <c r="J96" s="12">
        <f t="shared" ref="J96:J99" si="52">IF(H$12=0,0,H96/H$12)</f>
        <v>8.6947531593410659E-3</v>
      </c>
      <c r="K96" s="4"/>
      <c r="L96" s="4">
        <f t="shared" ref="L96:L99" si="53">+D96-H96</f>
        <v>-631.54</v>
      </c>
      <c r="M96" s="4"/>
      <c r="N96" s="12">
        <f t="shared" ref="N96:N99" si="54">IF(H96=0,0,L96/H96)</f>
        <v>-0.40114587700242643</v>
      </c>
      <c r="O96" s="10"/>
      <c r="P96" s="4">
        <f>SUM(OSRRefP25x_0)</f>
        <v>7231.7300000000005</v>
      </c>
      <c r="Q96" s="4"/>
      <c r="R96" s="12">
        <f t="shared" ref="R96:R99" si="55">IF(P$12=0,0,P96/P$12)</f>
        <v>4.8247393047391174E-3</v>
      </c>
      <c r="S96" s="4"/>
      <c r="T96" s="4">
        <f>SUM(OSRRefT25x_0)</f>
        <v>6030.87</v>
      </c>
      <c r="U96" s="4"/>
      <c r="V96" s="12">
        <f t="shared" ref="V96:V99" si="56">IF(T$12=0,0,T96/T$12)</f>
        <v>4.4216203139730414E-3</v>
      </c>
      <c r="W96" s="4"/>
      <c r="X96" s="4">
        <f t="shared" ref="X96:X99" si="57">+P96-T96</f>
        <v>1200.8600000000006</v>
      </c>
      <c r="Y96" s="4"/>
      <c r="Z96" s="12">
        <f t="shared" ref="Z96:Z99" si="58">IF(T96=0,0,X96/T96)</f>
        <v>0.1991188667638335</v>
      </c>
    </row>
    <row r="97" spans="1:26" s="24" customFormat="1" hidden="1" outlineLevel="1" x14ac:dyDescent="0.25">
      <c r="A97" s="44"/>
      <c r="B97" s="11" t="str">
        <f>CONCATENATE("          ", "4187", " - ", "NON-TAXABLE SALES-COMPUTER REP")</f>
        <v xml:space="preserve">          4187 - NON-TAXABLE SALES-COMPUTER REP</v>
      </c>
      <c r="C97" s="11"/>
      <c r="D97" s="2">
        <f>--949.24</f>
        <v>949.24</v>
      </c>
      <c r="E97" s="2"/>
      <c r="F97" s="19">
        <f t="shared" si="51"/>
        <v>5.9149928218617228E-3</v>
      </c>
      <c r="G97" s="2"/>
      <c r="H97" s="2">
        <f>--701.66</f>
        <v>701.66</v>
      </c>
      <c r="I97" s="2"/>
      <c r="J97" s="19">
        <f t="shared" si="52"/>
        <v>3.8751225921867271E-3</v>
      </c>
      <c r="K97" s="2"/>
      <c r="L97" s="2">
        <f t="shared" si="53"/>
        <v>247.58000000000004</v>
      </c>
      <c r="M97" s="2"/>
      <c r="N97" s="19">
        <f t="shared" si="54"/>
        <v>0.35284895818487594</v>
      </c>
      <c r="O97" s="11"/>
      <c r="P97" s="2">
        <f>--12731.93</f>
        <v>12731.93</v>
      </c>
      <c r="Q97" s="2"/>
      <c r="R97" s="19">
        <f t="shared" si="55"/>
        <v>8.4942666687206382E-3</v>
      </c>
      <c r="S97" s="2"/>
      <c r="T97" s="2">
        <f>--4961.38</f>
        <v>4961.38</v>
      </c>
      <c r="U97" s="2"/>
      <c r="V97" s="19">
        <f t="shared" si="56"/>
        <v>3.6375081196145117E-3</v>
      </c>
      <c r="W97" s="2"/>
      <c r="X97" s="2">
        <f t="shared" si="57"/>
        <v>7770.55</v>
      </c>
      <c r="Y97" s="2"/>
      <c r="Z97" s="19">
        <f t="shared" si="58"/>
        <v>1.5662073858482921</v>
      </c>
    </row>
    <row r="98" spans="1:26" s="24" customFormat="1" hidden="1" outlineLevel="1" x14ac:dyDescent="0.25">
      <c r="A98" s="44"/>
      <c r="B98" s="11" t="str">
        <f>CONCATENATE("          ", "4387", " - ", "SALES RETURN NON TAXABLE-COMPU")</f>
        <v xml:space="preserve">          4387 - SALES RETURN NON TAXABLE-COMPU</v>
      </c>
      <c r="C98" s="11"/>
      <c r="D98" s="2">
        <f>-1098.25</f>
        <v>-1098.25</v>
      </c>
      <c r="E98" s="2"/>
      <c r="F98" s="19">
        <f t="shared" si="51"/>
        <v>-6.8435178317492271E-3</v>
      </c>
      <c r="G98" s="2"/>
      <c r="H98" s="2">
        <f>0</f>
        <v>0</v>
      </c>
      <c r="I98" s="2"/>
      <c r="J98" s="19">
        <f t="shared" si="52"/>
        <v>0</v>
      </c>
      <c r="K98" s="2"/>
      <c r="L98" s="2">
        <f t="shared" si="53"/>
        <v>-1098.25</v>
      </c>
      <c r="M98" s="2"/>
      <c r="N98" s="19">
        <f t="shared" si="54"/>
        <v>0</v>
      </c>
      <c r="O98" s="11"/>
      <c r="P98" s="2">
        <f>-7889</f>
        <v>-7889</v>
      </c>
      <c r="Q98" s="2"/>
      <c r="R98" s="19">
        <f t="shared" si="55"/>
        <v>-5.26324522280103E-3</v>
      </c>
      <c r="S98" s="2"/>
      <c r="T98" s="2">
        <f>0</f>
        <v>0</v>
      </c>
      <c r="U98" s="2"/>
      <c r="V98" s="19">
        <f t="shared" si="56"/>
        <v>0</v>
      </c>
      <c r="W98" s="2"/>
      <c r="X98" s="2">
        <f t="shared" si="57"/>
        <v>-7889</v>
      </c>
      <c r="Y98" s="2"/>
      <c r="Z98" s="19">
        <f t="shared" si="58"/>
        <v>0</v>
      </c>
    </row>
    <row r="99" spans="1:26" s="24" customFormat="1" hidden="1" outlineLevel="1" x14ac:dyDescent="0.25">
      <c r="A99" s="44"/>
      <c r="B99" s="11" t="str">
        <f>CONCATENATE("          ", "9150", " - ", "MISC. INCOME")</f>
        <v xml:space="preserve">          9150 - MISC. INCOME</v>
      </c>
      <c r="C99" s="11"/>
      <c r="D99" s="2">
        <f>--1091.81</f>
        <v>1091.81</v>
      </c>
      <c r="E99" s="2"/>
      <c r="F99" s="19">
        <f t="shared" si="51"/>
        <v>6.8033883031023206E-3</v>
      </c>
      <c r="G99" s="2"/>
      <c r="H99" s="2">
        <f>--872.68</f>
        <v>872.68</v>
      </c>
      <c r="I99" s="2"/>
      <c r="J99" s="19">
        <f t="shared" si="52"/>
        <v>4.8196305671543383E-3</v>
      </c>
      <c r="K99" s="2"/>
      <c r="L99" s="2">
        <f t="shared" si="53"/>
        <v>219.13</v>
      </c>
      <c r="M99" s="2"/>
      <c r="N99" s="19">
        <f t="shared" si="54"/>
        <v>0.25110005958656095</v>
      </c>
      <c r="O99" s="11"/>
      <c r="P99" s="2">
        <f>--2388.8</f>
        <v>2388.8000000000002</v>
      </c>
      <c r="Q99" s="2"/>
      <c r="R99" s="19">
        <f t="shared" si="55"/>
        <v>1.5937178588195083E-3</v>
      </c>
      <c r="S99" s="2"/>
      <c r="T99" s="2">
        <f>--1069.49</f>
        <v>1069.49</v>
      </c>
      <c r="U99" s="2"/>
      <c r="V99" s="19">
        <f t="shared" si="56"/>
        <v>7.8411219435853003E-4</v>
      </c>
      <c r="W99" s="2"/>
      <c r="X99" s="2">
        <f t="shared" si="57"/>
        <v>1319.3100000000002</v>
      </c>
      <c r="Y99" s="2"/>
      <c r="Z99" s="19">
        <f t="shared" si="58"/>
        <v>1.2335879718370439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9" t="s">
        <v>3</v>
      </c>
      <c r="C101" s="29"/>
      <c r="D101" s="21">
        <f>+D54-D56+D96</f>
        <v>29596.329999999929</v>
      </c>
      <c r="E101" s="14"/>
      <c r="F101" s="20">
        <f>IF(D$12=0,0,D101/D$12)</f>
        <v>0.1844234118910395</v>
      </c>
      <c r="G101" s="14"/>
      <c r="H101" s="21">
        <f>+H54-H56+H96</f>
        <v>6700.5000000000582</v>
      </c>
      <c r="I101" s="14"/>
      <c r="J101" s="20">
        <f>IF(H$12=0,0,H101/H$12)</f>
        <v>3.700547120962773E-2</v>
      </c>
      <c r="K101" s="15"/>
      <c r="L101" s="21">
        <f>+D101-H101</f>
        <v>22895.829999999871</v>
      </c>
      <c r="M101" s="15"/>
      <c r="N101" s="20">
        <f>IF(H101=0,0,L101/H101)</f>
        <v>3.4170330572344856</v>
      </c>
      <c r="O101" s="28"/>
      <c r="P101" s="21">
        <f>+P54-P56+P96</f>
        <v>54490.210000000072</v>
      </c>
      <c r="Q101" s="14"/>
      <c r="R101" s="20">
        <f>IF(P$12=0,0,P101/P$12)</f>
        <v>3.6353826527053525E-2</v>
      </c>
      <c r="S101" s="14"/>
      <c r="T101" s="21">
        <f>+T54-T56+T96</f>
        <v>48130.630000000332</v>
      </c>
      <c r="U101" s="14"/>
      <c r="V101" s="20">
        <f>IF(T$12=0,0,T101/T$12)</f>
        <v>3.5287673475356253E-2</v>
      </c>
      <c r="W101" s="15"/>
      <c r="X101" s="21">
        <f>+P101-T101</f>
        <v>6359.5799999997398</v>
      </c>
      <c r="Y101" s="15"/>
      <c r="Z101" s="20">
        <f>IF(T101=0,0,X101/T101)</f>
        <v>0.13213165919498032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1"/>
      <c r="B103" s="10" t="s">
        <v>13</v>
      </c>
      <c r="C103" s="10"/>
      <c r="D103" s="4">
        <v>23994.560000000001</v>
      </c>
      <c r="E103" s="4"/>
      <c r="F103" s="12">
        <f>IF(D$12=0,0,D103/D$12)</f>
        <v>0.14951714020029752</v>
      </c>
      <c r="G103" s="4"/>
      <c r="H103" s="4">
        <v>34882.43</v>
      </c>
      <c r="I103" s="4"/>
      <c r="J103" s="12">
        <f>IF(H$12=0,0,H103/H$12)</f>
        <v>0.19264842311571426</v>
      </c>
      <c r="K103" s="4"/>
      <c r="L103" s="4">
        <f>+D103-H103</f>
        <v>-10887.869999999999</v>
      </c>
      <c r="M103" s="4"/>
      <c r="N103" s="12">
        <f>IF(H103=0,0,L103/H103)</f>
        <v>-0.31213049090903355</v>
      </c>
      <c r="O103" s="10"/>
      <c r="P103" s="4">
        <v>158721.79999999999</v>
      </c>
      <c r="Q103" s="4"/>
      <c r="R103" s="12">
        <f>IF(P$12=0,0,P103/P$12)</f>
        <v>0.1058932381295957</v>
      </c>
      <c r="S103" s="4"/>
      <c r="T103" s="4">
        <v>143518.1</v>
      </c>
      <c r="U103" s="4"/>
      <c r="V103" s="12">
        <f>IF(T$12=0,0,T103/T$12)</f>
        <v>0.10522238854142345</v>
      </c>
      <c r="W103" s="4"/>
      <c r="X103" s="4">
        <f>+P103-T103</f>
        <v>15203.699999999983</v>
      </c>
      <c r="Y103" s="4"/>
      <c r="Z103" s="12">
        <f>IF(T103=0,0,X103/T103)</f>
        <v>0.10593576698688167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9" t="s">
        <v>4</v>
      </c>
      <c r="C105" s="29"/>
      <c r="D105" s="31">
        <f>+D101-D103</f>
        <v>5601.7699999999277</v>
      </c>
      <c r="E105" s="14"/>
      <c r="F105" s="32">
        <f>IF(D$12=0,0,D105/D$12)</f>
        <v>3.4906271690741973E-2</v>
      </c>
      <c r="G105" s="14"/>
      <c r="H105" s="31">
        <f>+H101-H103</f>
        <v>-28181.929999999942</v>
      </c>
      <c r="I105" s="14"/>
      <c r="J105" s="32">
        <f>IF(H$12=0,0,H105/H$12)</f>
        <v>-0.15564295190608651</v>
      </c>
      <c r="K105" s="15"/>
      <c r="L105" s="31">
        <f>D105-H105</f>
        <v>33783.699999999866</v>
      </c>
      <c r="M105" s="15"/>
      <c r="N105" s="32">
        <f>IF(H105=0,0,L105/H105)</f>
        <v>-1.1987716951961749</v>
      </c>
      <c r="O105" s="28"/>
      <c r="P105" s="31">
        <f>+P101-P103</f>
        <v>-104231.58999999991</v>
      </c>
      <c r="Q105" s="14"/>
      <c r="R105" s="32">
        <f>IF(P$12=0,0,P105/P$12)</f>
        <v>-6.9539411602542164E-2</v>
      </c>
      <c r="S105" s="14"/>
      <c r="T105" s="31">
        <f>+T101-T103</f>
        <v>-95387.469999999681</v>
      </c>
      <c r="U105" s="14"/>
      <c r="V105" s="32">
        <f>IF(T$12=0,0,T105/T$12)</f>
        <v>-6.9934715066067202E-2</v>
      </c>
      <c r="W105" s="15"/>
      <c r="X105" s="31">
        <f>P105-T105</f>
        <v>-8844.1200000002282</v>
      </c>
      <c r="Y105" s="15"/>
      <c r="Z105" s="32">
        <f>IF(T105=0,0,X105/T105)</f>
        <v>9.2717838097606087E-2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9" t="s">
        <v>5</v>
      </c>
      <c r="C108" s="29"/>
      <c r="D108" s="34">
        <f>SUM(D105:D107)</f>
        <v>5601.7699999999277</v>
      </c>
      <c r="E108" s="14"/>
      <c r="F108" s="30">
        <f>IF(D$12=0,0,D108/D$12)</f>
        <v>3.4906271690741973E-2</v>
      </c>
      <c r="G108" s="14"/>
      <c r="H108" s="34">
        <f>SUM(H105:H107)</f>
        <v>-28181.929999999942</v>
      </c>
      <c r="I108" s="14"/>
      <c r="J108" s="30">
        <f>IF(H$12=0,0,H108/H$12)</f>
        <v>-0.15564295190608651</v>
      </c>
      <c r="K108" s="15"/>
      <c r="L108" s="34">
        <f>+D108-H108</f>
        <v>33783.699999999866</v>
      </c>
      <c r="M108" s="15"/>
      <c r="N108" s="30">
        <f>IF(H108=0,0,L108/H108)</f>
        <v>-1.1987716951961749</v>
      </c>
      <c r="O108" s="28"/>
      <c r="P108" s="34">
        <f>SUM(P105:P107)</f>
        <v>-104231.58999999991</v>
      </c>
      <c r="Q108" s="14"/>
      <c r="R108" s="30">
        <f>IF(P$12=0,0,P108/P$12)</f>
        <v>-6.9539411602542164E-2</v>
      </c>
      <c r="S108" s="14"/>
      <c r="T108" s="34">
        <f>SUM(T105:T107)</f>
        <v>-95387.469999999681</v>
      </c>
      <c r="U108" s="14"/>
      <c r="V108" s="30">
        <f>IF(T$12=0,0,T108/T$12)</f>
        <v>-6.9934715066067202E-2</v>
      </c>
      <c r="W108" s="15"/>
      <c r="X108" s="34">
        <f>+P108-T108</f>
        <v>-8844.1200000002282</v>
      </c>
      <c r="Y108" s="15"/>
      <c r="Z108" s="30">
        <f>IF(T108=0,0,X108/T108)</f>
        <v>9.2717838097606087E-2</v>
      </c>
    </row>
    <row r="109" spans="1:26" ht="15.75" thickTop="1" x14ac:dyDescent="0.25">
      <c r="A109" s="9"/>
      <c r="C109" s="9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59">
        <v>43815.491837928239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62" t="s">
        <v>313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61"/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4:24" x14ac:dyDescent="0.25"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305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300753.08</v>
      </c>
      <c r="E12" s="4"/>
      <c r="F12" s="12"/>
      <c r="G12" s="4"/>
      <c r="H12" s="4">
        <f>SUM(OSRRefH13x_0)</f>
        <v>250059.40999999997</v>
      </c>
      <c r="I12" s="4"/>
      <c r="J12" s="12"/>
      <c r="K12" s="4"/>
      <c r="L12" s="4">
        <f t="shared" ref="L12:L22" si="0">+D12-H12</f>
        <v>50693.670000000042</v>
      </c>
      <c r="M12" s="4"/>
      <c r="N12" s="12">
        <f t="shared" ref="N12:N22" si="1">IF(H12=0,0,L12/H12)</f>
        <v>0.20272650407357215</v>
      </c>
      <c r="O12" s="10"/>
      <c r="P12" s="4">
        <f>SUM(OSRRefP13x_0)</f>
        <v>1418825.52</v>
      </c>
      <c r="Q12" s="4"/>
      <c r="R12" s="12"/>
      <c r="S12" s="4"/>
      <c r="T12" s="4">
        <f>SUM(OSRRefT13x_0)</f>
        <v>1321569.2</v>
      </c>
      <c r="U12" s="4"/>
      <c r="V12" s="12"/>
      <c r="W12" s="4"/>
      <c r="X12" s="4">
        <f t="shared" ref="X12:X22" si="2">+P12-T12</f>
        <v>97256.320000000065</v>
      </c>
      <c r="Y12" s="4"/>
      <c r="Z12" s="12">
        <f t="shared" ref="Z12:Z22" si="3">IF(T12=0,0,X12/T12)</f>
        <v>7.3591545565680608E-2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--29698.86</f>
        <v>29698.86</v>
      </c>
      <c r="E13" s="2"/>
      <c r="F13" s="19"/>
      <c r="G13" s="2"/>
      <c r="H13" s="2">
        <f>--27782.6</f>
        <v>27782.6</v>
      </c>
      <c r="I13" s="2"/>
      <c r="J13" s="19"/>
      <c r="K13" s="2"/>
      <c r="L13" s="2">
        <f t="shared" si="0"/>
        <v>1916.260000000002</v>
      </c>
      <c r="M13" s="2"/>
      <c r="N13" s="19">
        <f t="shared" si="1"/>
        <v>6.8973386220152255E-2</v>
      </c>
      <c r="O13" s="11"/>
      <c r="P13" s="2">
        <f>--161513.73</f>
        <v>161513.73000000001</v>
      </c>
      <c r="Q13" s="2"/>
      <c r="R13" s="19"/>
      <c r="S13" s="2"/>
      <c r="T13" s="2">
        <f>--164054.02</f>
        <v>164054.01999999999</v>
      </c>
      <c r="U13" s="2"/>
      <c r="V13" s="19"/>
      <c r="W13" s="2"/>
      <c r="X13" s="2">
        <f t="shared" si="2"/>
        <v>-2540.289999999979</v>
      </c>
      <c r="Y13" s="2"/>
      <c r="Z13" s="19">
        <f t="shared" si="3"/>
        <v>-1.5484472736480211E-2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--237.09</f>
        <v>237.09</v>
      </c>
      <c r="E15" s="2"/>
      <c r="F15" s="19"/>
      <c r="G15" s="2"/>
      <c r="H15" s="2">
        <f>--127.98</f>
        <v>127.98</v>
      </c>
      <c r="I15" s="2"/>
      <c r="J15" s="19"/>
      <c r="K15" s="2"/>
      <c r="L15" s="2">
        <f t="shared" si="0"/>
        <v>109.11</v>
      </c>
      <c r="M15" s="2"/>
      <c r="N15" s="19">
        <f t="shared" si="1"/>
        <v>0.85255508673230185</v>
      </c>
      <c r="O15" s="11"/>
      <c r="P15" s="2">
        <f>--1919.17</f>
        <v>1919.17</v>
      </c>
      <c r="Q15" s="2"/>
      <c r="R15" s="19"/>
      <c r="S15" s="2"/>
      <c r="T15" s="2">
        <f>--1129.29</f>
        <v>1129.29</v>
      </c>
      <c r="U15" s="2"/>
      <c r="V15" s="19"/>
      <c r="W15" s="2"/>
      <c r="X15" s="2">
        <f t="shared" si="2"/>
        <v>789.88000000000011</v>
      </c>
      <c r="Y15" s="2"/>
      <c r="Z15" s="19">
        <f t="shared" si="3"/>
        <v>0.69944832593930717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--17577.92</f>
        <v>17577.919999999998</v>
      </c>
      <c r="E16" s="2"/>
      <c r="F16" s="19"/>
      <c r="G16" s="2"/>
      <c r="H16" s="2">
        <f>--20086.82</f>
        <v>20086.82</v>
      </c>
      <c r="I16" s="2"/>
      <c r="J16" s="19"/>
      <c r="K16" s="2"/>
      <c r="L16" s="2">
        <f t="shared" si="0"/>
        <v>-2508.9000000000015</v>
      </c>
      <c r="M16" s="2"/>
      <c r="N16" s="19">
        <f t="shared" si="1"/>
        <v>-0.12490279695840364</v>
      </c>
      <c r="O16" s="11"/>
      <c r="P16" s="2">
        <f>--91997.19</f>
        <v>91997.19</v>
      </c>
      <c r="Q16" s="2"/>
      <c r="R16" s="19"/>
      <c r="S16" s="2"/>
      <c r="T16" s="2">
        <f>--105710.27</f>
        <v>105710.27</v>
      </c>
      <c r="U16" s="2"/>
      <c r="V16" s="19"/>
      <c r="W16" s="2"/>
      <c r="X16" s="2">
        <f t="shared" si="2"/>
        <v>-13713.080000000002</v>
      </c>
      <c r="Y16" s="2"/>
      <c r="Z16" s="19">
        <f t="shared" si="3"/>
        <v>-0.1297232520548855</v>
      </c>
    </row>
    <row r="17" spans="1:26" s="24" customFormat="1" hidden="1" outlineLevel="1" x14ac:dyDescent="0.25">
      <c r="A17" s="44"/>
      <c r="B17" s="11" t="str">
        <f>CONCATENATE("          ", "4132", " - ", "NON-TAXABLE SALES-JUICE")</f>
        <v xml:space="preserve">          4132 - NON-TAXABLE SALES-JUICE</v>
      </c>
      <c r="C17" s="11"/>
      <c r="D17" s="2">
        <f>--139966.75</f>
        <v>139966.75</v>
      </c>
      <c r="E17" s="2"/>
      <c r="F17" s="19"/>
      <c r="G17" s="2"/>
      <c r="H17" s="2">
        <f>--106759.37</f>
        <v>106759.37</v>
      </c>
      <c r="I17" s="2"/>
      <c r="J17" s="19"/>
      <c r="K17" s="2"/>
      <c r="L17" s="2">
        <f t="shared" si="0"/>
        <v>33207.380000000005</v>
      </c>
      <c r="M17" s="2"/>
      <c r="N17" s="19">
        <f t="shared" si="1"/>
        <v>0.3110488568825388</v>
      </c>
      <c r="O17" s="11"/>
      <c r="P17" s="2">
        <f>--655070.4</f>
        <v>655070.4</v>
      </c>
      <c r="Q17" s="2"/>
      <c r="R17" s="19"/>
      <c r="S17" s="2"/>
      <c r="T17" s="2">
        <f>--585851.61</f>
        <v>585851.61</v>
      </c>
      <c r="U17" s="2"/>
      <c r="V17" s="19"/>
      <c r="W17" s="2"/>
      <c r="X17" s="2">
        <f t="shared" si="2"/>
        <v>69218.790000000037</v>
      </c>
      <c r="Y17" s="2"/>
      <c r="Z17" s="19">
        <f t="shared" si="3"/>
        <v>0.11815072079429813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--0.39</f>
        <v>0.39</v>
      </c>
      <c r="Q18" s="2"/>
      <c r="R18" s="19"/>
      <c r="S18" s="2"/>
      <c r="T18" s="2">
        <f>--53.94</f>
        <v>53.94</v>
      </c>
      <c r="U18" s="2"/>
      <c r="V18" s="19"/>
      <c r="W18" s="2"/>
      <c r="X18" s="2">
        <f t="shared" si="2"/>
        <v>-53.55</v>
      </c>
      <c r="Y18" s="2"/>
      <c r="Z18" s="19">
        <f t="shared" si="3"/>
        <v>-0.99276974416017794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>--175.69</f>
        <v>175.69</v>
      </c>
      <c r="E19" s="2"/>
      <c r="F19" s="19"/>
      <c r="G19" s="2"/>
      <c r="H19" s="2">
        <f>--154.94</f>
        <v>154.94</v>
      </c>
      <c r="I19" s="2"/>
      <c r="J19" s="19"/>
      <c r="K19" s="2"/>
      <c r="L19" s="2">
        <f t="shared" si="0"/>
        <v>20.75</v>
      </c>
      <c r="M19" s="2"/>
      <c r="N19" s="19">
        <f t="shared" si="1"/>
        <v>0.13392280882922422</v>
      </c>
      <c r="O19" s="11"/>
      <c r="P19" s="2">
        <f>--1024.54</f>
        <v>1024.54</v>
      </c>
      <c r="Q19" s="2"/>
      <c r="R19" s="19"/>
      <c r="S19" s="2"/>
      <c r="T19" s="2">
        <f>--1262.21</f>
        <v>1262.21</v>
      </c>
      <c r="U19" s="2"/>
      <c r="V19" s="19"/>
      <c r="W19" s="2"/>
      <c r="X19" s="2">
        <f t="shared" si="2"/>
        <v>-237.67000000000007</v>
      </c>
      <c r="Y19" s="2"/>
      <c r="Z19" s="19">
        <f t="shared" si="3"/>
        <v>-0.18829671766187883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--111550.27</f>
        <v>111550.27</v>
      </c>
      <c r="E20" s="2"/>
      <c r="F20" s="19"/>
      <c r="G20" s="2"/>
      <c r="H20" s="2">
        <f>--94189.95</f>
        <v>94189.95</v>
      </c>
      <c r="I20" s="2"/>
      <c r="J20" s="19"/>
      <c r="K20" s="2"/>
      <c r="L20" s="2">
        <f t="shared" si="0"/>
        <v>17360.320000000007</v>
      </c>
      <c r="M20" s="2"/>
      <c r="N20" s="19">
        <f t="shared" si="1"/>
        <v>0.18431180821308438</v>
      </c>
      <c r="O20" s="11"/>
      <c r="P20" s="2">
        <f>--500473.1</f>
        <v>500473.1</v>
      </c>
      <c r="Q20" s="2"/>
      <c r="R20" s="19"/>
      <c r="S20" s="2"/>
      <c r="T20" s="2">
        <f>--458046.56</f>
        <v>458046.56</v>
      </c>
      <c r="U20" s="2"/>
      <c r="V20" s="19"/>
      <c r="W20" s="2"/>
      <c r="X20" s="2">
        <f t="shared" si="2"/>
        <v>42426.539999999979</v>
      </c>
      <c r="Y20" s="2"/>
      <c r="Z20" s="19">
        <f t="shared" si="3"/>
        <v>9.2624950616373977E-2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--1546.5</f>
        <v>1546.5</v>
      </c>
      <c r="E21" s="2"/>
      <c r="F21" s="19"/>
      <c r="G21" s="2"/>
      <c r="H21" s="2">
        <f>--957.75</f>
        <v>957.75</v>
      </c>
      <c r="I21" s="2"/>
      <c r="J21" s="19"/>
      <c r="K21" s="2"/>
      <c r="L21" s="2">
        <f t="shared" si="0"/>
        <v>588.75</v>
      </c>
      <c r="M21" s="2"/>
      <c r="N21" s="19">
        <f t="shared" si="1"/>
        <v>0.61472200469851213</v>
      </c>
      <c r="O21" s="11"/>
      <c r="P21" s="2">
        <f>--6827</f>
        <v>6827</v>
      </c>
      <c r="Q21" s="2"/>
      <c r="R21" s="19"/>
      <c r="S21" s="2"/>
      <c r="T21" s="2">
        <f>--5443</f>
        <v>5443</v>
      </c>
      <c r="U21" s="2"/>
      <c r="V21" s="19"/>
      <c r="W21" s="2"/>
      <c r="X21" s="2">
        <f t="shared" si="2"/>
        <v>1384</v>
      </c>
      <c r="Y21" s="2"/>
      <c r="Z21" s="19">
        <f t="shared" si="3"/>
        <v>0.25427154142935882</v>
      </c>
    </row>
    <row r="22" spans="1:26" s="24" customFormat="1" hidden="1" outlineLevel="1" x14ac:dyDescent="0.25">
      <c r="A22" s="44"/>
      <c r="B22" s="11" t="str">
        <f>CONCATENATE("          ", "4233", " - ", "SALES RETURN TAXABLE-CANDY")</f>
        <v xml:space="preserve">          4233 - SALES RETURN TAXABLE-CANDY</v>
      </c>
      <c r="C22" s="11"/>
      <c r="D22" s="2">
        <f>0</f>
        <v>0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0</f>
        <v>0</v>
      </c>
      <c r="Q22" s="2"/>
      <c r="R22" s="19"/>
      <c r="S22" s="2"/>
      <c r="T22" s="2">
        <f>-1.69</f>
        <v>-1.69</v>
      </c>
      <c r="U22" s="2"/>
      <c r="V22" s="19"/>
      <c r="W22" s="2"/>
      <c r="X22" s="2">
        <f t="shared" si="2"/>
        <v>1.69</v>
      </c>
      <c r="Y22" s="2"/>
      <c r="Z22" s="19">
        <f t="shared" si="3"/>
        <v>-1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8" t="s">
        <v>8</v>
      </c>
      <c r="C24" s="10"/>
      <c r="D24" s="4">
        <f>SUM(OSRRefD16x_0)</f>
        <v>145315.98000000001</v>
      </c>
      <c r="E24" s="4"/>
      <c r="F24" s="12">
        <f t="shared" ref="F24:F26" si="4">IF(D$12=0,0,D24/D$12)</f>
        <v>0.48317370515374275</v>
      </c>
      <c r="G24" s="4"/>
      <c r="H24" s="4">
        <f>SUM(OSRRefH16x_0)</f>
        <v>123833.26999999999</v>
      </c>
      <c r="I24" s="4"/>
      <c r="J24" s="12">
        <f t="shared" ref="J24:J26" si="5">IF(H$12=0,0,H24/H$12)</f>
        <v>0.49521539701305384</v>
      </c>
      <c r="K24" s="4"/>
      <c r="L24" s="4">
        <f t="shared" ref="L24:L26" si="6">+D24-H24</f>
        <v>21482.710000000021</v>
      </c>
      <c r="M24" s="4"/>
      <c r="N24" s="12">
        <f t="shared" ref="N24:N26" si="7">IF(H24=0,0,L24/H24)</f>
        <v>0.17348092318001473</v>
      </c>
      <c r="O24" s="10"/>
      <c r="P24" s="4">
        <f>SUM(OSRRefP16x_0)</f>
        <v>678854.58000000007</v>
      </c>
      <c r="Q24" s="4"/>
      <c r="R24" s="12">
        <f t="shared" ref="R24:R26" si="8">IF(P$12=0,0,P24/P$12)</f>
        <v>0.47846234116228759</v>
      </c>
      <c r="S24" s="4"/>
      <c r="T24" s="4">
        <f>SUM(OSRRefT16x_0)</f>
        <v>625342.17999999993</v>
      </c>
      <c r="U24" s="4"/>
      <c r="V24" s="12">
        <f t="shared" ref="V24:V26" si="9">IF(T$12=0,0,T24/T$12)</f>
        <v>0.47318156325071736</v>
      </c>
      <c r="W24" s="4"/>
      <c r="X24" s="4">
        <f t="shared" ref="X24:X26" si="10">+P24-T24</f>
        <v>53512.40000000014</v>
      </c>
      <c r="Y24" s="4"/>
      <c r="Z24" s="12">
        <f t="shared" ref="Z24:Z26" si="11">IF(T24=0,0,X24/T24)</f>
        <v>8.5572989814952427E-2</v>
      </c>
    </row>
    <row r="25" spans="1:26" s="24" customFormat="1" hidden="1" outlineLevel="1" x14ac:dyDescent="0.25">
      <c r="A25" s="44"/>
      <c r="B25" s="11" t="str">
        <f>CONCATENATE("          ", "5053", " - ", "PURCHASES @ COST-FOOD")</f>
        <v xml:space="preserve">          5053 - PURCHASES @ COST-FOOD</v>
      </c>
      <c r="C25" s="11"/>
      <c r="D25" s="2">
        <v>135831.22</v>
      </c>
      <c r="E25" s="2"/>
      <c r="F25" s="19">
        <f t="shared" si="4"/>
        <v>0.45163700401671697</v>
      </c>
      <c r="G25" s="2"/>
      <c r="H25" s="2">
        <v>104495.31</v>
      </c>
      <c r="I25" s="2"/>
      <c r="J25" s="19">
        <f t="shared" si="5"/>
        <v>0.41788193453707662</v>
      </c>
      <c r="K25" s="2"/>
      <c r="L25" s="2">
        <f t="shared" si="6"/>
        <v>31335.910000000003</v>
      </c>
      <c r="M25" s="2"/>
      <c r="N25" s="19">
        <f t="shared" si="7"/>
        <v>0.29987862613164173</v>
      </c>
      <c r="O25" s="11"/>
      <c r="P25" s="2">
        <v>713015.79</v>
      </c>
      <c r="Q25" s="2"/>
      <c r="R25" s="19">
        <f t="shared" si="8"/>
        <v>0.50253944544217111</v>
      </c>
      <c r="S25" s="2"/>
      <c r="T25" s="2">
        <v>636217.96</v>
      </c>
      <c r="U25" s="2"/>
      <c r="V25" s="19">
        <f t="shared" si="9"/>
        <v>0.4814110074599196</v>
      </c>
      <c r="W25" s="2"/>
      <c r="X25" s="2">
        <f t="shared" si="10"/>
        <v>76797.830000000075</v>
      </c>
      <c r="Y25" s="2"/>
      <c r="Z25" s="19">
        <f t="shared" si="11"/>
        <v>0.12070993720453928</v>
      </c>
    </row>
    <row r="26" spans="1:26" s="24" customFormat="1" hidden="1" outlineLevel="1" x14ac:dyDescent="0.25">
      <c r="A26" s="44"/>
      <c r="B26" s="11" t="str">
        <f>CONCATENATE("          ", "5059", " - ", "PURCHASES @ COST-FOOD")</f>
        <v xml:space="preserve">          5059 - PURCHASES @ COST-FOOD</v>
      </c>
      <c r="C26" s="11"/>
      <c r="D26" s="2">
        <v>9484.76</v>
      </c>
      <c r="E26" s="2"/>
      <c r="F26" s="19">
        <f t="shared" si="4"/>
        <v>3.1536701137025759E-2</v>
      </c>
      <c r="G26" s="2"/>
      <c r="H26" s="2">
        <v>19337.96</v>
      </c>
      <c r="I26" s="2"/>
      <c r="J26" s="19">
        <f t="shared" si="5"/>
        <v>7.7333462475977208E-2</v>
      </c>
      <c r="K26" s="2"/>
      <c r="L26" s="2">
        <f t="shared" si="6"/>
        <v>-9853.1999999999989</v>
      </c>
      <c r="M26" s="2"/>
      <c r="N26" s="19">
        <f t="shared" si="7"/>
        <v>-0.50952634093772042</v>
      </c>
      <c r="O26" s="11"/>
      <c r="P26" s="2">
        <v>-34161.21</v>
      </c>
      <c r="Q26" s="2"/>
      <c r="R26" s="19">
        <f t="shared" si="8"/>
        <v>-2.4077104279883545E-2</v>
      </c>
      <c r="S26" s="2"/>
      <c r="T26" s="2">
        <v>-10875.78</v>
      </c>
      <c r="U26" s="2"/>
      <c r="V26" s="19">
        <f t="shared" si="9"/>
        <v>-8.2294442092022135E-3</v>
      </c>
      <c r="W26" s="2"/>
      <c r="X26" s="2">
        <f t="shared" si="10"/>
        <v>-23285.43</v>
      </c>
      <c r="Y26" s="2"/>
      <c r="Z26" s="19">
        <f t="shared" si="11"/>
        <v>2.1410354015987818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6</v>
      </c>
      <c r="C28" s="29"/>
      <c r="D28" s="21">
        <f>D12-D24</f>
        <v>155437.1</v>
      </c>
      <c r="E28" s="14"/>
      <c r="F28" s="20">
        <f>IF(D$12=0,0,D28/D$12)</f>
        <v>0.51682629484625731</v>
      </c>
      <c r="G28" s="14"/>
      <c r="H28" s="21">
        <f>H12-H24</f>
        <v>126226.13999999998</v>
      </c>
      <c r="I28" s="14"/>
      <c r="J28" s="20">
        <f>IF(H$12=0,0,H28/H$12)</f>
        <v>0.50478460298694616</v>
      </c>
      <c r="K28" s="15"/>
      <c r="L28" s="21">
        <f>+D28-H28</f>
        <v>29210.960000000021</v>
      </c>
      <c r="M28" s="15"/>
      <c r="N28" s="20">
        <f>IF(H28=0,0,L28/H28)</f>
        <v>0.23141767624360551</v>
      </c>
      <c r="O28" s="28"/>
      <c r="P28" s="21">
        <f>P12-P24</f>
        <v>739970.94</v>
      </c>
      <c r="Q28" s="14"/>
      <c r="R28" s="20">
        <f>IF(P$12=0,0,P28/P$12)</f>
        <v>0.52153765883771241</v>
      </c>
      <c r="S28" s="14"/>
      <c r="T28" s="21">
        <f>T12-T24</f>
        <v>696227.02</v>
      </c>
      <c r="U28" s="14"/>
      <c r="V28" s="20">
        <f>IF(T$12=0,0,T28/T$12)</f>
        <v>0.52681843674928264</v>
      </c>
      <c r="W28" s="15"/>
      <c r="X28" s="21">
        <f>+P28-T28</f>
        <v>43743.919999999925</v>
      </c>
      <c r="Y28" s="15"/>
      <c r="Z28" s="20">
        <f>IF(T28=0,0,X28/T28)</f>
        <v>6.2829966007351912E-2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8" t="s">
        <v>9</v>
      </c>
      <c r="C30" s="10"/>
      <c r="D30" s="22">
        <f>SUM(OSRRefD22x_0)</f>
        <v>101756.24</v>
      </c>
      <c r="E30" s="22"/>
      <c r="F30" s="33">
        <f t="shared" ref="F30:F39" si="12">IF(D$12=0,0,D30/D$12)</f>
        <v>0.33833814769245257</v>
      </c>
      <c r="G30" s="22"/>
      <c r="H30" s="22">
        <f>SUM(OSRRefH22x_0)</f>
        <v>93429.33</v>
      </c>
      <c r="I30" s="22"/>
      <c r="J30" s="33">
        <f t="shared" ref="J30:J39" si="13">IF(H$12=0,0,H30/H$12)</f>
        <v>0.37362853091591319</v>
      </c>
      <c r="K30" s="4"/>
      <c r="L30" s="22">
        <f t="shared" ref="L30:L39" si="14">+D30-H30</f>
        <v>8326.9100000000035</v>
      </c>
      <c r="M30" s="4"/>
      <c r="N30" s="33">
        <f t="shared" ref="N30:N39" si="15">IF(H30=0,0,L30/H30)</f>
        <v>8.9125224380823487E-2</v>
      </c>
      <c r="O30" s="10"/>
      <c r="P30" s="22">
        <f>SUM(OSRRefP22x_0)</f>
        <v>538932.37999999989</v>
      </c>
      <c r="Q30" s="22"/>
      <c r="R30" s="33">
        <f t="shared" ref="R30:R39" si="16">IF(P$12=0,0,P30/P$12)</f>
        <v>0.37984401351901248</v>
      </c>
      <c r="S30" s="22"/>
      <c r="T30" s="22">
        <f>SUM(OSRRefT22x_0)</f>
        <v>504539.33000000007</v>
      </c>
      <c r="U30" s="22"/>
      <c r="V30" s="33">
        <f t="shared" ref="V30:V39" si="17">IF(T$12=0,0,T30/T$12)</f>
        <v>0.38177291813398806</v>
      </c>
      <c r="W30" s="4"/>
      <c r="X30" s="22">
        <f t="shared" ref="X30:X39" si="18">+P30-T30</f>
        <v>34393.049999999814</v>
      </c>
      <c r="Y30" s="4"/>
      <c r="Z30" s="33">
        <f t="shared" ref="Z30:Z39" si="19">IF(T30=0,0,X30/T30)</f>
        <v>6.8167232869635372E-2</v>
      </c>
    </row>
    <row r="31" spans="1:26" s="25" customFormat="1" outlineLevel="1" collapsed="1" x14ac:dyDescent="0.25">
      <c r="A31" s="27"/>
      <c r="B31" s="13" t="str">
        <f>CONCATENATE("     ","*Benefits                                         ")</f>
        <v xml:space="preserve">     *Benefits                                         </v>
      </c>
      <c r="C31" s="13"/>
      <c r="D31" s="1">
        <f>SUM(OSRRefD22_0x_0)</f>
        <v>14286.189999999999</v>
      </c>
      <c r="E31" s="1"/>
      <c r="F31" s="5">
        <f t="shared" si="12"/>
        <v>4.7501392171943838E-2</v>
      </c>
      <c r="G31" s="1"/>
      <c r="H31" s="1">
        <f>SUM(OSRRefH22_0x_0)</f>
        <v>13169.640000000001</v>
      </c>
      <c r="I31" s="1"/>
      <c r="J31" s="5">
        <f t="shared" si="13"/>
        <v>5.2666044441199003E-2</v>
      </c>
      <c r="K31" s="1"/>
      <c r="L31" s="1">
        <f t="shared" si="14"/>
        <v>1116.5499999999975</v>
      </c>
      <c r="M31" s="1"/>
      <c r="N31" s="5">
        <f t="shared" si="15"/>
        <v>8.4782120088324156E-2</v>
      </c>
      <c r="O31" s="13"/>
      <c r="P31" s="1">
        <f>SUM(OSRRefP22_0x_0)</f>
        <v>72862.559999999998</v>
      </c>
      <c r="Q31" s="1"/>
      <c r="R31" s="5">
        <f t="shared" si="16"/>
        <v>5.1354136906136279E-2</v>
      </c>
      <c r="S31" s="1"/>
      <c r="T31" s="1">
        <f>SUM(OSRRefT22_0x_0)</f>
        <v>67413</v>
      </c>
      <c r="U31" s="1"/>
      <c r="V31" s="5">
        <f t="shared" si="17"/>
        <v>5.1009814696044674E-2</v>
      </c>
      <c r="W31" s="1"/>
      <c r="X31" s="1">
        <f t="shared" si="18"/>
        <v>5449.5599999999977</v>
      </c>
      <c r="Y31" s="1"/>
      <c r="Z31" s="5">
        <f t="shared" si="19"/>
        <v>8.0838413955765173E-2</v>
      </c>
    </row>
    <row r="32" spans="1:26" s="24" customFormat="1" hidden="1" outlineLevel="2" x14ac:dyDescent="0.25">
      <c r="A32" s="26"/>
      <c r="B32" s="11" t="str">
        <f>CONCATENATE("          ", "6111", " - ", "F.I.C.A.")</f>
        <v xml:space="preserve">          6111 - F.I.C.A.</v>
      </c>
      <c r="C32" s="11"/>
      <c r="D32" s="6">
        <v>1851.48</v>
      </c>
      <c r="E32" s="2"/>
      <c r="F32" s="7">
        <f t="shared" si="12"/>
        <v>6.1561464308195939E-3</v>
      </c>
      <c r="G32" s="2"/>
      <c r="H32" s="6">
        <v>1831.12</v>
      </c>
      <c r="I32" s="2"/>
      <c r="J32" s="7">
        <f t="shared" si="13"/>
        <v>7.3227398241081992E-3</v>
      </c>
      <c r="K32" s="2"/>
      <c r="L32" s="6">
        <f t="shared" si="14"/>
        <v>20.360000000000127</v>
      </c>
      <c r="M32" s="2"/>
      <c r="N32" s="7">
        <f t="shared" si="15"/>
        <v>1.111887806369879E-2</v>
      </c>
      <c r="O32" s="11"/>
      <c r="P32" s="6">
        <v>12693.44</v>
      </c>
      <c r="Q32" s="2"/>
      <c r="R32" s="7">
        <f t="shared" si="16"/>
        <v>8.9464418429688244E-3</v>
      </c>
      <c r="S32" s="2"/>
      <c r="T32" s="6">
        <v>12468.48</v>
      </c>
      <c r="U32" s="2"/>
      <c r="V32" s="7">
        <f t="shared" si="17"/>
        <v>9.4346024407953814E-3</v>
      </c>
      <c r="W32" s="2"/>
      <c r="X32" s="6">
        <f t="shared" si="18"/>
        <v>224.96000000000095</v>
      </c>
      <c r="Y32" s="2"/>
      <c r="Z32" s="7">
        <f t="shared" si="19"/>
        <v>1.8042295452212375E-2</v>
      </c>
    </row>
    <row r="33" spans="1:26" s="24" customFormat="1" hidden="1" outlineLevel="2" x14ac:dyDescent="0.25">
      <c r="A33" s="26"/>
      <c r="B33" s="11" t="str">
        <f>CONCATENATE("          ", "6112", " - ", "COMPENSATION INSURANCE")</f>
        <v xml:space="preserve">          6112 - COMPENSATION INSURANCE</v>
      </c>
      <c r="C33" s="11"/>
      <c r="D33" s="6">
        <v>1174.08</v>
      </c>
      <c r="E33" s="2"/>
      <c r="F33" s="7">
        <f t="shared" si="12"/>
        <v>3.9038004199325235E-3</v>
      </c>
      <c r="G33" s="2"/>
      <c r="H33" s="6">
        <v>742.45</v>
      </c>
      <c r="I33" s="2"/>
      <c r="J33" s="7">
        <f t="shared" si="13"/>
        <v>2.969094424400986E-3</v>
      </c>
      <c r="K33" s="2"/>
      <c r="L33" s="6">
        <f t="shared" si="14"/>
        <v>431.62999999999988</v>
      </c>
      <c r="M33" s="2"/>
      <c r="N33" s="7">
        <f t="shared" si="15"/>
        <v>0.58135901407502166</v>
      </c>
      <c r="O33" s="11"/>
      <c r="P33" s="6">
        <v>4041.84</v>
      </c>
      <c r="Q33" s="2"/>
      <c r="R33" s="7">
        <f t="shared" si="16"/>
        <v>2.8487223714442353E-3</v>
      </c>
      <c r="S33" s="2"/>
      <c r="T33" s="6">
        <v>3691.48</v>
      </c>
      <c r="U33" s="2"/>
      <c r="V33" s="7">
        <f t="shared" si="17"/>
        <v>2.7932551696876716E-3</v>
      </c>
      <c r="W33" s="2"/>
      <c r="X33" s="6">
        <f t="shared" si="18"/>
        <v>350.36000000000013</v>
      </c>
      <c r="Y33" s="2"/>
      <c r="Z33" s="7">
        <f t="shared" si="19"/>
        <v>9.4910442424176789E-2</v>
      </c>
    </row>
    <row r="34" spans="1:26" s="24" customFormat="1" hidden="1" outlineLevel="2" x14ac:dyDescent="0.25">
      <c r="A34" s="26"/>
      <c r="B34" s="11" t="str">
        <f>CONCATENATE("          ", "6113", " - ", "GROUP INSURANCE")</f>
        <v xml:space="preserve">          6113 - GROUP INSURANCE</v>
      </c>
      <c r="C34" s="11"/>
      <c r="D34" s="6">
        <v>6378.17</v>
      </c>
      <c r="E34" s="2"/>
      <c r="F34" s="7">
        <f t="shared" si="12"/>
        <v>2.1207330611543528E-2</v>
      </c>
      <c r="G34" s="2"/>
      <c r="H34" s="6">
        <v>6724.22</v>
      </c>
      <c r="I34" s="2"/>
      <c r="J34" s="7">
        <f t="shared" si="13"/>
        <v>2.6890489744017237E-2</v>
      </c>
      <c r="K34" s="2"/>
      <c r="L34" s="6">
        <f t="shared" si="14"/>
        <v>-346.05000000000018</v>
      </c>
      <c r="M34" s="2"/>
      <c r="N34" s="7">
        <f t="shared" si="15"/>
        <v>-5.1463218038672168E-2</v>
      </c>
      <c r="O34" s="11"/>
      <c r="P34" s="6">
        <v>32358.499999999996</v>
      </c>
      <c r="Q34" s="2"/>
      <c r="R34" s="7">
        <f t="shared" si="16"/>
        <v>2.2806539312881822E-2</v>
      </c>
      <c r="S34" s="2"/>
      <c r="T34" s="6">
        <v>29384.799999999999</v>
      </c>
      <c r="U34" s="2"/>
      <c r="V34" s="7">
        <f t="shared" si="17"/>
        <v>2.2234779684635508E-2</v>
      </c>
      <c r="W34" s="2"/>
      <c r="X34" s="6">
        <f t="shared" si="18"/>
        <v>2973.6999999999971</v>
      </c>
      <c r="Y34" s="2"/>
      <c r="Z34" s="7">
        <f t="shared" si="19"/>
        <v>0.10119857885709609</v>
      </c>
    </row>
    <row r="35" spans="1:26" s="24" customFormat="1" hidden="1" outlineLevel="2" x14ac:dyDescent="0.25">
      <c r="A35" s="26"/>
      <c r="B35" s="11" t="str">
        <f>CONCATENATE("          ", "6114", " - ", "STATE UNEMPLOYMENT INSURANCE")</f>
        <v xml:space="preserve">          6114 - STATE UNEMPLOYMENT INSURANCE</v>
      </c>
      <c r="C35" s="11"/>
      <c r="D35" s="6">
        <v>160.66</v>
      </c>
      <c r="E35" s="2"/>
      <c r="F35" s="7">
        <f t="shared" si="12"/>
        <v>5.3419236803825911E-4</v>
      </c>
      <c r="G35" s="2"/>
      <c r="H35" s="6">
        <v>150.1</v>
      </c>
      <c r="I35" s="2"/>
      <c r="J35" s="7">
        <f t="shared" si="13"/>
        <v>6.0025735484219532E-4</v>
      </c>
      <c r="K35" s="2"/>
      <c r="L35" s="6">
        <f t="shared" si="14"/>
        <v>10.560000000000002</v>
      </c>
      <c r="M35" s="2"/>
      <c r="N35" s="7">
        <f t="shared" si="15"/>
        <v>7.0353097934710215E-2</v>
      </c>
      <c r="O35" s="11"/>
      <c r="P35" s="6">
        <v>691.55</v>
      </c>
      <c r="Q35" s="2"/>
      <c r="R35" s="7">
        <f t="shared" si="16"/>
        <v>4.874101785256865E-4</v>
      </c>
      <c r="S35" s="2"/>
      <c r="T35" s="6">
        <v>718.92</v>
      </c>
      <c r="U35" s="2"/>
      <c r="V35" s="7">
        <f t="shared" si="17"/>
        <v>5.4398967530417622E-4</v>
      </c>
      <c r="W35" s="2"/>
      <c r="X35" s="6">
        <f t="shared" si="18"/>
        <v>-27.370000000000005</v>
      </c>
      <c r="Y35" s="2"/>
      <c r="Z35" s="7">
        <f t="shared" si="19"/>
        <v>-3.807099538196184E-2</v>
      </c>
    </row>
    <row r="36" spans="1:26" s="24" customFormat="1" hidden="1" outlineLevel="2" x14ac:dyDescent="0.25">
      <c r="A36" s="26"/>
      <c r="B36" s="11" t="str">
        <f>CONCATENATE("          ", "6115", " - ", "P.E.R.S.")</f>
        <v xml:space="preserve">          6115 - P.E.R.S.</v>
      </c>
      <c r="C36" s="11"/>
      <c r="D36" s="6">
        <v>1497.9</v>
      </c>
      <c r="E36" s="2"/>
      <c r="F36" s="7">
        <f t="shared" si="12"/>
        <v>4.980497622833987E-3</v>
      </c>
      <c r="G36" s="2"/>
      <c r="H36" s="6">
        <v>1355.66</v>
      </c>
      <c r="I36" s="2"/>
      <c r="J36" s="7">
        <f t="shared" si="13"/>
        <v>5.4213516699891445E-3</v>
      </c>
      <c r="K36" s="2"/>
      <c r="L36" s="6">
        <f t="shared" si="14"/>
        <v>142.24</v>
      </c>
      <c r="M36" s="2"/>
      <c r="N36" s="7">
        <f t="shared" si="15"/>
        <v>0.10492306330495847</v>
      </c>
      <c r="O36" s="11"/>
      <c r="P36" s="6">
        <v>8287.8799999999992</v>
      </c>
      <c r="Q36" s="2"/>
      <c r="R36" s="7">
        <f t="shared" si="16"/>
        <v>5.8413665973529984E-3</v>
      </c>
      <c r="S36" s="2"/>
      <c r="T36" s="6">
        <v>8292.14</v>
      </c>
      <c r="U36" s="2"/>
      <c r="V36" s="7">
        <f t="shared" si="17"/>
        <v>6.2744652342079403E-3</v>
      </c>
      <c r="W36" s="2"/>
      <c r="X36" s="6">
        <f t="shared" si="18"/>
        <v>-4.2600000000002183</v>
      </c>
      <c r="Y36" s="2"/>
      <c r="Z36" s="7">
        <f t="shared" si="19"/>
        <v>-5.1373951718135713E-4</v>
      </c>
    </row>
    <row r="37" spans="1:26" s="24" customFormat="1" hidden="1" outlineLevel="2" x14ac:dyDescent="0.25">
      <c r="A37" s="26"/>
      <c r="B37" s="11" t="str">
        <f>CONCATENATE("          ", "6118", " - ", "VACATION")</f>
        <v xml:space="preserve">          6118 - VACATION</v>
      </c>
      <c r="C37" s="11"/>
      <c r="D37" s="6">
        <v>1823.14</v>
      </c>
      <c r="E37" s="2"/>
      <c r="F37" s="7">
        <f t="shared" si="12"/>
        <v>6.0619163068920193E-3</v>
      </c>
      <c r="G37" s="2"/>
      <c r="H37" s="6">
        <v>1016.52</v>
      </c>
      <c r="I37" s="2"/>
      <c r="J37" s="7">
        <f t="shared" si="13"/>
        <v>4.065113966317045E-3</v>
      </c>
      <c r="K37" s="2"/>
      <c r="L37" s="6">
        <f t="shared" si="14"/>
        <v>806.62000000000012</v>
      </c>
      <c r="M37" s="2"/>
      <c r="N37" s="7">
        <f t="shared" si="15"/>
        <v>0.79351119505764778</v>
      </c>
      <c r="O37" s="11"/>
      <c r="P37" s="6">
        <v>6888.44</v>
      </c>
      <c r="Q37" s="2"/>
      <c r="R37" s="7">
        <f t="shared" si="16"/>
        <v>4.8550296727112715E-3</v>
      </c>
      <c r="S37" s="2"/>
      <c r="T37" s="6">
        <v>5872.85</v>
      </c>
      <c r="U37" s="2"/>
      <c r="V37" s="7">
        <f t="shared" si="17"/>
        <v>4.4438459976216156E-3</v>
      </c>
      <c r="W37" s="2"/>
      <c r="X37" s="6">
        <f t="shared" si="18"/>
        <v>1015.5899999999992</v>
      </c>
      <c r="Y37" s="2"/>
      <c r="Z37" s="7">
        <f t="shared" si="19"/>
        <v>0.17292966787845751</v>
      </c>
    </row>
    <row r="38" spans="1:26" s="24" customFormat="1" hidden="1" outlineLevel="2" x14ac:dyDescent="0.25">
      <c r="A38" s="26"/>
      <c r="B38" s="11" t="str">
        <f>CONCATENATE("          ", "6119", " - ", "SICK LEAVE")</f>
        <v xml:space="preserve">          6119 - SICK LEAVE</v>
      </c>
      <c r="C38" s="11"/>
      <c r="D38" s="6">
        <v>788.12</v>
      </c>
      <c r="E38" s="2"/>
      <c r="F38" s="7">
        <f t="shared" si="12"/>
        <v>2.6204885416302301E-3</v>
      </c>
      <c r="G38" s="2"/>
      <c r="H38" s="6">
        <v>755.84</v>
      </c>
      <c r="I38" s="2"/>
      <c r="J38" s="7">
        <f t="shared" si="13"/>
        <v>3.0226416994265488E-3</v>
      </c>
      <c r="K38" s="2"/>
      <c r="L38" s="6">
        <f t="shared" si="14"/>
        <v>32.279999999999973</v>
      </c>
      <c r="M38" s="2"/>
      <c r="N38" s="7">
        <f t="shared" si="15"/>
        <v>4.2707451312447041E-2</v>
      </c>
      <c r="O38" s="11"/>
      <c r="P38" s="6">
        <v>4739.08</v>
      </c>
      <c r="Q38" s="2"/>
      <c r="R38" s="7">
        <f t="shared" si="16"/>
        <v>3.3401429091859018E-3</v>
      </c>
      <c r="S38" s="2"/>
      <c r="T38" s="6">
        <v>4596.1899999999996</v>
      </c>
      <c r="U38" s="2"/>
      <c r="V38" s="7">
        <f t="shared" si="17"/>
        <v>3.4778277217719662E-3</v>
      </c>
      <c r="W38" s="2"/>
      <c r="X38" s="6">
        <f t="shared" si="18"/>
        <v>142.89000000000033</v>
      </c>
      <c r="Y38" s="2"/>
      <c r="Z38" s="7">
        <f t="shared" si="19"/>
        <v>3.10887931090752E-2</v>
      </c>
    </row>
    <row r="39" spans="1:26" s="24" customFormat="1" hidden="1" outlineLevel="2" x14ac:dyDescent="0.25">
      <c r="A39" s="26"/>
      <c r="B39" s="11" t="str">
        <f>CONCATENATE("          ", "6156", " - ", "EMPLOYEE MEALS")</f>
        <v xml:space="preserve">          6156 - EMPLOYEE MEALS</v>
      </c>
      <c r="C39" s="11"/>
      <c r="D39" s="6">
        <v>612.64</v>
      </c>
      <c r="E39" s="2"/>
      <c r="F39" s="7">
        <f t="shared" si="12"/>
        <v>2.0370198702536978E-3</v>
      </c>
      <c r="G39" s="2"/>
      <c r="H39" s="6">
        <v>593.73</v>
      </c>
      <c r="I39" s="2"/>
      <c r="J39" s="7">
        <f t="shared" si="13"/>
        <v>2.3743557580976462E-3</v>
      </c>
      <c r="K39" s="2"/>
      <c r="L39" s="6">
        <f t="shared" si="14"/>
        <v>18.909999999999968</v>
      </c>
      <c r="M39" s="2"/>
      <c r="N39" s="7">
        <f t="shared" si="15"/>
        <v>3.1849493877688456E-2</v>
      </c>
      <c r="O39" s="11"/>
      <c r="P39" s="6">
        <v>3161.83</v>
      </c>
      <c r="Q39" s="2"/>
      <c r="R39" s="7">
        <f t="shared" si="16"/>
        <v>2.2284840210655358E-3</v>
      </c>
      <c r="S39" s="2"/>
      <c r="T39" s="6">
        <v>2388.14</v>
      </c>
      <c r="U39" s="2"/>
      <c r="V39" s="7">
        <f t="shared" si="17"/>
        <v>1.8070487720204132E-3</v>
      </c>
      <c r="W39" s="2"/>
      <c r="X39" s="6">
        <f t="shared" si="18"/>
        <v>773.69</v>
      </c>
      <c r="Y39" s="2"/>
      <c r="Z39" s="7">
        <f t="shared" si="19"/>
        <v>0.32397179394842851</v>
      </c>
    </row>
    <row r="40" spans="1:26" s="25" customFormat="1" outlineLevel="1" collapsed="1" x14ac:dyDescent="0.25">
      <c r="A40" s="27"/>
      <c r="B40" s="13" t="str">
        <f>CONCATENATE("     ","*Payroll                                          ")</f>
        <v xml:space="preserve">     *Payroll                                          </v>
      </c>
      <c r="C40" s="13"/>
      <c r="D40" s="1">
        <f>SUM(OSRRefD22_1x_0)</f>
        <v>52691.03</v>
      </c>
      <c r="E40" s="1"/>
      <c r="F40" s="5">
        <f t="shared" ref="F40:F46" si="20">IF(D$12=0,0,D40/D$12)</f>
        <v>0.17519697553887062</v>
      </c>
      <c r="G40" s="1"/>
      <c r="H40" s="1">
        <f>SUM(OSRRefH22_1x_0)</f>
        <v>47603.64</v>
      </c>
      <c r="I40" s="1"/>
      <c r="J40" s="5">
        <f t="shared" ref="J40:J46" si="21">IF(H$12=0,0,H40/H$12)</f>
        <v>0.1903693206346444</v>
      </c>
      <c r="K40" s="1"/>
      <c r="L40" s="1">
        <f t="shared" ref="L40:L46" si="22">+D40-H40</f>
        <v>5087.3899999999994</v>
      </c>
      <c r="M40" s="1"/>
      <c r="N40" s="5">
        <f t="shared" ref="N40:N46" si="23">IF(H40=0,0,L40/H40)</f>
        <v>0.10686976878238721</v>
      </c>
      <c r="O40" s="13"/>
      <c r="P40" s="1">
        <f>SUM(OSRRefP22_1x_0)</f>
        <v>272962.57999999996</v>
      </c>
      <c r="Q40" s="1"/>
      <c r="R40" s="5">
        <f t="shared" ref="R40:R46" si="24">IF(P$12=0,0,P40/P$12)</f>
        <v>0.19238629144477185</v>
      </c>
      <c r="S40" s="1"/>
      <c r="T40" s="1">
        <f>SUM(OSRRefT22_1x_0)</f>
        <v>260296.31999999998</v>
      </c>
      <c r="U40" s="1"/>
      <c r="V40" s="5">
        <f t="shared" ref="V40:V46" si="25">IF(T$12=0,0,T40/T$12)</f>
        <v>0.19696003811226834</v>
      </c>
      <c r="W40" s="1"/>
      <c r="X40" s="1">
        <f t="shared" ref="X40:X46" si="26">+P40-T40</f>
        <v>12666.25999999998</v>
      </c>
      <c r="Y40" s="1"/>
      <c r="Z40" s="5">
        <f t="shared" ref="Z40:Z46" si="27">IF(T40=0,0,X40/T40)</f>
        <v>4.8660926132186505E-2</v>
      </c>
    </row>
    <row r="41" spans="1:26" s="24" customFormat="1" hidden="1" outlineLevel="2" x14ac:dyDescent="0.25">
      <c r="A41" s="26"/>
      <c r="B41" s="11" t="str">
        <f>CONCATENATE("          ", "6002", " - ", "STAFF SALARIES")</f>
        <v xml:space="preserve">          6002 - STAFF SALARIES</v>
      </c>
      <c r="C41" s="11"/>
      <c r="D41" s="6">
        <v>15100.79</v>
      </c>
      <c r="E41" s="2"/>
      <c r="F41" s="7">
        <f t="shared" si="20"/>
        <v>5.0209926362183889E-2</v>
      </c>
      <c r="G41" s="2"/>
      <c r="H41" s="6">
        <v>14620.53</v>
      </c>
      <c r="I41" s="2"/>
      <c r="J41" s="7">
        <f t="shared" si="21"/>
        <v>5.8468225610865843E-2</v>
      </c>
      <c r="K41" s="2"/>
      <c r="L41" s="6">
        <f t="shared" si="22"/>
        <v>480.26000000000022</v>
      </c>
      <c r="M41" s="2"/>
      <c r="N41" s="7">
        <f t="shared" si="23"/>
        <v>3.2848330395683342E-2</v>
      </c>
      <c r="O41" s="11"/>
      <c r="P41" s="6">
        <v>86167.47</v>
      </c>
      <c r="Q41" s="2"/>
      <c r="R41" s="7">
        <f t="shared" si="24"/>
        <v>6.0731547879121883E-2</v>
      </c>
      <c r="S41" s="2"/>
      <c r="T41" s="6">
        <v>81897.5</v>
      </c>
      <c r="U41" s="2"/>
      <c r="V41" s="7">
        <f t="shared" si="25"/>
        <v>6.1969891550136005E-2</v>
      </c>
      <c r="W41" s="2"/>
      <c r="X41" s="6">
        <f t="shared" si="26"/>
        <v>4269.9700000000012</v>
      </c>
      <c r="Y41" s="2"/>
      <c r="Z41" s="7">
        <f t="shared" si="27"/>
        <v>5.2137977349735964E-2</v>
      </c>
    </row>
    <row r="42" spans="1:26" s="24" customFormat="1" hidden="1" outlineLevel="2" x14ac:dyDescent="0.25">
      <c r="A42" s="26"/>
      <c r="B42" s="11" t="str">
        <f>CONCATENATE("          ", "6004", " - ", "STAFF HOURLY")</f>
        <v xml:space="preserve">          6004 - STAFF HOURLY</v>
      </c>
      <c r="C42" s="11"/>
      <c r="D42" s="6"/>
      <c r="E42" s="2"/>
      <c r="F42" s="7">
        <f t="shared" si="20"/>
        <v>0</v>
      </c>
      <c r="G42" s="2"/>
      <c r="H42" s="6"/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254.64</v>
      </c>
      <c r="Q42" s="2"/>
      <c r="R42" s="7">
        <f t="shared" si="24"/>
        <v>1.7947238501884289E-4</v>
      </c>
      <c r="S42" s="2"/>
      <c r="T42" s="6"/>
      <c r="U42" s="2"/>
      <c r="V42" s="7">
        <f t="shared" si="25"/>
        <v>0</v>
      </c>
      <c r="W42" s="2"/>
      <c r="X42" s="6">
        <f t="shared" si="26"/>
        <v>254.64</v>
      </c>
      <c r="Y42" s="2"/>
      <c r="Z42" s="7">
        <f t="shared" si="27"/>
        <v>0</v>
      </c>
    </row>
    <row r="43" spans="1:26" s="24" customFormat="1" hidden="1" outlineLevel="2" x14ac:dyDescent="0.25">
      <c r="A43" s="26"/>
      <c r="B43" s="11" t="str">
        <f>CONCATENATE("          ", "6005", " - ", "TEMPORARY WAGES-HOURLY")</f>
        <v xml:space="preserve">          6005 - TEMPORARY WAGES-HOURLY</v>
      </c>
      <c r="C43" s="11"/>
      <c r="D43" s="6">
        <v>6085.73</v>
      </c>
      <c r="E43" s="2"/>
      <c r="F43" s="7">
        <f t="shared" si="20"/>
        <v>2.0234971492228773E-2</v>
      </c>
      <c r="G43" s="2"/>
      <c r="H43" s="6">
        <v>5030.08</v>
      </c>
      <c r="I43" s="2"/>
      <c r="J43" s="7">
        <f t="shared" si="21"/>
        <v>2.0115539743135444E-2</v>
      </c>
      <c r="K43" s="2"/>
      <c r="L43" s="6">
        <f t="shared" si="22"/>
        <v>1055.6499999999996</v>
      </c>
      <c r="M43" s="2"/>
      <c r="N43" s="7">
        <f t="shared" si="23"/>
        <v>0.20986743749602385</v>
      </c>
      <c r="O43" s="11"/>
      <c r="P43" s="6">
        <v>33248.79</v>
      </c>
      <c r="Q43" s="2"/>
      <c r="R43" s="7">
        <f t="shared" si="24"/>
        <v>2.3434023092564617E-2</v>
      </c>
      <c r="S43" s="2"/>
      <c r="T43" s="6">
        <v>29948.969999999998</v>
      </c>
      <c r="U43" s="2"/>
      <c r="V43" s="7">
        <f t="shared" si="25"/>
        <v>2.2661673713340172E-2</v>
      </c>
      <c r="W43" s="2"/>
      <c r="X43" s="6">
        <f t="shared" si="26"/>
        <v>3299.8200000000033</v>
      </c>
      <c r="Y43" s="2"/>
      <c r="Z43" s="7">
        <f t="shared" si="27"/>
        <v>0.11018141859302685</v>
      </c>
    </row>
    <row r="44" spans="1:26" s="24" customFormat="1" hidden="1" outlineLevel="2" x14ac:dyDescent="0.25">
      <c r="A44" s="26"/>
      <c r="B44" s="11" t="str">
        <f>CONCATENATE("          ", "6006", " - ", "TEMPORARY PART TIME")</f>
        <v xml:space="preserve">          6006 - TEMPORARY PART TIME</v>
      </c>
      <c r="C44" s="11"/>
      <c r="D44" s="6">
        <v>1792.23</v>
      </c>
      <c r="E44" s="2"/>
      <c r="F44" s="7">
        <f t="shared" si="20"/>
        <v>5.9591409670684001E-3</v>
      </c>
      <c r="G44" s="2"/>
      <c r="H44" s="6">
        <v>3386.24</v>
      </c>
      <c r="I44" s="2"/>
      <c r="J44" s="7">
        <f t="shared" si="21"/>
        <v>1.3541741940445273E-2</v>
      </c>
      <c r="K44" s="2"/>
      <c r="L44" s="6">
        <f t="shared" si="22"/>
        <v>-1594.0099999999998</v>
      </c>
      <c r="M44" s="2"/>
      <c r="N44" s="7">
        <f t="shared" si="23"/>
        <v>-0.47073154885654883</v>
      </c>
      <c r="O44" s="11"/>
      <c r="P44" s="6">
        <v>8481.2999999999993</v>
      </c>
      <c r="Q44" s="2"/>
      <c r="R44" s="7">
        <f t="shared" si="24"/>
        <v>5.9776906183644056E-3</v>
      </c>
      <c r="S44" s="2"/>
      <c r="T44" s="6">
        <v>17857.560000000001</v>
      </c>
      <c r="U44" s="2"/>
      <c r="V44" s="7">
        <f t="shared" si="25"/>
        <v>1.3512391178607978E-2</v>
      </c>
      <c r="W44" s="2"/>
      <c r="X44" s="6">
        <f t="shared" si="26"/>
        <v>-9376.260000000002</v>
      </c>
      <c r="Y44" s="2"/>
      <c r="Z44" s="7">
        <f t="shared" si="27"/>
        <v>-0.52505829463823728</v>
      </c>
    </row>
    <row r="45" spans="1:26" s="24" customFormat="1" hidden="1" outlineLevel="2" x14ac:dyDescent="0.25">
      <c r="A45" s="26"/>
      <c r="B45" s="11" t="str">
        <f>CONCATENATE("          ", "6007", " - ", "STUDENT HOURLY")</f>
        <v xml:space="preserve">          6007 - STUDENT HOURLY</v>
      </c>
      <c r="C45" s="11"/>
      <c r="D45" s="6">
        <v>28776.28</v>
      </c>
      <c r="E45" s="2"/>
      <c r="F45" s="7">
        <f t="shared" si="20"/>
        <v>9.5680749138130183E-2</v>
      </c>
      <c r="G45" s="2"/>
      <c r="H45" s="6">
        <v>22931.22</v>
      </c>
      <c r="I45" s="2"/>
      <c r="J45" s="7">
        <f t="shared" si="21"/>
        <v>9.1703087678244158E-2</v>
      </c>
      <c r="K45" s="2"/>
      <c r="L45" s="6">
        <f t="shared" si="22"/>
        <v>5845.0599999999977</v>
      </c>
      <c r="M45" s="2"/>
      <c r="N45" s="7">
        <f t="shared" si="23"/>
        <v>0.25489529122305737</v>
      </c>
      <c r="O45" s="11"/>
      <c r="P45" s="6">
        <v>137026.59</v>
      </c>
      <c r="Q45" s="2"/>
      <c r="R45" s="7">
        <f t="shared" si="24"/>
        <v>9.6577477687319863E-2</v>
      </c>
      <c r="S45" s="2"/>
      <c r="T45" s="6">
        <v>120262.52</v>
      </c>
      <c r="U45" s="2"/>
      <c r="V45" s="7">
        <f t="shared" si="25"/>
        <v>9.0999790249349038E-2</v>
      </c>
      <c r="W45" s="2"/>
      <c r="X45" s="6">
        <f t="shared" si="26"/>
        <v>16764.069999999992</v>
      </c>
      <c r="Y45" s="2"/>
      <c r="Z45" s="7">
        <f t="shared" si="27"/>
        <v>0.139395632155388</v>
      </c>
    </row>
    <row r="46" spans="1:26" s="24" customFormat="1" hidden="1" outlineLevel="2" x14ac:dyDescent="0.25">
      <c r="A46" s="26"/>
      <c r="B46" s="11" t="str">
        <f>CONCATENATE("          ", "6008", " - ", "STUDENT HOURLY-FICA EXEMPT")</f>
        <v xml:space="preserve">          6008 - STUDENT HOURLY-FICA EXEMPT</v>
      </c>
      <c r="C46" s="11"/>
      <c r="D46" s="6">
        <v>936</v>
      </c>
      <c r="E46" s="2"/>
      <c r="F46" s="7">
        <f t="shared" si="20"/>
        <v>3.1121875792593711E-3</v>
      </c>
      <c r="G46" s="2"/>
      <c r="H46" s="6">
        <v>1635.57</v>
      </c>
      <c r="I46" s="2"/>
      <c r="J46" s="7">
        <f t="shared" si="21"/>
        <v>6.540725661953694E-3</v>
      </c>
      <c r="K46" s="2"/>
      <c r="L46" s="6">
        <f t="shared" si="22"/>
        <v>-699.56999999999994</v>
      </c>
      <c r="M46" s="2"/>
      <c r="N46" s="7">
        <f t="shared" si="23"/>
        <v>-0.42772244538601217</v>
      </c>
      <c r="O46" s="11"/>
      <c r="P46" s="6">
        <v>7783.79</v>
      </c>
      <c r="Q46" s="2"/>
      <c r="R46" s="7">
        <f t="shared" si="24"/>
        <v>5.4860797823822619E-3</v>
      </c>
      <c r="S46" s="2"/>
      <c r="T46" s="6">
        <v>10329.77</v>
      </c>
      <c r="U46" s="2"/>
      <c r="V46" s="7">
        <f t="shared" si="25"/>
        <v>7.8162914208351718E-3</v>
      </c>
      <c r="W46" s="2"/>
      <c r="X46" s="6">
        <f t="shared" si="26"/>
        <v>-2545.9800000000005</v>
      </c>
      <c r="Y46" s="2"/>
      <c r="Z46" s="7">
        <f t="shared" si="27"/>
        <v>-0.24647015374011236</v>
      </c>
    </row>
    <row r="47" spans="1:26" s="25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761.16</v>
      </c>
      <c r="E47" s="1"/>
      <c r="F47" s="5">
        <f t="shared" ref="F47:F55" si="28">IF(D$12=0,0,D47/D$12)</f>
        <v>2.5308468993900245E-3</v>
      </c>
      <c r="G47" s="1"/>
      <c r="H47" s="1">
        <f>SUM(OSRRefH22_2x_0)</f>
        <v>505.59</v>
      </c>
      <c r="I47" s="1"/>
      <c r="J47" s="5">
        <f t="shared" ref="J47:J55" si="29">IF(H$12=0,0,H47/H$12)</f>
        <v>2.0218795205507365E-3</v>
      </c>
      <c r="K47" s="1"/>
      <c r="L47" s="1">
        <f t="shared" ref="L47:L55" si="30">+D47-H47</f>
        <v>255.57</v>
      </c>
      <c r="M47" s="1"/>
      <c r="N47" s="5">
        <f t="shared" ref="N47:N55" si="31">IF(H47=0,0,L47/H47)</f>
        <v>0.50548863703791613</v>
      </c>
      <c r="O47" s="13"/>
      <c r="P47" s="1">
        <f>SUM(OSRRefP22_2x_0)</f>
        <v>1814.1</v>
      </c>
      <c r="Q47" s="1"/>
      <c r="R47" s="5">
        <f t="shared" ref="R47:R55" si="32">IF(P$12=0,0,P47/P$12)</f>
        <v>1.2785927335166624E-3</v>
      </c>
      <c r="S47" s="1"/>
      <c r="T47" s="1">
        <f>SUM(OSRRefT22_2x_0)</f>
        <v>1674.93</v>
      </c>
      <c r="U47" s="1"/>
      <c r="V47" s="5">
        <f t="shared" ref="V47:V55" si="33">IF(T$12=0,0,T47/T$12)</f>
        <v>1.2673797179897958E-3</v>
      </c>
      <c r="W47" s="1"/>
      <c r="X47" s="1">
        <f t="shared" ref="X47:X55" si="34">+P47-T47</f>
        <v>139.16999999999985</v>
      </c>
      <c r="Y47" s="1"/>
      <c r="Z47" s="5">
        <f t="shared" ref="Z47:Z55" si="35">IF(T47=0,0,X47/T47)</f>
        <v>8.3090039583743697E-2</v>
      </c>
    </row>
    <row r="48" spans="1:26" s="24" customFormat="1" hidden="1" outlineLevel="2" x14ac:dyDescent="0.25">
      <c r="A48" s="26"/>
      <c r="B48" s="11" t="str">
        <f>CONCATENATE("          ", "6362", " - ", "ADVERTISING EXPENSE")</f>
        <v xml:space="preserve">          6362 - ADVERTISING EXPENSE</v>
      </c>
      <c r="C48" s="11"/>
      <c r="D48" s="6">
        <v>761.16</v>
      </c>
      <c r="E48" s="2"/>
      <c r="F48" s="7">
        <f t="shared" si="28"/>
        <v>2.5308468993900245E-3</v>
      </c>
      <c r="G48" s="2"/>
      <c r="H48" s="6">
        <v>505.59</v>
      </c>
      <c r="I48" s="2"/>
      <c r="J48" s="7">
        <f t="shared" si="29"/>
        <v>2.0218795205507365E-3</v>
      </c>
      <c r="K48" s="2"/>
      <c r="L48" s="6">
        <f t="shared" si="30"/>
        <v>255.57</v>
      </c>
      <c r="M48" s="2"/>
      <c r="N48" s="7">
        <f t="shared" si="31"/>
        <v>0.50548863703791613</v>
      </c>
      <c r="O48" s="11"/>
      <c r="P48" s="6">
        <v>1814.1</v>
      </c>
      <c r="Q48" s="2"/>
      <c r="R48" s="7">
        <f t="shared" si="32"/>
        <v>1.2785927335166624E-3</v>
      </c>
      <c r="S48" s="2"/>
      <c r="T48" s="6">
        <v>1674.93</v>
      </c>
      <c r="U48" s="2"/>
      <c r="V48" s="7">
        <f t="shared" si="33"/>
        <v>1.2673797179897958E-3</v>
      </c>
      <c r="W48" s="2"/>
      <c r="X48" s="6">
        <f t="shared" si="34"/>
        <v>139.16999999999985</v>
      </c>
      <c r="Y48" s="2"/>
      <c r="Z48" s="7">
        <f t="shared" si="35"/>
        <v>8.3090039583743697E-2</v>
      </c>
    </row>
    <row r="49" spans="1:26" s="25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-64.14</v>
      </c>
      <c r="E49" s="1"/>
      <c r="F49" s="5">
        <f t="shared" si="28"/>
        <v>-2.132646488607864E-4</v>
      </c>
      <c r="G49" s="1"/>
      <c r="H49" s="1">
        <f>SUM(OSRRefH22_3x_0)</f>
        <v>-70.14</v>
      </c>
      <c r="I49" s="1"/>
      <c r="J49" s="5">
        <f t="shared" si="29"/>
        <v>-2.8049334356183598E-4</v>
      </c>
      <c r="K49" s="1"/>
      <c r="L49" s="1">
        <f t="shared" si="30"/>
        <v>6</v>
      </c>
      <c r="M49" s="1"/>
      <c r="N49" s="5">
        <f t="shared" si="31"/>
        <v>-8.5543199315654406E-2</v>
      </c>
      <c r="O49" s="13"/>
      <c r="P49" s="1">
        <f>SUM(OSRRefP22_3x_0)</f>
        <v>-255.09</v>
      </c>
      <c r="Q49" s="1"/>
      <c r="R49" s="5">
        <f t="shared" si="32"/>
        <v>-1.7978954875297139E-4</v>
      </c>
      <c r="S49" s="1"/>
      <c r="T49" s="1">
        <f>SUM(OSRRefT22_3x_0)</f>
        <v>-528.86</v>
      </c>
      <c r="U49" s="1"/>
      <c r="V49" s="5">
        <f t="shared" si="33"/>
        <v>-4.0017579102176416E-4</v>
      </c>
      <c r="W49" s="1"/>
      <c r="X49" s="1">
        <f t="shared" si="34"/>
        <v>273.77</v>
      </c>
      <c r="Y49" s="1"/>
      <c r="Z49" s="5">
        <f t="shared" si="35"/>
        <v>-0.5176606285217259</v>
      </c>
    </row>
    <row r="50" spans="1:26" s="24" customFormat="1" hidden="1" outlineLevel="2" x14ac:dyDescent="0.25">
      <c r="A50" s="26"/>
      <c r="B50" s="11" t="str">
        <f>CONCATENATE("          ", "6272", " - ", "CASH (OVER/SHORT)")</f>
        <v xml:space="preserve">          6272 - CASH (OVER/SHORT)</v>
      </c>
      <c r="C50" s="11"/>
      <c r="D50" s="6">
        <v>-64.14</v>
      </c>
      <c r="E50" s="2"/>
      <c r="F50" s="7">
        <f t="shared" si="28"/>
        <v>-2.132646488607864E-4</v>
      </c>
      <c r="G50" s="2"/>
      <c r="H50" s="6">
        <v>-70.14</v>
      </c>
      <c r="I50" s="2"/>
      <c r="J50" s="7">
        <f t="shared" si="29"/>
        <v>-2.8049334356183598E-4</v>
      </c>
      <c r="K50" s="2"/>
      <c r="L50" s="6">
        <f t="shared" si="30"/>
        <v>6</v>
      </c>
      <c r="M50" s="2"/>
      <c r="N50" s="7">
        <f t="shared" si="31"/>
        <v>-8.5543199315654406E-2</v>
      </c>
      <c r="O50" s="11"/>
      <c r="P50" s="6">
        <v>-255.09</v>
      </c>
      <c r="Q50" s="2"/>
      <c r="R50" s="7">
        <f t="shared" si="32"/>
        <v>-1.7978954875297139E-4</v>
      </c>
      <c r="S50" s="2"/>
      <c r="T50" s="6">
        <v>-528.86</v>
      </c>
      <c r="U50" s="2"/>
      <c r="V50" s="7">
        <f t="shared" si="33"/>
        <v>-4.0017579102176416E-4</v>
      </c>
      <c r="W50" s="2"/>
      <c r="X50" s="6">
        <f t="shared" si="34"/>
        <v>273.77</v>
      </c>
      <c r="Y50" s="2"/>
      <c r="Z50" s="7">
        <f t="shared" si="35"/>
        <v>-0.5176606285217259</v>
      </c>
    </row>
    <row r="51" spans="1:26" s="25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11733.15</v>
      </c>
      <c r="E51" s="1"/>
      <c r="F51" s="5">
        <f t="shared" si="28"/>
        <v>3.9012568050840905E-2</v>
      </c>
      <c r="G51" s="1"/>
      <c r="H51" s="1">
        <f>SUM(OSRRefH22_4x_0)</f>
        <v>9874.93</v>
      </c>
      <c r="I51" s="1"/>
      <c r="J51" s="5">
        <f t="shared" si="29"/>
        <v>3.9490335516667821E-2</v>
      </c>
      <c r="K51" s="1"/>
      <c r="L51" s="1">
        <f t="shared" si="30"/>
        <v>1858.2199999999993</v>
      </c>
      <c r="M51" s="1"/>
      <c r="N51" s="5">
        <f t="shared" si="31"/>
        <v>0.1881755111175471</v>
      </c>
      <c r="O51" s="13"/>
      <c r="P51" s="1">
        <f>SUM(OSRRefP22_4x_0)</f>
        <v>49492.5</v>
      </c>
      <c r="Q51" s="1"/>
      <c r="R51" s="5">
        <f t="shared" si="32"/>
        <v>3.4882724691898688E-2</v>
      </c>
      <c r="S51" s="1"/>
      <c r="T51" s="1">
        <f>SUM(OSRRefT22_4x_0)</f>
        <v>43894.32</v>
      </c>
      <c r="U51" s="1"/>
      <c r="V51" s="5">
        <f t="shared" si="33"/>
        <v>3.3213788578002577E-2</v>
      </c>
      <c r="W51" s="1"/>
      <c r="X51" s="1">
        <f t="shared" si="34"/>
        <v>5598.18</v>
      </c>
      <c r="Y51" s="1"/>
      <c r="Z51" s="5">
        <f t="shared" si="35"/>
        <v>0.12753768596939194</v>
      </c>
    </row>
    <row r="52" spans="1:26" s="24" customFormat="1" hidden="1" outlineLevel="2" x14ac:dyDescent="0.25">
      <c r="A52" s="26"/>
      <c r="B52" s="11" t="str">
        <f>CONCATENATE("          ", "6381", " - ", "BANK/CREDIT CARD FEES")</f>
        <v xml:space="preserve">          6381 - BANK/CREDIT CARD FEES</v>
      </c>
      <c r="C52" s="11"/>
      <c r="D52" s="6">
        <v>11733.15</v>
      </c>
      <c r="E52" s="2"/>
      <c r="F52" s="7">
        <f t="shared" si="28"/>
        <v>3.9012568050840905E-2</v>
      </c>
      <c r="G52" s="2"/>
      <c r="H52" s="6">
        <v>9874.93</v>
      </c>
      <c r="I52" s="2"/>
      <c r="J52" s="7">
        <f t="shared" si="29"/>
        <v>3.9490335516667821E-2</v>
      </c>
      <c r="K52" s="2"/>
      <c r="L52" s="6">
        <f t="shared" si="30"/>
        <v>1858.2199999999993</v>
      </c>
      <c r="M52" s="2"/>
      <c r="N52" s="7">
        <f t="shared" si="31"/>
        <v>0.1881755111175471</v>
      </c>
      <c r="O52" s="11"/>
      <c r="P52" s="6">
        <v>49492.5</v>
      </c>
      <c r="Q52" s="2"/>
      <c r="R52" s="7">
        <f t="shared" si="32"/>
        <v>3.4882724691898688E-2</v>
      </c>
      <c r="S52" s="2"/>
      <c r="T52" s="6">
        <v>43894.32</v>
      </c>
      <c r="U52" s="2"/>
      <c r="V52" s="7">
        <f t="shared" si="33"/>
        <v>3.3213788578002577E-2</v>
      </c>
      <c r="W52" s="2"/>
      <c r="X52" s="6">
        <f t="shared" si="34"/>
        <v>5598.18</v>
      </c>
      <c r="Y52" s="2"/>
      <c r="Z52" s="7">
        <f t="shared" si="35"/>
        <v>0.12753768596939194</v>
      </c>
    </row>
    <row r="53" spans="1:26" s="25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8403.48</v>
      </c>
      <c r="E53" s="1"/>
      <c r="F53" s="5">
        <f t="shared" si="28"/>
        <v>2.794145948563519E-2</v>
      </c>
      <c r="G53" s="1"/>
      <c r="H53" s="1">
        <f>SUM(OSRRefH22_5x_0)</f>
        <v>8364.08</v>
      </c>
      <c r="I53" s="1"/>
      <c r="J53" s="5">
        <f t="shared" si="29"/>
        <v>3.3448371329037371E-2</v>
      </c>
      <c r="K53" s="1"/>
      <c r="L53" s="1">
        <f t="shared" si="30"/>
        <v>39.399999999999636</v>
      </c>
      <c r="M53" s="1"/>
      <c r="N53" s="5">
        <f t="shared" si="31"/>
        <v>4.7106196975638245E-3</v>
      </c>
      <c r="O53" s="13"/>
      <c r="P53" s="1">
        <f>SUM(OSRRefP22_5x_0)</f>
        <v>42017.4</v>
      </c>
      <c r="Q53" s="1"/>
      <c r="R53" s="5">
        <f t="shared" si="32"/>
        <v>2.9614212183045593E-2</v>
      </c>
      <c r="S53" s="1"/>
      <c r="T53" s="1">
        <f>SUM(OSRRefT22_5x_0)</f>
        <v>41820.400000000001</v>
      </c>
      <c r="U53" s="1"/>
      <c r="V53" s="5">
        <f t="shared" si="33"/>
        <v>3.1644502610987002E-2</v>
      </c>
      <c r="W53" s="1"/>
      <c r="X53" s="1">
        <f t="shared" si="34"/>
        <v>197</v>
      </c>
      <c r="Y53" s="1"/>
      <c r="Z53" s="5">
        <f t="shared" si="35"/>
        <v>4.7106196975638679E-3</v>
      </c>
    </row>
    <row r="54" spans="1:26" s="24" customFormat="1" hidden="1" outlineLevel="2" x14ac:dyDescent="0.25">
      <c r="A54" s="26"/>
      <c r="B54" s="11" t="str">
        <f>CONCATENATE("          ", "6321", " - ", "BUILDING DEPRECIATION")</f>
        <v xml:space="preserve">          6321 - BUILDING DEPRECIATION</v>
      </c>
      <c r="C54" s="11"/>
      <c r="D54" s="6">
        <v>5080.51</v>
      </c>
      <c r="E54" s="2"/>
      <c r="F54" s="7">
        <f t="shared" si="28"/>
        <v>1.6892628331520328E-2</v>
      </c>
      <c r="G54" s="2"/>
      <c r="H54" s="6">
        <v>5080.51</v>
      </c>
      <c r="I54" s="2"/>
      <c r="J54" s="7">
        <f t="shared" si="29"/>
        <v>2.0317211817783624E-2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25402.550000000003</v>
      </c>
      <c r="Q54" s="2"/>
      <c r="R54" s="7">
        <f t="shared" si="32"/>
        <v>1.7903928031968303E-2</v>
      </c>
      <c r="S54" s="2"/>
      <c r="T54" s="6">
        <v>25402.550000000003</v>
      </c>
      <c r="U54" s="2"/>
      <c r="V54" s="7">
        <f t="shared" si="33"/>
        <v>1.9221505767537565E-2</v>
      </c>
      <c r="W54" s="2"/>
      <c r="X54" s="6">
        <f t="shared" si="34"/>
        <v>0</v>
      </c>
      <c r="Y54" s="2"/>
      <c r="Z54" s="7">
        <f t="shared" si="35"/>
        <v>0</v>
      </c>
    </row>
    <row r="55" spans="1:26" s="24" customFormat="1" hidden="1" outlineLevel="2" x14ac:dyDescent="0.25">
      <c r="A55" s="26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3322.97</v>
      </c>
      <c r="E55" s="2"/>
      <c r="F55" s="7">
        <f t="shared" si="28"/>
        <v>1.1048831154114864E-2</v>
      </c>
      <c r="G55" s="2"/>
      <c r="H55" s="6">
        <v>3283.57</v>
      </c>
      <c r="I55" s="2"/>
      <c r="J55" s="7">
        <f t="shared" si="29"/>
        <v>1.3131159511253748E-2</v>
      </c>
      <c r="K55" s="2"/>
      <c r="L55" s="6">
        <f t="shared" si="30"/>
        <v>39.399999999999636</v>
      </c>
      <c r="M55" s="2"/>
      <c r="N55" s="7">
        <f t="shared" si="31"/>
        <v>1.199913508772453E-2</v>
      </c>
      <c r="O55" s="11"/>
      <c r="P55" s="6">
        <v>16614.849999999999</v>
      </c>
      <c r="Q55" s="2"/>
      <c r="R55" s="7">
        <f t="shared" si="32"/>
        <v>1.1710284151077293E-2</v>
      </c>
      <c r="S55" s="2"/>
      <c r="T55" s="6">
        <v>16417.849999999999</v>
      </c>
      <c r="U55" s="2"/>
      <c r="V55" s="7">
        <f t="shared" si="33"/>
        <v>1.2422996843449437E-2</v>
      </c>
      <c r="W55" s="2"/>
      <c r="X55" s="6">
        <f t="shared" si="34"/>
        <v>197</v>
      </c>
      <c r="Y55" s="2"/>
      <c r="Z55" s="7">
        <f t="shared" si="35"/>
        <v>1.1999135087724643E-2</v>
      </c>
    </row>
    <row r="56" spans="1:26" s="25" customFormat="1" outlineLevel="1" collapsed="1" x14ac:dyDescent="0.25">
      <c r="A56" s="27"/>
      <c r="B56" s="13" t="str">
        <f>CONCATENATE("     ","Discounts and Markdowns                           ")</f>
        <v xml:space="preserve">     Discounts and Markdowns                           </v>
      </c>
      <c r="C56" s="13"/>
      <c r="D56" s="1">
        <f>SUM(OSRRefD22_6x_0)</f>
        <v>10.59</v>
      </c>
      <c r="E56" s="1"/>
      <c r="F56" s="5">
        <f t="shared" ref="F56:F75" si="36">IF(D$12=0,0,D56/D$12)</f>
        <v>3.52116094704666E-5</v>
      </c>
      <c r="G56" s="1"/>
      <c r="H56" s="1">
        <f>SUM(OSRRefH22_6x_0)</f>
        <v>8.2100000000000009</v>
      </c>
      <c r="I56" s="1"/>
      <c r="J56" s="5">
        <f t="shared" ref="J56:J75" si="37">IF(H$12=0,0,H56/H$12)</f>
        <v>3.2832197756525145E-5</v>
      </c>
      <c r="K56" s="1"/>
      <c r="L56" s="1">
        <f t="shared" ref="L56:L75" si="38">+D56-H56</f>
        <v>2.379999999999999</v>
      </c>
      <c r="M56" s="1"/>
      <c r="N56" s="5">
        <f t="shared" ref="N56:N75" si="39">IF(H56=0,0,L56/H56)</f>
        <v>0.28989037758830677</v>
      </c>
      <c r="O56" s="13"/>
      <c r="P56" s="1">
        <f>SUM(OSRRefP22_6x_0)</f>
        <v>59.75</v>
      </c>
      <c r="Q56" s="1"/>
      <c r="R56" s="5">
        <f t="shared" ref="R56:R75" si="40">IF(P$12=0,0,P56/P$12)</f>
        <v>4.2112295809283162E-5</v>
      </c>
      <c r="S56" s="1"/>
      <c r="T56" s="1">
        <f>SUM(OSRRefT22_6x_0)</f>
        <v>62.78</v>
      </c>
      <c r="U56" s="1"/>
      <c r="V56" s="5">
        <f t="shared" ref="V56:V75" si="41">IF(T$12=0,0,T56/T$12)</f>
        <v>4.7504133722244742E-5</v>
      </c>
      <c r="W56" s="1"/>
      <c r="X56" s="1">
        <f t="shared" ref="X56:X75" si="42">+P56-T56</f>
        <v>-3.0300000000000011</v>
      </c>
      <c r="Y56" s="1"/>
      <c r="Z56" s="5">
        <f t="shared" ref="Z56:Z75" si="43">IF(T56=0,0,X56/T56)</f>
        <v>-4.8263778273335473E-2</v>
      </c>
    </row>
    <row r="57" spans="1:26" s="24" customFormat="1" hidden="1" outlineLevel="2" x14ac:dyDescent="0.25">
      <c r="A57" s="26"/>
      <c r="B57" s="11" t="str">
        <f>CONCATENATE("          ", "6382", " - ", "DISCOUNTS/MARK DOWNS")</f>
        <v xml:space="preserve">          6382 - DISCOUNTS/MARK DOWNS</v>
      </c>
      <c r="C57" s="11"/>
      <c r="D57" s="6">
        <v>10.59</v>
      </c>
      <c r="E57" s="2"/>
      <c r="F57" s="7">
        <f t="shared" si="36"/>
        <v>3.52116094704666E-5</v>
      </c>
      <c r="G57" s="2"/>
      <c r="H57" s="6">
        <v>8.2100000000000009</v>
      </c>
      <c r="I57" s="2"/>
      <c r="J57" s="7">
        <f t="shared" si="37"/>
        <v>3.2832197756525145E-5</v>
      </c>
      <c r="K57" s="2"/>
      <c r="L57" s="6">
        <f t="shared" si="38"/>
        <v>2.379999999999999</v>
      </c>
      <c r="M57" s="2"/>
      <c r="N57" s="7">
        <f t="shared" si="39"/>
        <v>0.28989037758830677</v>
      </c>
      <c r="O57" s="11"/>
      <c r="P57" s="6">
        <v>59.75</v>
      </c>
      <c r="Q57" s="2"/>
      <c r="R57" s="7">
        <f t="shared" si="40"/>
        <v>4.2112295809283162E-5</v>
      </c>
      <c r="S57" s="2"/>
      <c r="T57" s="6">
        <v>62.78</v>
      </c>
      <c r="U57" s="2"/>
      <c r="V57" s="7">
        <f t="shared" si="41"/>
        <v>4.7504133722244742E-5</v>
      </c>
      <c r="W57" s="2"/>
      <c r="X57" s="6">
        <f t="shared" si="42"/>
        <v>-3.0300000000000011</v>
      </c>
      <c r="Y57" s="2"/>
      <c r="Z57" s="7">
        <f t="shared" si="43"/>
        <v>-4.8263778273335473E-2</v>
      </c>
    </row>
    <row r="58" spans="1:26" s="25" customFormat="1" outlineLevel="1" collapsed="1" x14ac:dyDescent="0.25">
      <c r="A58" s="27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28.66</v>
      </c>
      <c r="E58" s="1"/>
      <c r="F58" s="5">
        <f t="shared" si="36"/>
        <v>9.529411968116835E-5</v>
      </c>
      <c r="G58" s="1"/>
      <c r="H58" s="1">
        <f>SUM(OSRRefH22_7x_0)</f>
        <v>56.7</v>
      </c>
      <c r="I58" s="1"/>
      <c r="J58" s="5">
        <f t="shared" si="37"/>
        <v>2.2674611605298122E-4</v>
      </c>
      <c r="K58" s="1"/>
      <c r="L58" s="1">
        <f t="shared" si="38"/>
        <v>-28.040000000000003</v>
      </c>
      <c r="M58" s="1"/>
      <c r="N58" s="5">
        <f t="shared" si="39"/>
        <v>-0.49453262786596125</v>
      </c>
      <c r="O58" s="13"/>
      <c r="P58" s="1">
        <f>SUM(OSRRefP22_7x_0)</f>
        <v>61.94</v>
      </c>
      <c r="Q58" s="1"/>
      <c r="R58" s="5">
        <f t="shared" si="40"/>
        <v>4.3655825982041818E-5</v>
      </c>
      <c r="S58" s="1"/>
      <c r="T58" s="1">
        <f>SUM(OSRRefT22_7x_0)</f>
        <v>175.86</v>
      </c>
      <c r="U58" s="1"/>
      <c r="V58" s="5">
        <f t="shared" si="41"/>
        <v>1.3306908181576871E-4</v>
      </c>
      <c r="W58" s="1"/>
      <c r="X58" s="1">
        <f t="shared" si="42"/>
        <v>-113.92000000000002</v>
      </c>
      <c r="Y58" s="1"/>
      <c r="Z58" s="5">
        <f t="shared" si="43"/>
        <v>-0.64778801319231216</v>
      </c>
    </row>
    <row r="59" spans="1:26" s="24" customFormat="1" hidden="1" outlineLevel="2" x14ac:dyDescent="0.25">
      <c r="A59" s="26"/>
      <c r="B59" s="11" t="str">
        <f>CONCATENATE("          ", "6277", " - ", "EMPLOYEE APPRECIATION")</f>
        <v xml:space="preserve">          6277 - EMPLOYEE APPRECIATION</v>
      </c>
      <c r="C59" s="11"/>
      <c r="D59" s="6">
        <v>28.66</v>
      </c>
      <c r="E59" s="2"/>
      <c r="F59" s="7">
        <f t="shared" si="36"/>
        <v>9.529411968116835E-5</v>
      </c>
      <c r="G59" s="2"/>
      <c r="H59" s="6">
        <v>56.7</v>
      </c>
      <c r="I59" s="2"/>
      <c r="J59" s="7">
        <f t="shared" si="37"/>
        <v>2.2674611605298122E-4</v>
      </c>
      <c r="K59" s="2"/>
      <c r="L59" s="6">
        <f t="shared" si="38"/>
        <v>-28.040000000000003</v>
      </c>
      <c r="M59" s="2"/>
      <c r="N59" s="7">
        <f t="shared" si="39"/>
        <v>-0.49453262786596125</v>
      </c>
      <c r="O59" s="11"/>
      <c r="P59" s="6">
        <v>61.94</v>
      </c>
      <c r="Q59" s="2"/>
      <c r="R59" s="7">
        <f t="shared" si="40"/>
        <v>4.3655825982041818E-5</v>
      </c>
      <c r="S59" s="2"/>
      <c r="T59" s="6">
        <v>175.86</v>
      </c>
      <c r="U59" s="2"/>
      <c r="V59" s="7">
        <f t="shared" si="41"/>
        <v>1.3306908181576871E-4</v>
      </c>
      <c r="W59" s="2"/>
      <c r="X59" s="6">
        <f t="shared" si="42"/>
        <v>-113.92000000000002</v>
      </c>
      <c r="Y59" s="2"/>
      <c r="Z59" s="7">
        <f t="shared" si="43"/>
        <v>-0.64778801319231216</v>
      </c>
    </row>
    <row r="60" spans="1:26" s="25" customFormat="1" outlineLevel="1" collapsed="1" x14ac:dyDescent="0.25">
      <c r="A60" s="27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100.99</v>
      </c>
      <c r="E60" s="1"/>
      <c r="F60" s="5">
        <f t="shared" si="36"/>
        <v>3.3579040986047421E-4</v>
      </c>
      <c r="G60" s="1"/>
      <c r="H60" s="1">
        <f>SUM(OSRRefH22_8x_0)</f>
        <v>269.63</v>
      </c>
      <c r="I60" s="1"/>
      <c r="J60" s="5">
        <f t="shared" si="37"/>
        <v>1.0782637613997411E-3</v>
      </c>
      <c r="K60" s="1"/>
      <c r="L60" s="1">
        <f t="shared" si="38"/>
        <v>-168.64</v>
      </c>
      <c r="M60" s="1"/>
      <c r="N60" s="5">
        <f t="shared" si="39"/>
        <v>-0.62544969031635944</v>
      </c>
      <c r="O60" s="13"/>
      <c r="P60" s="1">
        <f>SUM(OSRRefP22_8x_0)</f>
        <v>573.92999999999995</v>
      </c>
      <c r="Q60" s="1"/>
      <c r="R60" s="5">
        <f t="shared" si="40"/>
        <v>4.0451062650747921E-4</v>
      </c>
      <c r="S60" s="1"/>
      <c r="T60" s="1">
        <f>SUM(OSRRefT22_8x_0)</f>
        <v>738.84</v>
      </c>
      <c r="U60" s="1"/>
      <c r="V60" s="5">
        <f t="shared" si="41"/>
        <v>5.5906266580667892E-4</v>
      </c>
      <c r="W60" s="1"/>
      <c r="X60" s="1">
        <f t="shared" si="42"/>
        <v>-164.91000000000008</v>
      </c>
      <c r="Y60" s="1"/>
      <c r="Z60" s="5">
        <f t="shared" si="43"/>
        <v>-0.22320123436738681</v>
      </c>
    </row>
    <row r="61" spans="1:26" s="24" customFormat="1" hidden="1" outlineLevel="2" x14ac:dyDescent="0.25">
      <c r="A61" s="26"/>
      <c r="B61" s="11" t="str">
        <f>CONCATENATE("          ", "6351", " - ", "EQUIPMENT RENTAL")</f>
        <v xml:space="preserve">          6351 - EQUIPMENT RENTAL</v>
      </c>
      <c r="C61" s="11"/>
      <c r="D61" s="6">
        <v>100.99</v>
      </c>
      <c r="E61" s="2"/>
      <c r="F61" s="7">
        <f t="shared" si="36"/>
        <v>3.3579040986047421E-4</v>
      </c>
      <c r="G61" s="2"/>
      <c r="H61" s="6">
        <v>269.63</v>
      </c>
      <c r="I61" s="2"/>
      <c r="J61" s="7">
        <f t="shared" si="37"/>
        <v>1.0782637613997411E-3</v>
      </c>
      <c r="K61" s="2"/>
      <c r="L61" s="6">
        <f t="shared" si="38"/>
        <v>-168.64</v>
      </c>
      <c r="M61" s="2"/>
      <c r="N61" s="7">
        <f t="shared" si="39"/>
        <v>-0.62544969031635944</v>
      </c>
      <c r="O61" s="11"/>
      <c r="P61" s="6">
        <v>573.92999999999995</v>
      </c>
      <c r="Q61" s="2"/>
      <c r="R61" s="7">
        <f t="shared" si="40"/>
        <v>4.0451062650747921E-4</v>
      </c>
      <c r="S61" s="2"/>
      <c r="T61" s="6">
        <v>738.84</v>
      </c>
      <c r="U61" s="2"/>
      <c r="V61" s="7">
        <f t="shared" si="41"/>
        <v>5.5906266580667892E-4</v>
      </c>
      <c r="W61" s="2"/>
      <c r="X61" s="6">
        <f t="shared" si="42"/>
        <v>-164.91000000000008</v>
      </c>
      <c r="Y61" s="2"/>
      <c r="Z61" s="7">
        <f t="shared" si="43"/>
        <v>-0.22320123436738681</v>
      </c>
    </row>
    <row r="62" spans="1:26" s="25" customFormat="1" outlineLevel="1" collapsed="1" x14ac:dyDescent="0.25">
      <c r="A62" s="27"/>
      <c r="B62" s="13" t="str">
        <f>CONCATENATE("     ","Freight out/Postage                               ")</f>
        <v xml:space="preserve">     Freight out/Postage                               </v>
      </c>
      <c r="C62" s="13"/>
      <c r="D62" s="1">
        <f>SUM(OSRRefD22_9x_0)</f>
        <v>17.329999999999998</v>
      </c>
      <c r="E62" s="1"/>
      <c r="F62" s="5">
        <f t="shared" si="36"/>
        <v>5.7622020030518048E-5</v>
      </c>
      <c r="G62" s="1"/>
      <c r="H62" s="1">
        <f>SUM(OSRRefH22_9x_0)</f>
        <v>8.74</v>
      </c>
      <c r="I62" s="1"/>
      <c r="J62" s="5">
        <f t="shared" si="37"/>
        <v>3.4951694079418971E-5</v>
      </c>
      <c r="K62" s="1"/>
      <c r="L62" s="1">
        <f t="shared" si="38"/>
        <v>8.5899999999999981</v>
      </c>
      <c r="M62" s="1"/>
      <c r="N62" s="5">
        <f t="shared" si="39"/>
        <v>0.98283752860411877</v>
      </c>
      <c r="O62" s="13"/>
      <c r="P62" s="1">
        <f>SUM(OSRRefP22_9x_0)</f>
        <v>188.61</v>
      </c>
      <c r="Q62" s="1"/>
      <c r="R62" s="5">
        <f t="shared" si="40"/>
        <v>1.3293389309772214E-4</v>
      </c>
      <c r="S62" s="1"/>
      <c r="T62" s="1">
        <f>SUM(OSRRefT22_9x_0)</f>
        <v>158.11000000000001</v>
      </c>
      <c r="U62" s="1"/>
      <c r="V62" s="5">
        <f t="shared" si="41"/>
        <v>1.1963807873246442E-4</v>
      </c>
      <c r="W62" s="1"/>
      <c r="X62" s="1">
        <f t="shared" si="42"/>
        <v>30.5</v>
      </c>
      <c r="Y62" s="1"/>
      <c r="Z62" s="5">
        <f t="shared" si="43"/>
        <v>0.19290367465688443</v>
      </c>
    </row>
    <row r="63" spans="1:26" s="24" customFormat="1" hidden="1" outlineLevel="2" x14ac:dyDescent="0.25">
      <c r="A63" s="26"/>
      <c r="B63" s="11" t="str">
        <f>CONCATENATE("          ", "6305", " - ", "FREIGHT OUT")</f>
        <v xml:space="preserve">          6305 - FREIGHT OUT</v>
      </c>
      <c r="C63" s="11"/>
      <c r="D63" s="6">
        <v>17.329999999999998</v>
      </c>
      <c r="E63" s="2"/>
      <c r="F63" s="7">
        <f t="shared" si="36"/>
        <v>5.7622020030518048E-5</v>
      </c>
      <c r="G63" s="2"/>
      <c r="H63" s="6">
        <v>8.74</v>
      </c>
      <c r="I63" s="2"/>
      <c r="J63" s="7">
        <f t="shared" si="37"/>
        <v>3.4951694079418971E-5</v>
      </c>
      <c r="K63" s="2"/>
      <c r="L63" s="6">
        <f t="shared" si="38"/>
        <v>8.5899999999999981</v>
      </c>
      <c r="M63" s="2"/>
      <c r="N63" s="7">
        <f t="shared" si="39"/>
        <v>0.98283752860411877</v>
      </c>
      <c r="O63" s="11"/>
      <c r="P63" s="6">
        <v>188.61</v>
      </c>
      <c r="Q63" s="2"/>
      <c r="R63" s="7">
        <f t="shared" si="40"/>
        <v>1.3293389309772214E-4</v>
      </c>
      <c r="S63" s="2"/>
      <c r="T63" s="6">
        <v>158.11000000000001</v>
      </c>
      <c r="U63" s="2"/>
      <c r="V63" s="7">
        <f t="shared" si="41"/>
        <v>1.1963807873246442E-4</v>
      </c>
      <c r="W63" s="2"/>
      <c r="X63" s="6">
        <f t="shared" si="42"/>
        <v>30.5</v>
      </c>
      <c r="Y63" s="2"/>
      <c r="Z63" s="7">
        <f t="shared" si="43"/>
        <v>0.19290367465688443</v>
      </c>
    </row>
    <row r="64" spans="1:26" s="25" customFormat="1" outlineLevel="1" collapsed="1" x14ac:dyDescent="0.25">
      <c r="A64" s="27"/>
      <c r="B64" s="13" t="str">
        <f>CONCATENATE("     ","General                                           ")</f>
        <v xml:space="preserve">     General                                           </v>
      </c>
      <c r="C64" s="13"/>
      <c r="D64" s="1">
        <f>SUM(OSRRefD22_10x_0)</f>
        <v>549.33000000000004</v>
      </c>
      <c r="E64" s="1"/>
      <c r="F64" s="5">
        <f t="shared" si="36"/>
        <v>1.8265149603787932E-3</v>
      </c>
      <c r="G64" s="1"/>
      <c r="H64" s="1">
        <f>SUM(OSRRefH22_10x_0)</f>
        <v>228.08</v>
      </c>
      <c r="I64" s="1"/>
      <c r="J64" s="5">
        <f t="shared" si="37"/>
        <v>9.1210324778419674E-4</v>
      </c>
      <c r="K64" s="1"/>
      <c r="L64" s="1">
        <f t="shared" si="38"/>
        <v>321.25</v>
      </c>
      <c r="M64" s="1"/>
      <c r="N64" s="5">
        <f t="shared" si="39"/>
        <v>1.4084970185899683</v>
      </c>
      <c r="O64" s="13"/>
      <c r="P64" s="1">
        <f>SUM(OSRRefP22_10x_0)</f>
        <v>5963.19</v>
      </c>
      <c r="Q64" s="1"/>
      <c r="R64" s="5">
        <f t="shared" si="40"/>
        <v>4.2029057949281882E-3</v>
      </c>
      <c r="S64" s="1"/>
      <c r="T64" s="1">
        <f>SUM(OSRRefT22_10x_0)</f>
        <v>6194.28</v>
      </c>
      <c r="U64" s="1"/>
      <c r="V64" s="5">
        <f t="shared" si="41"/>
        <v>4.6870644382450803E-3</v>
      </c>
      <c r="W64" s="1"/>
      <c r="X64" s="1">
        <f t="shared" si="42"/>
        <v>-231.09000000000015</v>
      </c>
      <c r="Y64" s="1"/>
      <c r="Z64" s="5">
        <f t="shared" si="43"/>
        <v>-3.7306999360700539E-2</v>
      </c>
    </row>
    <row r="65" spans="1:26" s="24" customFormat="1" hidden="1" outlineLevel="2" x14ac:dyDescent="0.25">
      <c r="A65" s="26"/>
      <c r="B65" s="11" t="str">
        <f>CONCATENATE("          ", "6279", " - ", "GENERAL EXPENSE")</f>
        <v xml:space="preserve">          6279 - GENERAL EXPENSE</v>
      </c>
      <c r="C65" s="11"/>
      <c r="D65" s="6">
        <v>549.33000000000004</v>
      </c>
      <c r="E65" s="2"/>
      <c r="F65" s="7">
        <f t="shared" si="36"/>
        <v>1.8265149603787932E-3</v>
      </c>
      <c r="G65" s="2"/>
      <c r="H65" s="6">
        <v>228.08</v>
      </c>
      <c r="I65" s="2"/>
      <c r="J65" s="7">
        <f t="shared" si="37"/>
        <v>9.1210324778419674E-4</v>
      </c>
      <c r="K65" s="2"/>
      <c r="L65" s="6">
        <f t="shared" si="38"/>
        <v>321.25</v>
      </c>
      <c r="M65" s="2"/>
      <c r="N65" s="7">
        <f t="shared" si="39"/>
        <v>1.4084970185899683</v>
      </c>
      <c r="O65" s="11"/>
      <c r="P65" s="6">
        <v>5963.19</v>
      </c>
      <c r="Q65" s="2"/>
      <c r="R65" s="7">
        <f t="shared" si="40"/>
        <v>4.2029057949281882E-3</v>
      </c>
      <c r="S65" s="2"/>
      <c r="T65" s="6">
        <v>6194.28</v>
      </c>
      <c r="U65" s="2"/>
      <c r="V65" s="7">
        <f t="shared" si="41"/>
        <v>4.6870644382450803E-3</v>
      </c>
      <c r="W65" s="2"/>
      <c r="X65" s="6">
        <f t="shared" si="42"/>
        <v>-231.09000000000015</v>
      </c>
      <c r="Y65" s="2"/>
      <c r="Z65" s="7">
        <f t="shared" si="43"/>
        <v>-3.7306999360700539E-2</v>
      </c>
    </row>
    <row r="66" spans="1:26" s="25" customFormat="1" outlineLevel="1" collapsed="1" x14ac:dyDescent="0.25">
      <c r="A66" s="27"/>
      <c r="B66" s="13" t="str">
        <f>CONCATENATE("     ","Insurance                                         ")</f>
        <v xml:space="preserve">     Insurance                                         </v>
      </c>
      <c r="C66" s="13"/>
      <c r="D66" s="1">
        <f>SUM(OSRRefD22_11x_0)</f>
        <v>243.54</v>
      </c>
      <c r="E66" s="1"/>
      <c r="F66" s="5">
        <f t="shared" si="36"/>
        <v>8.0976726821883243E-4</v>
      </c>
      <c r="G66" s="1"/>
      <c r="H66" s="1">
        <f>SUM(OSRRefH22_11x_0)</f>
        <v>229.44</v>
      </c>
      <c r="I66" s="1"/>
      <c r="J66" s="5">
        <f t="shared" si="37"/>
        <v>9.1754195532973547E-4</v>
      </c>
      <c r="K66" s="1"/>
      <c r="L66" s="1">
        <f t="shared" si="38"/>
        <v>14.099999999999994</v>
      </c>
      <c r="M66" s="1"/>
      <c r="N66" s="5">
        <f t="shared" si="39"/>
        <v>6.1453974895397466E-2</v>
      </c>
      <c r="O66" s="13"/>
      <c r="P66" s="1">
        <f>SUM(OSRRefP22_11x_0)</f>
        <v>1217.7</v>
      </c>
      <c r="Q66" s="1"/>
      <c r="R66" s="5">
        <f t="shared" si="40"/>
        <v>8.5824506455170046E-4</v>
      </c>
      <c r="S66" s="1"/>
      <c r="T66" s="1">
        <f>SUM(OSRRefT22_11x_0)</f>
        <v>1147.2</v>
      </c>
      <c r="U66" s="1"/>
      <c r="V66" s="5">
        <f t="shared" si="41"/>
        <v>8.6805897110798288E-4</v>
      </c>
      <c r="W66" s="1"/>
      <c r="X66" s="1">
        <f t="shared" si="42"/>
        <v>70.5</v>
      </c>
      <c r="Y66" s="1"/>
      <c r="Z66" s="5">
        <f t="shared" si="43"/>
        <v>6.1453974895397487E-2</v>
      </c>
    </row>
    <row r="67" spans="1:26" s="24" customFormat="1" hidden="1" outlineLevel="2" x14ac:dyDescent="0.25">
      <c r="A67" s="26"/>
      <c r="B67" s="11" t="str">
        <f>CONCATENATE("          ", "6314", " - ", "LIABILITY INSURANCE")</f>
        <v xml:space="preserve">          6314 - LIABILITY INSURANCE</v>
      </c>
      <c r="C67" s="11"/>
      <c r="D67" s="6">
        <v>243.54</v>
      </c>
      <c r="E67" s="2"/>
      <c r="F67" s="7">
        <f t="shared" si="36"/>
        <v>8.0976726821883243E-4</v>
      </c>
      <c r="G67" s="2"/>
      <c r="H67" s="6">
        <v>229.44</v>
      </c>
      <c r="I67" s="2"/>
      <c r="J67" s="7">
        <f t="shared" si="37"/>
        <v>9.1754195532973547E-4</v>
      </c>
      <c r="K67" s="2"/>
      <c r="L67" s="6">
        <f t="shared" si="38"/>
        <v>14.099999999999994</v>
      </c>
      <c r="M67" s="2"/>
      <c r="N67" s="7">
        <f t="shared" si="39"/>
        <v>6.1453974895397466E-2</v>
      </c>
      <c r="O67" s="11"/>
      <c r="P67" s="6">
        <v>1217.7</v>
      </c>
      <c r="Q67" s="2"/>
      <c r="R67" s="7">
        <f t="shared" si="40"/>
        <v>8.5824506455170046E-4</v>
      </c>
      <c r="S67" s="2"/>
      <c r="T67" s="6">
        <v>1147.2</v>
      </c>
      <c r="U67" s="2"/>
      <c r="V67" s="7">
        <f t="shared" si="41"/>
        <v>8.6805897110798288E-4</v>
      </c>
      <c r="W67" s="2"/>
      <c r="X67" s="6">
        <f t="shared" si="42"/>
        <v>70.5</v>
      </c>
      <c r="Y67" s="2"/>
      <c r="Z67" s="7">
        <f t="shared" si="43"/>
        <v>6.1453974895397487E-2</v>
      </c>
    </row>
    <row r="68" spans="1:26" s="25" customFormat="1" outlineLevel="1" collapsed="1" x14ac:dyDescent="0.25">
      <c r="A68" s="27"/>
      <c r="B68" s="13" t="str">
        <f>CONCATENATE("     ","Interest                                          ")</f>
        <v xml:space="preserve">     Interest                                          </v>
      </c>
      <c r="C68" s="13"/>
      <c r="D68" s="1">
        <f>SUM(OSRRefD22_12x_0)</f>
        <v>4175</v>
      </c>
      <c r="E68" s="1"/>
      <c r="F68" s="5">
        <f t="shared" si="36"/>
        <v>1.3881819597657986E-2</v>
      </c>
      <c r="G68" s="1"/>
      <c r="H68" s="1">
        <f>SUM(OSRRefH22_12x_0)</f>
        <v>4280</v>
      </c>
      <c r="I68" s="1"/>
      <c r="J68" s="5">
        <f t="shared" si="37"/>
        <v>1.711593256978412E-2</v>
      </c>
      <c r="K68" s="1"/>
      <c r="L68" s="1">
        <f t="shared" si="38"/>
        <v>-105</v>
      </c>
      <c r="M68" s="1"/>
      <c r="N68" s="5">
        <f t="shared" si="39"/>
        <v>-2.4532710280373831E-2</v>
      </c>
      <c r="O68" s="13"/>
      <c r="P68" s="1">
        <f>SUM(OSRRefP22_12x_0)</f>
        <v>20668.95</v>
      </c>
      <c r="Q68" s="1"/>
      <c r="R68" s="5">
        <f t="shared" si="40"/>
        <v>1.4567647472255786E-2</v>
      </c>
      <c r="S68" s="1"/>
      <c r="T68" s="1">
        <f>SUM(OSRRefT22_12x_0)</f>
        <v>21184.9</v>
      </c>
      <c r="U68" s="1"/>
      <c r="V68" s="5">
        <f t="shared" si="41"/>
        <v>1.6030110265886948E-2</v>
      </c>
      <c r="W68" s="1"/>
      <c r="X68" s="1">
        <f t="shared" si="42"/>
        <v>-515.95000000000073</v>
      </c>
      <c r="Y68" s="1"/>
      <c r="Z68" s="5">
        <f t="shared" si="43"/>
        <v>-2.4354611067316848E-2</v>
      </c>
    </row>
    <row r="69" spans="1:26" s="24" customFormat="1" hidden="1" outlineLevel="2" x14ac:dyDescent="0.25">
      <c r="A69" s="26"/>
      <c r="B69" s="11" t="str">
        <f>CONCATENATE("          ", "6401", " - ", "INTEREST EXPENSE")</f>
        <v xml:space="preserve">          6401 - INTEREST EXPENSE</v>
      </c>
      <c r="C69" s="11"/>
      <c r="D69" s="6">
        <v>4175</v>
      </c>
      <c r="E69" s="2"/>
      <c r="F69" s="7">
        <f t="shared" si="36"/>
        <v>1.3881819597657986E-2</v>
      </c>
      <c r="G69" s="2"/>
      <c r="H69" s="6">
        <v>4280</v>
      </c>
      <c r="I69" s="2"/>
      <c r="J69" s="7">
        <f t="shared" si="37"/>
        <v>1.711593256978412E-2</v>
      </c>
      <c r="K69" s="2"/>
      <c r="L69" s="6">
        <f t="shared" si="38"/>
        <v>-105</v>
      </c>
      <c r="M69" s="2"/>
      <c r="N69" s="7">
        <f t="shared" si="39"/>
        <v>-2.4532710280373831E-2</v>
      </c>
      <c r="O69" s="11"/>
      <c r="P69" s="6">
        <v>20668.95</v>
      </c>
      <c r="Q69" s="2"/>
      <c r="R69" s="7">
        <f t="shared" si="40"/>
        <v>1.4567647472255786E-2</v>
      </c>
      <c r="S69" s="2"/>
      <c r="T69" s="6">
        <v>21184.9</v>
      </c>
      <c r="U69" s="2"/>
      <c r="V69" s="7">
        <f t="shared" si="41"/>
        <v>1.6030110265886948E-2</v>
      </c>
      <c r="W69" s="2"/>
      <c r="X69" s="6">
        <f t="shared" si="42"/>
        <v>-515.95000000000073</v>
      </c>
      <c r="Y69" s="2"/>
      <c r="Z69" s="7">
        <f t="shared" si="43"/>
        <v>-2.4354611067316848E-2</v>
      </c>
    </row>
    <row r="70" spans="1:26" s="25" customFormat="1" outlineLevel="1" collapsed="1" x14ac:dyDescent="0.25">
      <c r="A70" s="27"/>
      <c r="B70" s="13" t="str">
        <f>CONCATENATE("     ","Rent                                              ")</f>
        <v xml:space="preserve">     Rent                                              </v>
      </c>
      <c r="C70" s="13"/>
      <c r="D70" s="1">
        <f>SUM(OSRRefD22_13x_0)</f>
        <v>1150</v>
      </c>
      <c r="E70" s="1"/>
      <c r="F70" s="5">
        <f t="shared" si="36"/>
        <v>3.8237347394746548E-3</v>
      </c>
      <c r="G70" s="1"/>
      <c r="H70" s="1">
        <f>SUM(OSRRefH22_13x_0)</f>
        <v>1150</v>
      </c>
      <c r="I70" s="1"/>
      <c r="J70" s="5">
        <f t="shared" si="37"/>
        <v>4.5989071157130227E-3</v>
      </c>
      <c r="K70" s="1"/>
      <c r="L70" s="1">
        <f t="shared" si="38"/>
        <v>0</v>
      </c>
      <c r="M70" s="1"/>
      <c r="N70" s="5">
        <f t="shared" si="39"/>
        <v>0</v>
      </c>
      <c r="O70" s="13"/>
      <c r="P70" s="1">
        <f>SUM(OSRRefP22_13x_0)</f>
        <v>5750</v>
      </c>
      <c r="Q70" s="1"/>
      <c r="R70" s="5">
        <f t="shared" si="40"/>
        <v>4.0526477138640698E-3</v>
      </c>
      <c r="S70" s="1"/>
      <c r="T70" s="1">
        <f>SUM(OSRRefT22_13x_0)</f>
        <v>5750</v>
      </c>
      <c r="U70" s="1"/>
      <c r="V70" s="5">
        <f t="shared" si="41"/>
        <v>4.350888322760549E-3</v>
      </c>
      <c r="W70" s="1"/>
      <c r="X70" s="1">
        <f t="shared" si="42"/>
        <v>0</v>
      </c>
      <c r="Y70" s="1"/>
      <c r="Z70" s="5">
        <f t="shared" si="43"/>
        <v>0</v>
      </c>
    </row>
    <row r="71" spans="1:26" s="24" customFormat="1" hidden="1" outlineLevel="2" x14ac:dyDescent="0.25">
      <c r="A71" s="26"/>
      <c r="B71" s="11" t="str">
        <f>CONCATENATE("          ", "6273", " - ", "RENT")</f>
        <v xml:space="preserve">          6273 - RENT</v>
      </c>
      <c r="C71" s="11"/>
      <c r="D71" s="6">
        <v>1150</v>
      </c>
      <c r="E71" s="2"/>
      <c r="F71" s="7">
        <f t="shared" si="36"/>
        <v>3.8237347394746548E-3</v>
      </c>
      <c r="G71" s="2"/>
      <c r="H71" s="6">
        <v>1150</v>
      </c>
      <c r="I71" s="2"/>
      <c r="J71" s="7">
        <f t="shared" si="37"/>
        <v>4.5989071157130227E-3</v>
      </c>
      <c r="K71" s="2"/>
      <c r="L71" s="6">
        <f t="shared" si="38"/>
        <v>0</v>
      </c>
      <c r="M71" s="2"/>
      <c r="N71" s="7">
        <f t="shared" si="39"/>
        <v>0</v>
      </c>
      <c r="O71" s="11"/>
      <c r="P71" s="6">
        <v>5750</v>
      </c>
      <c r="Q71" s="2"/>
      <c r="R71" s="7">
        <f t="shared" si="40"/>
        <v>4.0526477138640698E-3</v>
      </c>
      <c r="S71" s="2"/>
      <c r="T71" s="6">
        <v>5750</v>
      </c>
      <c r="U71" s="2"/>
      <c r="V71" s="7">
        <f t="shared" si="41"/>
        <v>4.350888322760549E-3</v>
      </c>
      <c r="W71" s="2"/>
      <c r="X71" s="6">
        <f t="shared" si="42"/>
        <v>0</v>
      </c>
      <c r="Y71" s="2"/>
      <c r="Z71" s="7">
        <f t="shared" si="43"/>
        <v>0</v>
      </c>
    </row>
    <row r="72" spans="1:26" s="25" customFormat="1" outlineLevel="1" collapsed="1" x14ac:dyDescent="0.25">
      <c r="A72" s="27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SUM(OSRRefD22_14x_0)</f>
        <v>1371.4</v>
      </c>
      <c r="E72" s="1"/>
      <c r="F72" s="5">
        <f t="shared" si="36"/>
        <v>4.5598868014917757E-3</v>
      </c>
      <c r="G72" s="1"/>
      <c r="H72" s="1">
        <f>SUM(OSRRefH22_14x_0)</f>
        <v>454.84</v>
      </c>
      <c r="I72" s="1"/>
      <c r="J72" s="5">
        <f t="shared" si="37"/>
        <v>1.8189277500094878E-3</v>
      </c>
      <c r="K72" s="1"/>
      <c r="L72" s="1">
        <f t="shared" si="38"/>
        <v>916.56000000000017</v>
      </c>
      <c r="M72" s="1"/>
      <c r="N72" s="5">
        <f t="shared" si="39"/>
        <v>2.0151261982235518</v>
      </c>
      <c r="O72" s="13"/>
      <c r="P72" s="1">
        <f>SUM(OSRRefP22_14x_0)</f>
        <v>11169.2</v>
      </c>
      <c r="Q72" s="1"/>
      <c r="R72" s="5">
        <f t="shared" si="40"/>
        <v>7.8721448427287941E-3</v>
      </c>
      <c r="S72" s="1"/>
      <c r="T72" s="1">
        <f>SUM(OSRRefT22_14x_0)</f>
        <v>4438.2</v>
      </c>
      <c r="U72" s="1"/>
      <c r="V72" s="5">
        <f t="shared" si="41"/>
        <v>3.3582804441871072E-3</v>
      </c>
      <c r="W72" s="1"/>
      <c r="X72" s="1">
        <f t="shared" si="42"/>
        <v>6731.0000000000009</v>
      </c>
      <c r="Y72" s="1"/>
      <c r="Z72" s="5">
        <f t="shared" si="43"/>
        <v>1.5166058311928261</v>
      </c>
    </row>
    <row r="73" spans="1:26" s="24" customFormat="1" hidden="1" outlineLevel="2" x14ac:dyDescent="0.25">
      <c r="A73" s="26"/>
      <c r="B73" s="11" t="str">
        <f>CONCATENATE("          ", "6371", " - ", "COMPUTER SOFTWARE MAINTENANCE")</f>
        <v xml:space="preserve">          6371 - COMPUTER SOFTWARE MAINTENANCE</v>
      </c>
      <c r="C73" s="11"/>
      <c r="D73" s="6"/>
      <c r="E73" s="2"/>
      <c r="F73" s="7">
        <f t="shared" si="36"/>
        <v>0</v>
      </c>
      <c r="G73" s="2"/>
      <c r="H73" s="6"/>
      <c r="I73" s="2"/>
      <c r="J73" s="7">
        <f t="shared" si="37"/>
        <v>0</v>
      </c>
      <c r="K73" s="2"/>
      <c r="L73" s="6">
        <f t="shared" si="38"/>
        <v>0</v>
      </c>
      <c r="M73" s="2"/>
      <c r="N73" s="7">
        <f t="shared" si="39"/>
        <v>0</v>
      </c>
      <c r="O73" s="11"/>
      <c r="P73" s="6">
        <v>1311.93</v>
      </c>
      <c r="Q73" s="2"/>
      <c r="R73" s="7">
        <f t="shared" si="40"/>
        <v>9.2465915047820681E-4</v>
      </c>
      <c r="S73" s="2"/>
      <c r="T73" s="6"/>
      <c r="U73" s="2"/>
      <c r="V73" s="7">
        <f t="shared" si="41"/>
        <v>0</v>
      </c>
      <c r="W73" s="2"/>
      <c r="X73" s="6">
        <f t="shared" si="42"/>
        <v>1311.93</v>
      </c>
      <c r="Y73" s="2"/>
      <c r="Z73" s="7">
        <f t="shared" si="43"/>
        <v>0</v>
      </c>
    </row>
    <row r="74" spans="1:26" s="24" customFormat="1" hidden="1" outlineLevel="2" x14ac:dyDescent="0.25">
      <c r="A74" s="26"/>
      <c r="B74" s="11" t="str">
        <f>CONCATENATE("          ", "6373", " - ", "MAINTENANCE CONTRACTS")</f>
        <v xml:space="preserve">          6373 - MAINTENANCE CONTRACTS</v>
      </c>
      <c r="C74" s="11"/>
      <c r="D74" s="6"/>
      <c r="E74" s="2"/>
      <c r="F74" s="7">
        <f t="shared" si="36"/>
        <v>0</v>
      </c>
      <c r="G74" s="2"/>
      <c r="H74" s="6"/>
      <c r="I74" s="2"/>
      <c r="J74" s="7">
        <f t="shared" si="37"/>
        <v>0</v>
      </c>
      <c r="K74" s="2"/>
      <c r="L74" s="6">
        <f t="shared" si="38"/>
        <v>0</v>
      </c>
      <c r="M74" s="2"/>
      <c r="N74" s="7">
        <f t="shared" si="39"/>
        <v>0</v>
      </c>
      <c r="O74" s="11"/>
      <c r="P74" s="6">
        <v>285.32</v>
      </c>
      <c r="Q74" s="2"/>
      <c r="R74" s="7">
        <f t="shared" si="40"/>
        <v>2.0109590360342544E-4</v>
      </c>
      <c r="S74" s="2"/>
      <c r="T74" s="6">
        <v>402.68</v>
      </c>
      <c r="U74" s="2"/>
      <c r="V74" s="7">
        <f t="shared" si="41"/>
        <v>3.0469838431464657E-4</v>
      </c>
      <c r="W74" s="2"/>
      <c r="X74" s="6">
        <f t="shared" si="42"/>
        <v>-117.36000000000001</v>
      </c>
      <c r="Y74" s="2"/>
      <c r="Z74" s="7">
        <f t="shared" si="43"/>
        <v>-0.29144730306943484</v>
      </c>
    </row>
    <row r="75" spans="1:26" s="24" customFormat="1" hidden="1" outlineLevel="2" x14ac:dyDescent="0.25">
      <c r="A75" s="26"/>
      <c r="B75" s="11" t="str">
        <f>CONCATENATE("          ", "6375", " - ", "OUTSIDE REPAIRS &amp; MAINTENANCE")</f>
        <v xml:space="preserve">          6375 - OUTSIDE REPAIRS &amp; MAINTENANCE</v>
      </c>
      <c r="C75" s="11"/>
      <c r="D75" s="6">
        <v>1371.4</v>
      </c>
      <c r="E75" s="2"/>
      <c r="F75" s="7">
        <f t="shared" si="36"/>
        <v>4.5598868014917757E-3</v>
      </c>
      <c r="G75" s="2"/>
      <c r="H75" s="6">
        <v>454.84</v>
      </c>
      <c r="I75" s="2"/>
      <c r="J75" s="7">
        <f t="shared" si="37"/>
        <v>1.8189277500094878E-3</v>
      </c>
      <c r="K75" s="2"/>
      <c r="L75" s="6">
        <f t="shared" si="38"/>
        <v>916.56000000000017</v>
      </c>
      <c r="M75" s="2"/>
      <c r="N75" s="7">
        <f t="shared" si="39"/>
        <v>2.0151261982235518</v>
      </c>
      <c r="O75" s="11"/>
      <c r="P75" s="6">
        <v>9571.9500000000007</v>
      </c>
      <c r="Q75" s="2"/>
      <c r="R75" s="7">
        <f t="shared" si="40"/>
        <v>6.7463897886471625E-3</v>
      </c>
      <c r="S75" s="2"/>
      <c r="T75" s="6">
        <v>4035.52</v>
      </c>
      <c r="U75" s="2"/>
      <c r="V75" s="7">
        <f t="shared" si="41"/>
        <v>3.0535820598724607E-3</v>
      </c>
      <c r="W75" s="2"/>
      <c r="X75" s="6">
        <f t="shared" si="42"/>
        <v>5536.43</v>
      </c>
      <c r="Y75" s="2"/>
      <c r="Z75" s="7">
        <f t="shared" si="43"/>
        <v>1.371924807707557</v>
      </c>
    </row>
    <row r="76" spans="1:26" s="25" customFormat="1" outlineLevel="1" collapsed="1" x14ac:dyDescent="0.25">
      <c r="A76" s="27"/>
      <c r="B76" s="13" t="str">
        <f>CONCATENATE("     ","Royalty &amp; Commissions                             ")</f>
        <v xml:space="preserve">     Royalty &amp; Commissions                             </v>
      </c>
      <c r="C76" s="13"/>
      <c r="D76" s="1">
        <f>SUM(OSRRefD22_15x_0)</f>
        <v>0</v>
      </c>
      <c r="E76" s="1"/>
      <c r="F76" s="5">
        <f t="shared" ref="F76:F82" si="44">IF(D$12=0,0,D76/D$12)</f>
        <v>0</v>
      </c>
      <c r="G76" s="1"/>
      <c r="H76" s="1">
        <f>SUM(OSRRefH22_15x_0)</f>
        <v>0</v>
      </c>
      <c r="I76" s="1"/>
      <c r="J76" s="5">
        <f t="shared" ref="J76:J82" si="45">IF(H$12=0,0,H76/H$12)</f>
        <v>0</v>
      </c>
      <c r="K76" s="1"/>
      <c r="L76" s="1">
        <f t="shared" ref="L76:L82" si="46">+D76-H76</f>
        <v>0</v>
      </c>
      <c r="M76" s="1"/>
      <c r="N76" s="5">
        <f t="shared" ref="N76:N82" si="47">IF(H76=0,0,L76/H76)</f>
        <v>0</v>
      </c>
      <c r="O76" s="13"/>
      <c r="P76" s="1">
        <f>SUM(OSRRefP22_15x_0)</f>
        <v>5673.45</v>
      </c>
      <c r="Q76" s="1"/>
      <c r="R76" s="5">
        <f t="shared" ref="R76:R82" si="48">IF(P$12=0,0,P76/P$12)</f>
        <v>3.9986946386473231E-3</v>
      </c>
      <c r="S76" s="1"/>
      <c r="T76" s="1">
        <f>SUM(OSRRefT22_15x_0)</f>
        <v>5350.8</v>
      </c>
      <c r="U76" s="1"/>
      <c r="V76" s="5">
        <f t="shared" ref="V76:V82" si="49">IF(T$12=0,0,T76/T$12)</f>
        <v>4.0488231717264603E-3</v>
      </c>
      <c r="W76" s="1"/>
      <c r="X76" s="1">
        <f t="shared" ref="X76:X82" si="50">+P76-T76</f>
        <v>322.64999999999964</v>
      </c>
      <c r="Y76" s="1"/>
      <c r="Z76" s="5">
        <f t="shared" ref="Z76:Z82" si="51">IF(T76=0,0,X76/T76)</f>
        <v>6.0299394483067884E-2</v>
      </c>
    </row>
    <row r="77" spans="1:26" s="24" customFormat="1" hidden="1" outlineLevel="2" x14ac:dyDescent="0.25">
      <c r="A77" s="26"/>
      <c r="B77" s="11" t="str">
        <f>CONCATENATE("          ", "6254", " - ", "ROYALTY &amp; COMMISSIONS")</f>
        <v xml:space="preserve">          6254 - ROYALTY &amp; COMMISSIONS</v>
      </c>
      <c r="C77" s="11"/>
      <c r="D77" s="6"/>
      <c r="E77" s="2"/>
      <c r="F77" s="7">
        <f t="shared" si="44"/>
        <v>0</v>
      </c>
      <c r="G77" s="2"/>
      <c r="H77" s="6"/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1"/>
      <c r="P77" s="6">
        <v>5673.45</v>
      </c>
      <c r="Q77" s="2"/>
      <c r="R77" s="7">
        <f t="shared" si="48"/>
        <v>3.9986946386473231E-3</v>
      </c>
      <c r="S77" s="2"/>
      <c r="T77" s="6">
        <v>5350.8</v>
      </c>
      <c r="U77" s="2"/>
      <c r="V77" s="7">
        <f t="shared" si="49"/>
        <v>4.0488231717264603E-3</v>
      </c>
      <c r="W77" s="2"/>
      <c r="X77" s="6">
        <f t="shared" si="50"/>
        <v>322.64999999999964</v>
      </c>
      <c r="Y77" s="2"/>
      <c r="Z77" s="7">
        <f t="shared" si="51"/>
        <v>6.0299394483067884E-2</v>
      </c>
    </row>
    <row r="78" spans="1:26" s="25" customFormat="1" outlineLevel="1" collapsed="1" x14ac:dyDescent="0.25">
      <c r="A78" s="27"/>
      <c r="B78" s="13" t="str">
        <f>CONCATENATE("     ","Services                                          ")</f>
        <v xml:space="preserve">     Services                                          </v>
      </c>
      <c r="C78" s="13"/>
      <c r="D78" s="1">
        <f>SUM(OSRRefD22_16x_0)</f>
        <v>1523.54</v>
      </c>
      <c r="E78" s="1"/>
      <c r="F78" s="5">
        <f t="shared" si="44"/>
        <v>5.0657502825906219E-3</v>
      </c>
      <c r="G78" s="1"/>
      <c r="H78" s="1">
        <f>SUM(OSRRefH22_16x_0)</f>
        <v>1551.65</v>
      </c>
      <c r="I78" s="1"/>
      <c r="J78" s="5">
        <f t="shared" si="45"/>
        <v>6.2051254139966188E-3</v>
      </c>
      <c r="K78" s="1"/>
      <c r="L78" s="1">
        <f t="shared" si="46"/>
        <v>-28.110000000000127</v>
      </c>
      <c r="M78" s="1"/>
      <c r="N78" s="5">
        <f t="shared" si="47"/>
        <v>-1.8116198885057923E-2</v>
      </c>
      <c r="O78" s="13"/>
      <c r="P78" s="1">
        <f>SUM(OSRRefP22_16x_0)</f>
        <v>8084.99</v>
      </c>
      <c r="Q78" s="1"/>
      <c r="R78" s="5">
        <f t="shared" si="48"/>
        <v>5.6983680417589328E-3</v>
      </c>
      <c r="S78" s="1"/>
      <c r="T78" s="1">
        <f>SUM(OSRRefT22_16x_0)</f>
        <v>8837.94</v>
      </c>
      <c r="U78" s="1"/>
      <c r="V78" s="5">
        <f t="shared" si="49"/>
        <v>6.6874591205666727E-3</v>
      </c>
      <c r="W78" s="1"/>
      <c r="X78" s="1">
        <f t="shared" si="50"/>
        <v>-752.95000000000073</v>
      </c>
      <c r="Y78" s="1"/>
      <c r="Z78" s="5">
        <f t="shared" si="51"/>
        <v>-8.5195192544869125E-2</v>
      </c>
    </row>
    <row r="79" spans="1:26" s="24" customFormat="1" hidden="1" outlineLevel="2" x14ac:dyDescent="0.25">
      <c r="A79" s="26"/>
      <c r="B79" s="11" t="str">
        <f>CONCATENATE("          ", "6282", " - ", "JANITORIAL/EXTERMINATOR EXPENS")</f>
        <v xml:space="preserve">          6282 - JANITORIAL/EXTERMINATOR EXPENS</v>
      </c>
      <c r="C79" s="11"/>
      <c r="D79" s="6">
        <v>299.74</v>
      </c>
      <c r="E79" s="2"/>
      <c r="F79" s="7">
        <f t="shared" si="44"/>
        <v>9.966315224435938E-4</v>
      </c>
      <c r="G79" s="2"/>
      <c r="H79" s="6">
        <v>640.59</v>
      </c>
      <c r="I79" s="2"/>
      <c r="J79" s="7">
        <f t="shared" si="45"/>
        <v>2.5617512254387871E-3</v>
      </c>
      <c r="K79" s="2"/>
      <c r="L79" s="6">
        <f t="shared" si="46"/>
        <v>-340.85</v>
      </c>
      <c r="M79" s="2"/>
      <c r="N79" s="7">
        <f t="shared" si="47"/>
        <v>-0.53208760673753885</v>
      </c>
      <c r="O79" s="11"/>
      <c r="P79" s="6">
        <v>2879.14</v>
      </c>
      <c r="Q79" s="2"/>
      <c r="R79" s="7">
        <f t="shared" si="48"/>
        <v>2.0292417632860171E-3</v>
      </c>
      <c r="S79" s="2"/>
      <c r="T79" s="6">
        <v>3125.95</v>
      </c>
      <c r="U79" s="2"/>
      <c r="V79" s="7">
        <f t="shared" si="49"/>
        <v>2.3653320613101457E-3</v>
      </c>
      <c r="W79" s="2"/>
      <c r="X79" s="6">
        <f t="shared" si="50"/>
        <v>-246.80999999999995</v>
      </c>
      <c r="Y79" s="2"/>
      <c r="Z79" s="7">
        <f t="shared" si="51"/>
        <v>-7.8955197619923534E-2</v>
      </c>
    </row>
    <row r="80" spans="1:26" s="24" customFormat="1" hidden="1" outlineLevel="2" x14ac:dyDescent="0.25">
      <c r="A80" s="26"/>
      <c r="B80" s="11" t="str">
        <f>CONCATENATE("          ", "6284", " - ", "TRASH REMOVAL EXPENSE")</f>
        <v xml:space="preserve">          6284 - TRASH REMOVAL EXPENSE</v>
      </c>
      <c r="C80" s="11"/>
      <c r="D80" s="6">
        <v>237</v>
      </c>
      <c r="E80" s="2"/>
      <c r="F80" s="7">
        <f t="shared" si="44"/>
        <v>7.8802185500477658E-4</v>
      </c>
      <c r="G80" s="2"/>
      <c r="H80" s="6">
        <v>237</v>
      </c>
      <c r="I80" s="2"/>
      <c r="J80" s="7">
        <f t="shared" si="45"/>
        <v>9.4777477080346638E-4</v>
      </c>
      <c r="K80" s="2"/>
      <c r="L80" s="6">
        <f t="shared" si="46"/>
        <v>0</v>
      </c>
      <c r="M80" s="2"/>
      <c r="N80" s="7">
        <f t="shared" si="47"/>
        <v>0</v>
      </c>
      <c r="O80" s="11"/>
      <c r="P80" s="6">
        <v>948</v>
      </c>
      <c r="Q80" s="2"/>
      <c r="R80" s="7">
        <f t="shared" si="48"/>
        <v>6.6815826656402397E-4</v>
      </c>
      <c r="S80" s="2"/>
      <c r="T80" s="6">
        <v>1755.73</v>
      </c>
      <c r="U80" s="2"/>
      <c r="V80" s="7">
        <f t="shared" si="49"/>
        <v>1.328519157377457E-3</v>
      </c>
      <c r="W80" s="2"/>
      <c r="X80" s="6">
        <f t="shared" si="50"/>
        <v>-807.73</v>
      </c>
      <c r="Y80" s="2"/>
      <c r="Z80" s="7">
        <f t="shared" si="51"/>
        <v>-0.46005365289651601</v>
      </c>
    </row>
    <row r="81" spans="1:26" s="24" customFormat="1" hidden="1" outlineLevel="2" x14ac:dyDescent="0.25">
      <c r="A81" s="26"/>
      <c r="B81" s="11" t="str">
        <f>CONCATENATE("          ", "6285", " - ", "JANITORIAL SERVICES")</f>
        <v xml:space="preserve">          6285 - JANITORIAL SERVICES</v>
      </c>
      <c r="C81" s="11"/>
      <c r="D81" s="6">
        <v>227.84</v>
      </c>
      <c r="E81" s="2"/>
      <c r="F81" s="7">
        <f t="shared" si="44"/>
        <v>7.5756497655817857E-4</v>
      </c>
      <c r="G81" s="2"/>
      <c r="H81" s="6">
        <v>91.25</v>
      </c>
      <c r="I81" s="2"/>
      <c r="J81" s="7">
        <f t="shared" si="45"/>
        <v>3.6491328200766372E-4</v>
      </c>
      <c r="K81" s="2"/>
      <c r="L81" s="6">
        <f t="shared" si="46"/>
        <v>136.59</v>
      </c>
      <c r="M81" s="2"/>
      <c r="N81" s="7">
        <f t="shared" si="47"/>
        <v>1.4968767123287672</v>
      </c>
      <c r="O81" s="11"/>
      <c r="P81" s="6">
        <v>526.15</v>
      </c>
      <c r="Q81" s="2"/>
      <c r="R81" s="7">
        <f t="shared" si="48"/>
        <v>3.7083488602601396E-4</v>
      </c>
      <c r="S81" s="2"/>
      <c r="T81" s="6">
        <v>556.25</v>
      </c>
      <c r="U81" s="2"/>
      <c r="V81" s="7">
        <f t="shared" si="49"/>
        <v>4.2090115296270527E-4</v>
      </c>
      <c r="W81" s="2"/>
      <c r="X81" s="6">
        <f t="shared" si="50"/>
        <v>-30.100000000000023</v>
      </c>
      <c r="Y81" s="2"/>
      <c r="Z81" s="7">
        <f t="shared" si="51"/>
        <v>-5.4112359550561838E-2</v>
      </c>
    </row>
    <row r="82" spans="1:26" s="24" customFormat="1" hidden="1" outlineLevel="2" x14ac:dyDescent="0.25">
      <c r="A82" s="26"/>
      <c r="B82" s="11" t="str">
        <f>CONCATENATE("          ", "6286", " - ", "LAUNDRY EXPENSE")</f>
        <v xml:space="preserve">          6286 - LAUNDRY EXPENSE</v>
      </c>
      <c r="C82" s="11"/>
      <c r="D82" s="6">
        <v>758.96</v>
      </c>
      <c r="E82" s="2"/>
      <c r="F82" s="7">
        <f t="shared" si="44"/>
        <v>2.5235319285840732E-3</v>
      </c>
      <c r="G82" s="2"/>
      <c r="H82" s="6">
        <v>582.80999999999995</v>
      </c>
      <c r="I82" s="2"/>
      <c r="J82" s="7">
        <f t="shared" si="45"/>
        <v>2.330686135746701E-3</v>
      </c>
      <c r="K82" s="2"/>
      <c r="L82" s="6">
        <f t="shared" si="46"/>
        <v>176.15000000000009</v>
      </c>
      <c r="M82" s="2"/>
      <c r="N82" s="7">
        <f t="shared" si="47"/>
        <v>0.30224258334620219</v>
      </c>
      <c r="O82" s="11"/>
      <c r="P82" s="6">
        <v>3731.7</v>
      </c>
      <c r="Q82" s="2"/>
      <c r="R82" s="7">
        <f t="shared" si="48"/>
        <v>2.6301331258828781E-3</v>
      </c>
      <c r="S82" s="2"/>
      <c r="T82" s="6">
        <v>3400.01</v>
      </c>
      <c r="U82" s="2"/>
      <c r="V82" s="7">
        <f t="shared" si="49"/>
        <v>2.5727067489163644E-3</v>
      </c>
      <c r="W82" s="2"/>
      <c r="X82" s="6">
        <f t="shared" si="50"/>
        <v>331.6899999999996</v>
      </c>
      <c r="Y82" s="2"/>
      <c r="Z82" s="7">
        <f t="shared" si="51"/>
        <v>9.7555595424719213E-2</v>
      </c>
    </row>
    <row r="83" spans="1:26" s="25" customFormat="1" outlineLevel="1" collapsed="1" x14ac:dyDescent="0.25">
      <c r="A83" s="27"/>
      <c r="B83" s="13" t="str">
        <f>CONCATENATE("     ","Subscriptions &amp; Dues                              ")</f>
        <v xml:space="preserve">     Subscriptions &amp; Dues                              </v>
      </c>
      <c r="C83" s="13"/>
      <c r="D83" s="1">
        <f>SUM(OSRRefD22_17x_0)</f>
        <v>0</v>
      </c>
      <c r="E83" s="1"/>
      <c r="F83" s="5">
        <f t="shared" ref="F83:F85" si="52">IF(D$12=0,0,D83/D$12)</f>
        <v>0</v>
      </c>
      <c r="G83" s="1"/>
      <c r="H83" s="1">
        <f>SUM(OSRRefH22_17x_0)</f>
        <v>221.4</v>
      </c>
      <c r="I83" s="1"/>
      <c r="J83" s="5">
        <f t="shared" ref="J83:J85" si="53">IF(H$12=0,0,H83/H$12)</f>
        <v>8.8538959601640278E-4</v>
      </c>
      <c r="K83" s="1"/>
      <c r="L83" s="1">
        <f t="shared" ref="L83:L85" si="54">+D83-H83</f>
        <v>-221.4</v>
      </c>
      <c r="M83" s="1"/>
      <c r="N83" s="5">
        <f t="shared" ref="N83:N85" si="55">IF(H83=0,0,L83/H83)</f>
        <v>-1</v>
      </c>
      <c r="O83" s="13"/>
      <c r="P83" s="1">
        <f>SUM(OSRRefP22_17x_0)</f>
        <v>705.6</v>
      </c>
      <c r="Q83" s="1"/>
      <c r="R83" s="5">
        <f t="shared" ref="R83:R85" si="56">IF(P$12=0,0,P83/P$12)</f>
        <v>4.9731273511347614E-4</v>
      </c>
      <c r="S83" s="1"/>
      <c r="T83" s="1">
        <f>SUM(OSRRefT22_17x_0)</f>
        <v>422.78000000000003</v>
      </c>
      <c r="U83" s="1"/>
      <c r="V83" s="5">
        <f t="shared" ref="V83:V85" si="57">IF(T$12=0,0,T83/T$12)</f>
        <v>3.1990757653855737E-4</v>
      </c>
      <c r="W83" s="1"/>
      <c r="X83" s="1">
        <f t="shared" ref="X83:X85" si="58">+P83-T83</f>
        <v>282.82</v>
      </c>
      <c r="Y83" s="1"/>
      <c r="Z83" s="5">
        <f t="shared" ref="Z83:Z85" si="59">IF(T83=0,0,X83/T83)</f>
        <v>0.6689531198259141</v>
      </c>
    </row>
    <row r="84" spans="1:26" s="24" customFormat="1" hidden="1" outlineLevel="2" x14ac:dyDescent="0.25">
      <c r="A84" s="26"/>
      <c r="B84" s="11" t="str">
        <f>CONCATENATE("          ", "6258", " - ", "MEMBERSHIP DUES")</f>
        <v xml:space="preserve">          6258 - MEMBERSHIP DUES</v>
      </c>
      <c r="C84" s="11"/>
      <c r="D84" s="6"/>
      <c r="E84" s="2"/>
      <c r="F84" s="7">
        <f t="shared" si="52"/>
        <v>0</v>
      </c>
      <c r="G84" s="2"/>
      <c r="H84" s="6">
        <v>45</v>
      </c>
      <c r="I84" s="2"/>
      <c r="J84" s="7">
        <f t="shared" si="53"/>
        <v>1.7995723496268349E-4</v>
      </c>
      <c r="K84" s="2"/>
      <c r="L84" s="6">
        <f t="shared" si="54"/>
        <v>-45</v>
      </c>
      <c r="M84" s="2"/>
      <c r="N84" s="7">
        <f t="shared" si="55"/>
        <v>-1</v>
      </c>
      <c r="O84" s="11"/>
      <c r="P84" s="6"/>
      <c r="Q84" s="2"/>
      <c r="R84" s="7">
        <f t="shared" si="56"/>
        <v>0</v>
      </c>
      <c r="S84" s="2"/>
      <c r="T84" s="6">
        <v>76.8</v>
      </c>
      <c r="U84" s="2"/>
      <c r="V84" s="7">
        <f t="shared" si="57"/>
        <v>5.8112734467480021E-5</v>
      </c>
      <c r="W84" s="2"/>
      <c r="X84" s="6">
        <f t="shared" si="58"/>
        <v>-76.8</v>
      </c>
      <c r="Y84" s="2"/>
      <c r="Z84" s="7">
        <f t="shared" si="59"/>
        <v>-1</v>
      </c>
    </row>
    <row r="85" spans="1:26" s="24" customFormat="1" hidden="1" outlineLevel="2" x14ac:dyDescent="0.25">
      <c r="A85" s="26"/>
      <c r="B85" s="11" t="str">
        <f>CONCATENATE("          ", "6275", " - ", "SUBSCRIPTIONS")</f>
        <v xml:space="preserve">          6275 - SUBSCRIPTIONS</v>
      </c>
      <c r="C85" s="11"/>
      <c r="D85" s="6"/>
      <c r="E85" s="2"/>
      <c r="F85" s="7">
        <f t="shared" si="52"/>
        <v>0</v>
      </c>
      <c r="G85" s="2"/>
      <c r="H85" s="6">
        <v>176.4</v>
      </c>
      <c r="I85" s="2"/>
      <c r="J85" s="7">
        <f t="shared" si="53"/>
        <v>7.0543236105371934E-4</v>
      </c>
      <c r="K85" s="2"/>
      <c r="L85" s="6">
        <f t="shared" si="54"/>
        <v>-176.4</v>
      </c>
      <c r="M85" s="2"/>
      <c r="N85" s="7">
        <f t="shared" si="55"/>
        <v>-1</v>
      </c>
      <c r="O85" s="11"/>
      <c r="P85" s="6">
        <v>705.6</v>
      </c>
      <c r="Q85" s="2"/>
      <c r="R85" s="7">
        <f t="shared" si="56"/>
        <v>4.9731273511347614E-4</v>
      </c>
      <c r="S85" s="2"/>
      <c r="T85" s="6">
        <v>345.98</v>
      </c>
      <c r="U85" s="2"/>
      <c r="V85" s="7">
        <f t="shared" si="57"/>
        <v>2.6179484207107734E-4</v>
      </c>
      <c r="W85" s="2"/>
      <c r="X85" s="6">
        <f t="shared" si="58"/>
        <v>359.62</v>
      </c>
      <c r="Y85" s="2"/>
      <c r="Z85" s="7">
        <f t="shared" si="59"/>
        <v>1.0394242441759638</v>
      </c>
    </row>
    <row r="86" spans="1:26" s="25" customFormat="1" outlineLevel="1" collapsed="1" x14ac:dyDescent="0.25">
      <c r="A86" s="27"/>
      <c r="B86" s="13" t="str">
        <f>CONCATENATE("     ","Supplies                                          ")</f>
        <v xml:space="preserve">     Supplies                                          </v>
      </c>
      <c r="C86" s="13"/>
      <c r="D86" s="1">
        <f>SUM(OSRRefD22_18x_0)</f>
        <v>3451.08</v>
      </c>
      <c r="E86" s="1"/>
      <c r="F86" s="5">
        <f t="shared" ref="F86:F93" si="60">IF(D$12=0,0,D86/D$12)</f>
        <v>1.147479520409234E-2</v>
      </c>
      <c r="G86" s="1"/>
      <c r="H86" s="1">
        <f>SUM(OSRRefH22_18x_0)</f>
        <v>4367.1499999999996</v>
      </c>
      <c r="I86" s="1"/>
      <c r="J86" s="5">
        <f t="shared" ref="J86:J93" si="61">IF(H$12=0,0,H86/H$12)</f>
        <v>1.7464449748161848E-2</v>
      </c>
      <c r="K86" s="1"/>
      <c r="L86" s="1">
        <f t="shared" ref="L86:L93" si="62">+D86-H86</f>
        <v>-916.06999999999971</v>
      </c>
      <c r="M86" s="1"/>
      <c r="N86" s="5">
        <f t="shared" ref="N86:N93" si="63">IF(H86=0,0,L86/H86)</f>
        <v>-0.20976380476970102</v>
      </c>
      <c r="O86" s="13"/>
      <c r="P86" s="1">
        <f>SUM(OSRRefP22_18x_0)</f>
        <v>35089.5</v>
      </c>
      <c r="Q86" s="1"/>
      <c r="R86" s="5">
        <f t="shared" ref="R86:R93" si="64">IF(P$12=0,0,P86/P$12)</f>
        <v>2.4731370774892743E-2</v>
      </c>
      <c r="S86" s="1"/>
      <c r="T86" s="1">
        <f>SUM(OSRRefT22_18x_0)</f>
        <v>30518.720000000001</v>
      </c>
      <c r="U86" s="1"/>
      <c r="V86" s="5">
        <f t="shared" ref="V86:V93" si="65">IF(T$12=0,0,T86/T$12)</f>
        <v>2.3092789995408491E-2</v>
      </c>
      <c r="W86" s="1"/>
      <c r="X86" s="1">
        <f t="shared" ref="X86:X93" si="66">+P86-T86</f>
        <v>4570.7799999999988</v>
      </c>
      <c r="Y86" s="1"/>
      <c r="Z86" s="5">
        <f t="shared" ref="Z86:Z93" si="67">IF(T86=0,0,X86/T86)</f>
        <v>0.14976971511256038</v>
      </c>
    </row>
    <row r="87" spans="1:26" s="24" customFormat="1" hidden="1" outlineLevel="2" x14ac:dyDescent="0.25">
      <c r="A87" s="26"/>
      <c r="B87" s="11" t="str">
        <f>CONCATENATE("          ", "6234", " - ", "EXPENDABLE SUPPLIES &amp; EQUIPMEN")</f>
        <v xml:space="preserve">          6234 - EXPENDABLE SUPPLIES &amp; EQUIPMEN</v>
      </c>
      <c r="C87" s="11"/>
      <c r="D87" s="6">
        <v>28.22</v>
      </c>
      <c r="E87" s="2"/>
      <c r="F87" s="7">
        <f t="shared" si="60"/>
        <v>9.3831125519978041E-5</v>
      </c>
      <c r="G87" s="2"/>
      <c r="H87" s="6"/>
      <c r="I87" s="2"/>
      <c r="J87" s="7">
        <f t="shared" si="61"/>
        <v>0</v>
      </c>
      <c r="K87" s="2"/>
      <c r="L87" s="6">
        <f t="shared" si="62"/>
        <v>28.22</v>
      </c>
      <c r="M87" s="2"/>
      <c r="N87" s="7">
        <f t="shared" si="63"/>
        <v>0</v>
      </c>
      <c r="O87" s="11"/>
      <c r="P87" s="6">
        <v>1092.46</v>
      </c>
      <c r="Q87" s="2"/>
      <c r="R87" s="7">
        <f t="shared" si="64"/>
        <v>7.699748733022507E-4</v>
      </c>
      <c r="S87" s="2"/>
      <c r="T87" s="6">
        <v>939.33</v>
      </c>
      <c r="U87" s="2"/>
      <c r="V87" s="7">
        <f t="shared" si="65"/>
        <v>7.1076868316846372E-4</v>
      </c>
      <c r="W87" s="2"/>
      <c r="X87" s="6">
        <f t="shared" si="66"/>
        <v>153.13</v>
      </c>
      <c r="Y87" s="2"/>
      <c r="Z87" s="7">
        <f t="shared" si="67"/>
        <v>0.16302045074680888</v>
      </c>
    </row>
    <row r="88" spans="1:26" s="24" customFormat="1" hidden="1" outlineLevel="2" x14ac:dyDescent="0.25">
      <c r="A88" s="26"/>
      <c r="B88" s="11" t="str">
        <f>CONCATENATE("          ", "6237", " - ", "JANITORIAL SUPPLIES")</f>
        <v xml:space="preserve">          6237 - JANITORIAL SUPPLIES</v>
      </c>
      <c r="C88" s="11"/>
      <c r="D88" s="6">
        <v>814.22</v>
      </c>
      <c r="E88" s="2"/>
      <c r="F88" s="7">
        <f t="shared" si="60"/>
        <v>2.7072706952826551E-3</v>
      </c>
      <c r="G88" s="2"/>
      <c r="H88" s="6">
        <v>1126.26</v>
      </c>
      <c r="I88" s="2"/>
      <c r="J88" s="7">
        <f t="shared" si="61"/>
        <v>4.5039696766460422E-3</v>
      </c>
      <c r="K88" s="2"/>
      <c r="L88" s="6">
        <f t="shared" si="62"/>
        <v>-312.03999999999996</v>
      </c>
      <c r="M88" s="2"/>
      <c r="N88" s="7">
        <f t="shared" si="63"/>
        <v>-0.27705858327562016</v>
      </c>
      <c r="O88" s="11"/>
      <c r="P88" s="6">
        <v>2823.86</v>
      </c>
      <c r="Q88" s="2"/>
      <c r="R88" s="7">
        <f t="shared" si="64"/>
        <v>1.9902799605690772E-3</v>
      </c>
      <c r="S88" s="2"/>
      <c r="T88" s="6">
        <v>3487.54</v>
      </c>
      <c r="U88" s="2"/>
      <c r="V88" s="7">
        <f t="shared" si="65"/>
        <v>2.6389386193322304E-3</v>
      </c>
      <c r="W88" s="2"/>
      <c r="X88" s="6">
        <f t="shared" si="66"/>
        <v>-663.67999999999984</v>
      </c>
      <c r="Y88" s="2"/>
      <c r="Z88" s="7">
        <f t="shared" si="67"/>
        <v>-0.19030032630450111</v>
      </c>
    </row>
    <row r="89" spans="1:26" s="24" customFormat="1" hidden="1" outlineLevel="2" x14ac:dyDescent="0.25">
      <c r="A89" s="26"/>
      <c r="B89" s="11" t="str">
        <f>CONCATENATE("          ", "6241", " - ", "OFFICE EXPENSE")</f>
        <v xml:space="preserve">          6241 - OFFICE EXPENSE</v>
      </c>
      <c r="C89" s="11"/>
      <c r="D89" s="6">
        <v>201.64</v>
      </c>
      <c r="E89" s="2"/>
      <c r="F89" s="7">
        <f t="shared" si="60"/>
        <v>6.7045032423275594E-4</v>
      </c>
      <c r="G89" s="2"/>
      <c r="H89" s="6">
        <v>465.39</v>
      </c>
      <c r="I89" s="2"/>
      <c r="J89" s="7">
        <f t="shared" si="61"/>
        <v>1.8611177239840726E-3</v>
      </c>
      <c r="K89" s="2"/>
      <c r="L89" s="6">
        <f t="shared" si="62"/>
        <v>-263.75</v>
      </c>
      <c r="M89" s="2"/>
      <c r="N89" s="7">
        <f t="shared" si="63"/>
        <v>-0.56672897999527283</v>
      </c>
      <c r="O89" s="11"/>
      <c r="P89" s="6">
        <v>1663.94</v>
      </c>
      <c r="Q89" s="2"/>
      <c r="R89" s="7">
        <f t="shared" si="64"/>
        <v>1.1727587194794748E-3</v>
      </c>
      <c r="S89" s="2"/>
      <c r="T89" s="6">
        <v>4356.09</v>
      </c>
      <c r="U89" s="2"/>
      <c r="V89" s="7">
        <f t="shared" si="65"/>
        <v>3.2961497589380868E-3</v>
      </c>
      <c r="W89" s="2"/>
      <c r="X89" s="6">
        <f t="shared" si="66"/>
        <v>-2692.15</v>
      </c>
      <c r="Y89" s="2"/>
      <c r="Z89" s="7">
        <f t="shared" si="67"/>
        <v>-0.61801982970967084</v>
      </c>
    </row>
    <row r="90" spans="1:26" s="24" customFormat="1" hidden="1" outlineLevel="2" x14ac:dyDescent="0.25">
      <c r="A90" s="26"/>
      <c r="B90" s="11" t="str">
        <f>CONCATENATE("          ", "6243", " - ", "PAPER SUPPLIES")</f>
        <v xml:space="preserve">          6243 - PAPER SUPPLIES</v>
      </c>
      <c r="C90" s="11"/>
      <c r="D90" s="6">
        <v>320.22000000000003</v>
      </c>
      <c r="E90" s="2"/>
      <c r="F90" s="7">
        <f t="shared" si="60"/>
        <v>1.0647272506735426E-3</v>
      </c>
      <c r="G90" s="2"/>
      <c r="H90" s="6">
        <v>1127.33</v>
      </c>
      <c r="I90" s="2"/>
      <c r="J90" s="7">
        <f t="shared" si="61"/>
        <v>4.508248659788488E-3</v>
      </c>
      <c r="K90" s="2"/>
      <c r="L90" s="6">
        <f t="shared" si="62"/>
        <v>-807.1099999999999</v>
      </c>
      <c r="M90" s="2"/>
      <c r="N90" s="7">
        <f t="shared" si="63"/>
        <v>-0.71594830262656006</v>
      </c>
      <c r="O90" s="11"/>
      <c r="P90" s="6">
        <v>3017.85</v>
      </c>
      <c r="Q90" s="2"/>
      <c r="R90" s="7">
        <f t="shared" si="64"/>
        <v>2.1270057223103794E-3</v>
      </c>
      <c r="S90" s="2"/>
      <c r="T90" s="6">
        <v>5503.21</v>
      </c>
      <c r="U90" s="2"/>
      <c r="V90" s="7">
        <f t="shared" si="65"/>
        <v>4.1641481959476664E-3</v>
      </c>
      <c r="W90" s="2"/>
      <c r="X90" s="6">
        <f t="shared" si="66"/>
        <v>-2485.36</v>
      </c>
      <c r="Y90" s="2"/>
      <c r="Z90" s="7">
        <f t="shared" si="67"/>
        <v>-0.45162005447729597</v>
      </c>
    </row>
    <row r="91" spans="1:26" s="24" customFormat="1" hidden="1" outlineLevel="2" x14ac:dyDescent="0.25">
      <c r="A91" s="26"/>
      <c r="B91" s="11" t="str">
        <f>CONCATENATE("          ", "6245", " - ", "PRINTING")</f>
        <v xml:space="preserve">          6245 - PRINTING</v>
      </c>
      <c r="C91" s="11"/>
      <c r="D91" s="6">
        <v>37.44</v>
      </c>
      <c r="E91" s="2"/>
      <c r="F91" s="7">
        <f t="shared" si="60"/>
        <v>1.2448750317037483E-4</v>
      </c>
      <c r="G91" s="2"/>
      <c r="H91" s="6"/>
      <c r="I91" s="2"/>
      <c r="J91" s="7">
        <f t="shared" si="61"/>
        <v>0</v>
      </c>
      <c r="K91" s="2"/>
      <c r="L91" s="6">
        <f t="shared" si="62"/>
        <v>37.44</v>
      </c>
      <c r="M91" s="2"/>
      <c r="N91" s="7">
        <f t="shared" si="63"/>
        <v>0</v>
      </c>
      <c r="O91" s="11"/>
      <c r="P91" s="6">
        <v>81.739999999999995</v>
      </c>
      <c r="Q91" s="2"/>
      <c r="R91" s="7">
        <f t="shared" si="64"/>
        <v>5.7611030283695488E-5</v>
      </c>
      <c r="S91" s="2"/>
      <c r="T91" s="6">
        <v>51.82</v>
      </c>
      <c r="U91" s="2"/>
      <c r="V91" s="7">
        <f t="shared" si="65"/>
        <v>3.9210962240948114E-5</v>
      </c>
      <c r="W91" s="2"/>
      <c r="X91" s="6">
        <f t="shared" si="66"/>
        <v>29.919999999999995</v>
      </c>
      <c r="Y91" s="2"/>
      <c r="Z91" s="7">
        <f t="shared" si="67"/>
        <v>0.57738324971053634</v>
      </c>
    </row>
    <row r="92" spans="1:26" s="24" customFormat="1" hidden="1" outlineLevel="2" x14ac:dyDescent="0.25">
      <c r="A92" s="26"/>
      <c r="B92" s="11" t="str">
        <f>CONCATENATE("          ", "6247", " - ", "STORE SUPPLIES")</f>
        <v xml:space="preserve">          6247 - STORE SUPPLIES</v>
      </c>
      <c r="C92" s="11"/>
      <c r="D92" s="6">
        <v>2049.34</v>
      </c>
      <c r="E92" s="2"/>
      <c r="F92" s="7">
        <f t="shared" si="60"/>
        <v>6.8140283052130343E-3</v>
      </c>
      <c r="G92" s="2"/>
      <c r="H92" s="6">
        <v>1648.17</v>
      </c>
      <c r="I92" s="2"/>
      <c r="J92" s="7">
        <f t="shared" si="61"/>
        <v>6.591113687743246E-3</v>
      </c>
      <c r="K92" s="2"/>
      <c r="L92" s="6">
        <f t="shared" si="62"/>
        <v>401.17000000000007</v>
      </c>
      <c r="M92" s="2"/>
      <c r="N92" s="7">
        <f t="shared" si="63"/>
        <v>0.24340328970919264</v>
      </c>
      <c r="O92" s="11"/>
      <c r="P92" s="6">
        <v>26409.649999999998</v>
      </c>
      <c r="Q92" s="2"/>
      <c r="R92" s="7">
        <f t="shared" si="64"/>
        <v>1.8613740468947863E-2</v>
      </c>
      <c r="S92" s="2"/>
      <c r="T92" s="6">
        <v>15029.550000000001</v>
      </c>
      <c r="U92" s="2"/>
      <c r="V92" s="7">
        <f t="shared" si="65"/>
        <v>1.1372503233277532E-2</v>
      </c>
      <c r="W92" s="2"/>
      <c r="X92" s="6">
        <f t="shared" si="66"/>
        <v>11380.099999999997</v>
      </c>
      <c r="Y92" s="2"/>
      <c r="Z92" s="7">
        <f t="shared" si="67"/>
        <v>0.75718168541306929</v>
      </c>
    </row>
    <row r="93" spans="1:26" s="24" customFormat="1" hidden="1" outlineLevel="2" x14ac:dyDescent="0.25">
      <c r="A93" s="26"/>
      <c r="B93" s="11" t="str">
        <f>CONCATENATE("          ", "6248", " - ", "UNIFORMS")</f>
        <v xml:space="preserve">          6248 - UNIFORMS</v>
      </c>
      <c r="C93" s="11"/>
      <c r="D93" s="6"/>
      <c r="E93" s="2"/>
      <c r="F93" s="7">
        <f t="shared" si="60"/>
        <v>0</v>
      </c>
      <c r="G93" s="2"/>
      <c r="H93" s="6"/>
      <c r="I93" s="2"/>
      <c r="J93" s="7">
        <f t="shared" si="61"/>
        <v>0</v>
      </c>
      <c r="K93" s="2"/>
      <c r="L93" s="6">
        <f t="shared" si="62"/>
        <v>0</v>
      </c>
      <c r="M93" s="2"/>
      <c r="N93" s="7">
        <f t="shared" si="63"/>
        <v>0</v>
      </c>
      <c r="O93" s="11"/>
      <c r="P93" s="6"/>
      <c r="Q93" s="2"/>
      <c r="R93" s="7">
        <f t="shared" si="64"/>
        <v>0</v>
      </c>
      <c r="S93" s="2"/>
      <c r="T93" s="6">
        <v>1151.18</v>
      </c>
      <c r="U93" s="2"/>
      <c r="V93" s="7">
        <f t="shared" si="65"/>
        <v>8.7107054250356328E-4</v>
      </c>
      <c r="W93" s="2"/>
      <c r="X93" s="6">
        <f t="shared" si="66"/>
        <v>-1151.18</v>
      </c>
      <c r="Y93" s="2"/>
      <c r="Z93" s="7">
        <f t="shared" si="67"/>
        <v>-1</v>
      </c>
    </row>
    <row r="94" spans="1:26" s="25" customFormat="1" outlineLevel="1" collapsed="1" x14ac:dyDescent="0.25">
      <c r="A94" s="27"/>
      <c r="B94" s="13" t="str">
        <f>CONCATENATE("     ","Telephone/Data Lines                              ")</f>
        <v xml:space="preserve">     Telephone/Data Lines                              </v>
      </c>
      <c r="C94" s="13"/>
      <c r="D94" s="1">
        <f>SUM(OSRRefD22_19x_0)</f>
        <v>345.91</v>
      </c>
      <c r="E94" s="1"/>
      <c r="F94" s="5">
        <f t="shared" ref="F94:F99" si="68">IF(D$12=0,0,D94/D$12)</f>
        <v>1.1501461597666763E-3</v>
      </c>
      <c r="G94" s="1"/>
      <c r="H94" s="1">
        <f>SUM(OSRRefH22_19x_0)</f>
        <v>346.86</v>
      </c>
      <c r="I94" s="1"/>
      <c r="J94" s="5">
        <f t="shared" ref="J94:J99" si="69">IF(H$12=0,0,H94/H$12)</f>
        <v>1.3871103670923643E-3</v>
      </c>
      <c r="K94" s="1"/>
      <c r="L94" s="1">
        <f t="shared" ref="L94:L99" si="70">+D94-H94</f>
        <v>-0.94999999999998863</v>
      </c>
      <c r="M94" s="1"/>
      <c r="N94" s="5">
        <f t="shared" ref="N94:N99" si="71">IF(H94=0,0,L94/H94)</f>
        <v>-2.7388571758057679E-3</v>
      </c>
      <c r="O94" s="13"/>
      <c r="P94" s="1">
        <f>SUM(OSRRefP22_19x_0)</f>
        <v>1697.4</v>
      </c>
      <c r="Q94" s="1"/>
      <c r="R94" s="5">
        <f t="shared" ref="R94:R99" si="72">IF(P$12=0,0,P94/P$12)</f>
        <v>1.1963416051326734E-3</v>
      </c>
      <c r="S94" s="1"/>
      <c r="T94" s="1">
        <f>SUM(OSRRefT22_19x_0)</f>
        <v>1805.5</v>
      </c>
      <c r="U94" s="1"/>
      <c r="V94" s="5">
        <f t="shared" ref="V94:V99" si="73">IF(T$12=0,0,T94/T$12)</f>
        <v>1.3661789333468124E-3</v>
      </c>
      <c r="W94" s="1"/>
      <c r="X94" s="1">
        <f t="shared" ref="X94:X99" si="74">+P94-T94</f>
        <v>-108.09999999999991</v>
      </c>
      <c r="Y94" s="1"/>
      <c r="Z94" s="5">
        <f t="shared" ref="Z94:Z99" si="75">IF(T94=0,0,X94/T94)</f>
        <v>-5.9872611464968105E-2</v>
      </c>
    </row>
    <row r="95" spans="1:26" s="24" customFormat="1" hidden="1" outlineLevel="2" x14ac:dyDescent="0.25">
      <c r="A95" s="26"/>
      <c r="B95" s="11" t="str">
        <f>CONCATENATE("          ", "6309", " - ", "TELEPHONE")</f>
        <v xml:space="preserve">          6309 - TELEPHONE</v>
      </c>
      <c r="C95" s="11"/>
      <c r="D95" s="6">
        <v>345.91</v>
      </c>
      <c r="E95" s="2"/>
      <c r="F95" s="7">
        <f t="shared" si="68"/>
        <v>1.1501461597666763E-3</v>
      </c>
      <c r="G95" s="2"/>
      <c r="H95" s="6">
        <v>346.86</v>
      </c>
      <c r="I95" s="2"/>
      <c r="J95" s="7">
        <f t="shared" si="69"/>
        <v>1.3871103670923643E-3</v>
      </c>
      <c r="K95" s="2"/>
      <c r="L95" s="6">
        <f t="shared" si="70"/>
        <v>-0.94999999999998863</v>
      </c>
      <c r="M95" s="2"/>
      <c r="N95" s="7">
        <f t="shared" si="71"/>
        <v>-2.7388571758057679E-3</v>
      </c>
      <c r="O95" s="11"/>
      <c r="P95" s="6">
        <v>1697.4</v>
      </c>
      <c r="Q95" s="2"/>
      <c r="R95" s="7">
        <f t="shared" si="72"/>
        <v>1.1963416051326734E-3</v>
      </c>
      <c r="S95" s="2"/>
      <c r="T95" s="6">
        <v>1805.5</v>
      </c>
      <c r="U95" s="2"/>
      <c r="V95" s="7">
        <f t="shared" si="73"/>
        <v>1.3661789333468124E-3</v>
      </c>
      <c r="W95" s="2"/>
      <c r="X95" s="6">
        <f t="shared" si="74"/>
        <v>-108.09999999999991</v>
      </c>
      <c r="Y95" s="2"/>
      <c r="Z95" s="7">
        <f t="shared" si="75"/>
        <v>-5.9872611464968105E-2</v>
      </c>
    </row>
    <row r="96" spans="1:26" s="25" customFormat="1" outlineLevel="1" collapsed="1" x14ac:dyDescent="0.25">
      <c r="A96" s="27"/>
      <c r="B96" s="13" t="str">
        <f>CONCATENATE("     ","Training                                          ")</f>
        <v xml:space="preserve">     Training                                          </v>
      </c>
      <c r="C96" s="13"/>
      <c r="D96" s="1">
        <f>SUM(OSRRefD22_20x_0)</f>
        <v>0</v>
      </c>
      <c r="E96" s="1"/>
      <c r="F96" s="5">
        <f t="shared" si="68"/>
        <v>0</v>
      </c>
      <c r="G96" s="1"/>
      <c r="H96" s="1">
        <f>SUM(OSRRefH22_20x_0)</f>
        <v>60</v>
      </c>
      <c r="I96" s="1"/>
      <c r="J96" s="5">
        <f t="shared" si="69"/>
        <v>2.3994297995024464E-4</v>
      </c>
      <c r="K96" s="1"/>
      <c r="L96" s="1">
        <f t="shared" si="70"/>
        <v>-60</v>
      </c>
      <c r="M96" s="1"/>
      <c r="N96" s="5">
        <f t="shared" si="71"/>
        <v>-1</v>
      </c>
      <c r="O96" s="13"/>
      <c r="P96" s="1">
        <f>SUM(OSRRefP22_20x_0)</f>
        <v>96</v>
      </c>
      <c r="Q96" s="1"/>
      <c r="R96" s="5">
        <f t="shared" si="72"/>
        <v>6.7661596614078387E-5</v>
      </c>
      <c r="S96" s="1"/>
      <c r="T96" s="1">
        <f>SUM(OSRRefT22_20x_0)</f>
        <v>158.82</v>
      </c>
      <c r="U96" s="1"/>
      <c r="V96" s="5">
        <f t="shared" si="73"/>
        <v>1.2017531885579658E-4</v>
      </c>
      <c r="W96" s="1"/>
      <c r="X96" s="1">
        <f t="shared" si="74"/>
        <v>-62.819999999999993</v>
      </c>
      <c r="Y96" s="1"/>
      <c r="Z96" s="5">
        <f t="shared" si="75"/>
        <v>-0.3955421231582924</v>
      </c>
    </row>
    <row r="97" spans="1:26" s="24" customFormat="1" hidden="1" outlineLevel="2" x14ac:dyDescent="0.25">
      <c r="A97" s="26"/>
      <c r="B97" s="11" t="str">
        <f>CONCATENATE("          ", "6376", " - ", "TRAINING")</f>
        <v xml:space="preserve">          6376 - TRAINING</v>
      </c>
      <c r="C97" s="11"/>
      <c r="D97" s="6"/>
      <c r="E97" s="2"/>
      <c r="F97" s="7">
        <f t="shared" si="68"/>
        <v>0</v>
      </c>
      <c r="G97" s="2"/>
      <c r="H97" s="6">
        <v>60</v>
      </c>
      <c r="I97" s="2"/>
      <c r="J97" s="7">
        <f t="shared" si="69"/>
        <v>2.3994297995024464E-4</v>
      </c>
      <c r="K97" s="2"/>
      <c r="L97" s="6">
        <f t="shared" si="70"/>
        <v>-60</v>
      </c>
      <c r="M97" s="2"/>
      <c r="N97" s="7">
        <f t="shared" si="71"/>
        <v>-1</v>
      </c>
      <c r="O97" s="11"/>
      <c r="P97" s="6">
        <v>96</v>
      </c>
      <c r="Q97" s="2"/>
      <c r="R97" s="7">
        <f t="shared" si="72"/>
        <v>6.7661596614078387E-5</v>
      </c>
      <c r="S97" s="2"/>
      <c r="T97" s="6">
        <v>158.82</v>
      </c>
      <c r="U97" s="2"/>
      <c r="V97" s="7">
        <f t="shared" si="73"/>
        <v>1.2017531885579658E-4</v>
      </c>
      <c r="W97" s="2"/>
      <c r="X97" s="6">
        <f t="shared" si="74"/>
        <v>-62.819999999999993</v>
      </c>
      <c r="Y97" s="2"/>
      <c r="Z97" s="7">
        <f t="shared" si="75"/>
        <v>-0.3955421231582924</v>
      </c>
    </row>
    <row r="98" spans="1:26" s="25" customFormat="1" outlineLevel="1" collapsed="1" x14ac:dyDescent="0.25">
      <c r="A98" s="27"/>
      <c r="B98" s="13" t="str">
        <f>CONCATENATE("     ","Utilities                                         ")</f>
        <v xml:space="preserve">     Utilities                                         </v>
      </c>
      <c r="C98" s="13"/>
      <c r="D98" s="1">
        <f>SUM(OSRRefD22_21x_0)</f>
        <v>978</v>
      </c>
      <c r="E98" s="1"/>
      <c r="F98" s="5">
        <f t="shared" si="68"/>
        <v>3.2518370219184454E-3</v>
      </c>
      <c r="G98" s="1"/>
      <c r="H98" s="1">
        <f>SUM(OSRRefH22_21x_0)</f>
        <v>748.89</v>
      </c>
      <c r="I98" s="1"/>
      <c r="J98" s="5">
        <f t="shared" si="69"/>
        <v>2.9948483042489785E-3</v>
      </c>
      <c r="K98" s="1"/>
      <c r="L98" s="1">
        <f t="shared" si="70"/>
        <v>229.11</v>
      </c>
      <c r="M98" s="1"/>
      <c r="N98" s="5">
        <f t="shared" si="71"/>
        <v>0.30593278051516248</v>
      </c>
      <c r="O98" s="13"/>
      <c r="P98" s="1">
        <f>SUM(OSRRefP22_21x_0)</f>
        <v>3038.12</v>
      </c>
      <c r="Q98" s="1"/>
      <c r="R98" s="5">
        <f t="shared" si="72"/>
        <v>2.141292186512123E-3</v>
      </c>
      <c r="S98" s="1"/>
      <c r="T98" s="1">
        <f>SUM(OSRRefT22_21x_0)</f>
        <v>3024.49</v>
      </c>
      <c r="U98" s="1"/>
      <c r="V98" s="5">
        <f t="shared" si="73"/>
        <v>2.288559691009748E-3</v>
      </c>
      <c r="W98" s="1"/>
      <c r="X98" s="1">
        <f t="shared" si="74"/>
        <v>13.630000000000109</v>
      </c>
      <c r="Y98" s="1"/>
      <c r="Z98" s="5">
        <f t="shared" si="75"/>
        <v>4.5065449050914735E-3</v>
      </c>
    </row>
    <row r="99" spans="1:26" s="24" customFormat="1" hidden="1" outlineLevel="2" x14ac:dyDescent="0.25">
      <c r="A99" s="26"/>
      <c r="B99" s="11" t="str">
        <f>CONCATENATE("          ", "6274", " - ", "UTILITIES")</f>
        <v xml:space="preserve">          6274 - UTILITIES</v>
      </c>
      <c r="C99" s="11"/>
      <c r="D99" s="6">
        <v>978</v>
      </c>
      <c r="E99" s="2"/>
      <c r="F99" s="7">
        <f t="shared" si="68"/>
        <v>3.2518370219184454E-3</v>
      </c>
      <c r="G99" s="2"/>
      <c r="H99" s="6">
        <v>748.89</v>
      </c>
      <c r="I99" s="2"/>
      <c r="J99" s="7">
        <f t="shared" si="69"/>
        <v>2.9948483042489785E-3</v>
      </c>
      <c r="K99" s="2"/>
      <c r="L99" s="6">
        <f t="shared" si="70"/>
        <v>229.11</v>
      </c>
      <c r="M99" s="2"/>
      <c r="N99" s="7">
        <f t="shared" si="71"/>
        <v>0.30593278051516248</v>
      </c>
      <c r="O99" s="11"/>
      <c r="P99" s="6">
        <v>3038.12</v>
      </c>
      <c r="Q99" s="2"/>
      <c r="R99" s="7">
        <f t="shared" si="72"/>
        <v>2.141292186512123E-3</v>
      </c>
      <c r="S99" s="2"/>
      <c r="T99" s="6">
        <v>3024.49</v>
      </c>
      <c r="U99" s="2"/>
      <c r="V99" s="7">
        <f t="shared" si="73"/>
        <v>2.288559691009748E-3</v>
      </c>
      <c r="W99" s="2"/>
      <c r="X99" s="6">
        <f t="shared" si="74"/>
        <v>13.630000000000109</v>
      </c>
      <c r="Y99" s="2"/>
      <c r="Z99" s="7">
        <f t="shared" si="75"/>
        <v>4.5065449050914735E-3</v>
      </c>
    </row>
    <row r="100" spans="1:26" s="53" customFormat="1" x14ac:dyDescent="0.25">
      <c r="A100" s="37"/>
      <c r="B100" s="37"/>
      <c r="C100" s="37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7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x14ac:dyDescent="0.25">
      <c r="A101" s="10"/>
      <c r="B101" s="28" t="s">
        <v>0</v>
      </c>
      <c r="C101" s="10"/>
      <c r="D101" s="4">
        <f>SUM(0)</f>
        <v>0</v>
      </c>
      <c r="E101" s="4"/>
      <c r="F101" s="12">
        <f>IF(D$12=0,0,D101/D$12)</f>
        <v>0</v>
      </c>
      <c r="G101" s="4"/>
      <c r="H101" s="4">
        <f>SUM(0)</f>
        <v>0</v>
      </c>
      <c r="I101" s="4"/>
      <c r="J101" s="12">
        <f>IF(H$12=0,0,H101/H$12)</f>
        <v>0</v>
      </c>
      <c r="K101" s="4"/>
      <c r="L101" s="4">
        <f>+D101-H101</f>
        <v>0</v>
      </c>
      <c r="M101" s="4"/>
      <c r="N101" s="12">
        <f>IF(H101=0,0,L101/H101)</f>
        <v>0</v>
      </c>
      <c r="O101" s="10"/>
      <c r="P101" s="4">
        <f>SUM(0)</f>
        <v>0</v>
      </c>
      <c r="Q101" s="4"/>
      <c r="R101" s="12">
        <f>IF(P$12=0,0,P101/P$12)</f>
        <v>0</v>
      </c>
      <c r="S101" s="4"/>
      <c r="T101" s="4">
        <f>SUM(0)</f>
        <v>0</v>
      </c>
      <c r="U101" s="4"/>
      <c r="V101" s="12">
        <f>IF(T$12=0,0,T101/T$12)</f>
        <v>0</v>
      </c>
      <c r="W101" s="4"/>
      <c r="X101" s="4">
        <f>+P101-T101</f>
        <v>0</v>
      </c>
      <c r="Y101" s="4"/>
      <c r="Z101" s="12">
        <f>IF(T101=0,0,X101/T101)</f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9" t="s">
        <v>3</v>
      </c>
      <c r="C103" s="29"/>
      <c r="D103" s="21">
        <f>+D28-D30+D101</f>
        <v>53680.86</v>
      </c>
      <c r="E103" s="14"/>
      <c r="F103" s="20">
        <f>IF(D$12=0,0,D103/D$12)</f>
        <v>0.1784881471538047</v>
      </c>
      <c r="G103" s="14"/>
      <c r="H103" s="21">
        <f>+H28-H30+H101</f>
        <v>32796.809999999983</v>
      </c>
      <c r="I103" s="14"/>
      <c r="J103" s="20">
        <f>IF(H$12=0,0,H103/H$12)</f>
        <v>0.131156072071033</v>
      </c>
      <c r="K103" s="15"/>
      <c r="L103" s="21">
        <f>+D103-H103</f>
        <v>20884.050000000017</v>
      </c>
      <c r="M103" s="15"/>
      <c r="N103" s="20">
        <f>IF(H103=0,0,L103/H103)</f>
        <v>0.63677077130367343</v>
      </c>
      <c r="O103" s="28"/>
      <c r="P103" s="21">
        <f>+P28-P30+P101</f>
        <v>201038.56000000006</v>
      </c>
      <c r="Q103" s="14"/>
      <c r="R103" s="20">
        <f>IF(P$12=0,0,P103/P$12)</f>
        <v>0.14169364531869996</v>
      </c>
      <c r="S103" s="14"/>
      <c r="T103" s="21">
        <f>+T28-T30+T101</f>
        <v>191687.68999999994</v>
      </c>
      <c r="U103" s="14"/>
      <c r="V103" s="20">
        <f>IF(T$12=0,0,T103/T$12)</f>
        <v>0.14504551861529458</v>
      </c>
      <c r="W103" s="15"/>
      <c r="X103" s="21">
        <f>+P103-T103</f>
        <v>9350.8700000001118</v>
      </c>
      <c r="Y103" s="15"/>
      <c r="Z103" s="20">
        <f>IF(T103=0,0,X103/T103)</f>
        <v>4.8781797099230077E-2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1"/>
      <c r="B105" s="10" t="s">
        <v>13</v>
      </c>
      <c r="C105" s="10"/>
      <c r="D105" s="4">
        <v>37696.009999999995</v>
      </c>
      <c r="E105" s="4"/>
      <c r="F105" s="12">
        <f>IF(D$12=0,0,D105/D$12)</f>
        <v>0.12533873302311649</v>
      </c>
      <c r="G105" s="4"/>
      <c r="H105" s="4">
        <v>40651.46</v>
      </c>
      <c r="I105" s="4"/>
      <c r="J105" s="12">
        <f>IF(H$12=0,0,H105/H$12)</f>
        <v>0.16256720752880288</v>
      </c>
      <c r="K105" s="4"/>
      <c r="L105" s="4">
        <f>+D105-H105</f>
        <v>-2955.4500000000044</v>
      </c>
      <c r="M105" s="4"/>
      <c r="N105" s="12">
        <f>IF(H105=0,0,L105/H105)</f>
        <v>-7.2702185850151618E-2</v>
      </c>
      <c r="O105" s="10"/>
      <c r="P105" s="4">
        <v>150244.03999999998</v>
      </c>
      <c r="Q105" s="4"/>
      <c r="R105" s="12">
        <f>IF(P$12=0,0,P105/P$12)</f>
        <v>0.10589324612655683</v>
      </c>
      <c r="S105" s="4"/>
      <c r="T105" s="4">
        <v>139058.68</v>
      </c>
      <c r="U105" s="4"/>
      <c r="V105" s="12">
        <f>IF(T$12=0,0,T105/T$12)</f>
        <v>0.10522239773747753</v>
      </c>
      <c r="W105" s="4"/>
      <c r="X105" s="4">
        <f>+P105-T105</f>
        <v>11185.359999999986</v>
      </c>
      <c r="Y105" s="4"/>
      <c r="Z105" s="12">
        <f>IF(T105=0,0,X105/T105)</f>
        <v>8.0436258995123397E-2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4</v>
      </c>
      <c r="C107" s="29"/>
      <c r="D107" s="31">
        <f>+D103-D105</f>
        <v>15984.850000000006</v>
      </c>
      <c r="E107" s="14"/>
      <c r="F107" s="32">
        <f>IF(D$12=0,0,D107/D$12)</f>
        <v>5.3149414130688223E-2</v>
      </c>
      <c r="G107" s="14"/>
      <c r="H107" s="31">
        <f>+H103-H105</f>
        <v>-7854.650000000016</v>
      </c>
      <c r="I107" s="14"/>
      <c r="J107" s="32">
        <f>IF(H$12=0,0,H107/H$12)</f>
        <v>-3.1411135457769884E-2</v>
      </c>
      <c r="K107" s="15"/>
      <c r="L107" s="31">
        <f>D107-H107</f>
        <v>23839.500000000022</v>
      </c>
      <c r="M107" s="15"/>
      <c r="N107" s="32">
        <f>IF(H107=0,0,L107/H107)</f>
        <v>-3.035081130285878</v>
      </c>
      <c r="O107" s="28"/>
      <c r="P107" s="31">
        <f>+P103-P105</f>
        <v>50794.520000000077</v>
      </c>
      <c r="Q107" s="14"/>
      <c r="R107" s="32">
        <f>IF(P$12=0,0,P107/P$12)</f>
        <v>3.5800399192143145E-2</v>
      </c>
      <c r="S107" s="14"/>
      <c r="T107" s="31">
        <f>+T103-T105</f>
        <v>52629.009999999951</v>
      </c>
      <c r="U107" s="14"/>
      <c r="V107" s="32">
        <f>IF(T$12=0,0,T107/T$12)</f>
        <v>3.9823120877817031E-2</v>
      </c>
      <c r="W107" s="15"/>
      <c r="X107" s="31">
        <f>P107-T107</f>
        <v>-1834.4899999998743</v>
      </c>
      <c r="Y107" s="15"/>
      <c r="Z107" s="32">
        <f>IF(T107=0,0,X107/T107)</f>
        <v>-3.4857011370722647E-2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5</v>
      </c>
      <c r="C110" s="29"/>
      <c r="D110" s="34">
        <f>SUM(D107:D109)</f>
        <v>15984.850000000006</v>
      </c>
      <c r="E110" s="14"/>
      <c r="F110" s="30">
        <f>IF(D$12=0,0,D110/D$12)</f>
        <v>5.3149414130688223E-2</v>
      </c>
      <c r="G110" s="14"/>
      <c r="H110" s="34">
        <f>SUM(H107:H109)</f>
        <v>-7854.650000000016</v>
      </c>
      <c r="I110" s="14"/>
      <c r="J110" s="30">
        <f>IF(H$12=0,0,H110/H$12)</f>
        <v>-3.1411135457769884E-2</v>
      </c>
      <c r="K110" s="15"/>
      <c r="L110" s="34">
        <f>+D110-H110</f>
        <v>23839.500000000022</v>
      </c>
      <c r="M110" s="15"/>
      <c r="N110" s="30">
        <f>IF(H110=0,0,L110/H110)</f>
        <v>-3.035081130285878</v>
      </c>
      <c r="O110" s="28"/>
      <c r="P110" s="34">
        <f>SUM(P107:P109)</f>
        <v>50794.520000000077</v>
      </c>
      <c r="Q110" s="14"/>
      <c r="R110" s="30">
        <f>IF(P$12=0,0,P110/P$12)</f>
        <v>3.5800399192143145E-2</v>
      </c>
      <c r="S110" s="14"/>
      <c r="T110" s="34">
        <f>SUM(T107:T109)</f>
        <v>52629.009999999951</v>
      </c>
      <c r="U110" s="14"/>
      <c r="V110" s="30">
        <f>IF(T$12=0,0,T110/T$12)</f>
        <v>3.9823120877817031E-2</v>
      </c>
      <c r="W110" s="15"/>
      <c r="X110" s="34">
        <f>+P110-T110</f>
        <v>-1834.4899999998743</v>
      </c>
      <c r="Y110" s="15"/>
      <c r="Z110" s="30">
        <f>IF(T110=0,0,X110/T110)</f>
        <v>-3.4857011370722647E-2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9">
        <v>43815.491274189815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62" t="s">
        <v>313</v>
      </c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A114" s="9"/>
      <c r="B114" s="61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","309", " - ", "Carts")</f>
        <v>Department 309 - Carts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36696.76</v>
      </c>
      <c r="E12" s="4"/>
      <c r="F12" s="12"/>
      <c r="G12" s="4"/>
      <c r="H12" s="4">
        <f>SUM(OSRRefH13x_0)</f>
        <v>33472.68</v>
      </c>
      <c r="I12" s="4"/>
      <c r="J12" s="12"/>
      <c r="K12" s="4"/>
      <c r="L12" s="4">
        <f t="shared" ref="L12:L14" si="0">+D12-H12</f>
        <v>3224.0800000000017</v>
      </c>
      <c r="M12" s="4"/>
      <c r="N12" s="12">
        <f t="shared" ref="N12:N14" si="1">IF(H12=0,0,L12/H12)</f>
        <v>9.6319744938260149E-2</v>
      </c>
      <c r="O12" s="10"/>
      <c r="P12" s="4">
        <f>SUM(OSRRefP13x_0)</f>
        <v>177408.46999999997</v>
      </c>
      <c r="Q12" s="4"/>
      <c r="R12" s="12"/>
      <c r="S12" s="4"/>
      <c r="T12" s="4">
        <f>SUM(OSRRefT13x_0)</f>
        <v>176961.96</v>
      </c>
      <c r="U12" s="4"/>
      <c r="V12" s="12"/>
      <c r="W12" s="4"/>
      <c r="X12" s="4">
        <f t="shared" ref="X12:X14" si="2">+P12-T12</f>
        <v>446.50999999998021</v>
      </c>
      <c r="Y12" s="4"/>
      <c r="Z12" s="12">
        <f t="shared" ref="Z12:Z14" si="3">IF(T12=0,0,X12/T12)</f>
        <v>2.5231976408940102E-3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--7765.95</f>
        <v>7765.95</v>
      </c>
      <c r="E13" s="2"/>
      <c r="F13" s="19"/>
      <c r="G13" s="2"/>
      <c r="H13" s="2">
        <f>--6904.1</f>
        <v>6904.1</v>
      </c>
      <c r="I13" s="2"/>
      <c r="J13" s="19"/>
      <c r="K13" s="2"/>
      <c r="L13" s="2">
        <f t="shared" si="0"/>
        <v>861.84999999999945</v>
      </c>
      <c r="M13" s="2"/>
      <c r="N13" s="19">
        <f t="shared" si="1"/>
        <v>0.12483162178995082</v>
      </c>
      <c r="O13" s="11"/>
      <c r="P13" s="2">
        <f>--38939.11</f>
        <v>38939.11</v>
      </c>
      <c r="Q13" s="2"/>
      <c r="R13" s="19"/>
      <c r="S13" s="2"/>
      <c r="T13" s="2">
        <f>--37634.75</f>
        <v>37634.75</v>
      </c>
      <c r="U13" s="2"/>
      <c r="V13" s="19"/>
      <c r="W13" s="2"/>
      <c r="X13" s="2">
        <f t="shared" si="2"/>
        <v>1304.3600000000006</v>
      </c>
      <c r="Y13" s="2"/>
      <c r="Z13" s="19">
        <f t="shared" si="3"/>
        <v>3.4658394170281472E-2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--28930.81</f>
        <v>28930.81</v>
      </c>
      <c r="E14" s="2"/>
      <c r="F14" s="19"/>
      <c r="G14" s="2"/>
      <c r="H14" s="2">
        <f>--26568.58</f>
        <v>26568.58</v>
      </c>
      <c r="I14" s="2"/>
      <c r="J14" s="19"/>
      <c r="K14" s="2"/>
      <c r="L14" s="2">
        <f t="shared" si="0"/>
        <v>2362.2299999999996</v>
      </c>
      <c r="M14" s="2"/>
      <c r="N14" s="19">
        <f t="shared" si="1"/>
        <v>8.8910660637489827E-2</v>
      </c>
      <c r="O14" s="11"/>
      <c r="P14" s="2">
        <f>--138469.36</f>
        <v>138469.35999999999</v>
      </c>
      <c r="Q14" s="2"/>
      <c r="R14" s="19"/>
      <c r="S14" s="2"/>
      <c r="T14" s="2">
        <f>--139327.21</f>
        <v>139327.21</v>
      </c>
      <c r="U14" s="2"/>
      <c r="V14" s="19"/>
      <c r="W14" s="2"/>
      <c r="X14" s="2">
        <f t="shared" si="2"/>
        <v>-857.85000000000582</v>
      </c>
      <c r="Y14" s="2"/>
      <c r="Z14" s="19">
        <f t="shared" si="3"/>
        <v>-6.1570887696667858E-3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17105.75</v>
      </c>
      <c r="E16" s="4"/>
      <c r="F16" s="12">
        <f t="shared" ref="F16:F18" si="4">IF(D$12=0,0,D16/D$12)</f>
        <v>0.46613788247245802</v>
      </c>
      <c r="G16" s="4"/>
      <c r="H16" s="4">
        <f>SUM(OSRRefH16x_0)</f>
        <v>20769.73</v>
      </c>
      <c r="I16" s="4"/>
      <c r="J16" s="12">
        <f t="shared" ref="J16:J18" si="5">IF(H$12=0,0,H16/H$12)</f>
        <v>0.62049797028502052</v>
      </c>
      <c r="K16" s="4"/>
      <c r="L16" s="4">
        <f t="shared" ref="L16:L18" si="6">+D16-H16</f>
        <v>-3663.9799999999996</v>
      </c>
      <c r="M16" s="4"/>
      <c r="N16" s="12">
        <f t="shared" ref="N16:N18" si="7">IF(H16=0,0,L16/H16)</f>
        <v>-0.17640961148748682</v>
      </c>
      <c r="O16" s="10"/>
      <c r="P16" s="4">
        <f>SUM(OSRRefP16x_0)</f>
        <v>81833.78</v>
      </c>
      <c r="Q16" s="4"/>
      <c r="R16" s="12">
        <f t="shared" ref="R16:R18" si="8">IF(P$12=0,0,P16/P$12)</f>
        <v>0.46127324135087805</v>
      </c>
      <c r="S16" s="4"/>
      <c r="T16" s="4">
        <f>SUM(OSRRefT16x_0)</f>
        <v>89406.01</v>
      </c>
      <c r="U16" s="4"/>
      <c r="V16" s="12">
        <f t="shared" ref="V16:V18" si="9">IF(T$12=0,0,T16/T$12)</f>
        <v>0.50522728161464758</v>
      </c>
      <c r="W16" s="4"/>
      <c r="X16" s="4">
        <f t="shared" ref="X16:X18" si="10">+P16-T16</f>
        <v>-7572.2299999999959</v>
      </c>
      <c r="Y16" s="4"/>
      <c r="Z16" s="12">
        <f t="shared" ref="Z16:Z18" si="11">IF(T16=0,0,X16/T16)</f>
        <v>-8.4694865591250487E-2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14868.510000000002</v>
      </c>
      <c r="E17" s="2"/>
      <c r="F17" s="19">
        <f t="shared" si="4"/>
        <v>0.40517228223963098</v>
      </c>
      <c r="G17" s="2"/>
      <c r="H17" s="2">
        <v>12593.71</v>
      </c>
      <c r="I17" s="2"/>
      <c r="J17" s="19">
        <f t="shared" si="5"/>
        <v>0.37623847268877181</v>
      </c>
      <c r="K17" s="2"/>
      <c r="L17" s="2">
        <f t="shared" si="6"/>
        <v>2274.8000000000029</v>
      </c>
      <c r="M17" s="2"/>
      <c r="N17" s="19">
        <f t="shared" si="7"/>
        <v>0.18062985410971058</v>
      </c>
      <c r="O17" s="11"/>
      <c r="P17" s="2">
        <v>87576.47</v>
      </c>
      <c r="Q17" s="2"/>
      <c r="R17" s="19">
        <f t="shared" si="8"/>
        <v>0.49364311636304631</v>
      </c>
      <c r="S17" s="2"/>
      <c r="T17" s="2">
        <v>85895.78</v>
      </c>
      <c r="U17" s="2"/>
      <c r="V17" s="19">
        <f t="shared" si="9"/>
        <v>0.48539121063080454</v>
      </c>
      <c r="W17" s="2"/>
      <c r="X17" s="2">
        <f t="shared" si="10"/>
        <v>1680.6900000000023</v>
      </c>
      <c r="Y17" s="2"/>
      <c r="Z17" s="19">
        <f t="shared" si="11"/>
        <v>1.9566618988732652E-2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2237.2399999999998</v>
      </c>
      <c r="E18" s="2"/>
      <c r="F18" s="19">
        <f t="shared" si="4"/>
        <v>6.0965600232827086E-2</v>
      </c>
      <c r="G18" s="2"/>
      <c r="H18" s="2">
        <v>8176.02</v>
      </c>
      <c r="I18" s="2"/>
      <c r="J18" s="19">
        <f t="shared" si="5"/>
        <v>0.24425949759624865</v>
      </c>
      <c r="K18" s="2"/>
      <c r="L18" s="2">
        <f t="shared" si="6"/>
        <v>-5938.7800000000007</v>
      </c>
      <c r="M18" s="2"/>
      <c r="N18" s="19">
        <f t="shared" si="7"/>
        <v>-0.72636564000577297</v>
      </c>
      <c r="O18" s="11"/>
      <c r="P18" s="2">
        <v>-5742.69</v>
      </c>
      <c r="Q18" s="2"/>
      <c r="R18" s="19">
        <f t="shared" si="8"/>
        <v>-3.2369875012168252E-2</v>
      </c>
      <c r="S18" s="2"/>
      <c r="T18" s="2">
        <v>3510.23</v>
      </c>
      <c r="U18" s="2"/>
      <c r="V18" s="19">
        <f t="shared" si="9"/>
        <v>1.9836070983843081E-2</v>
      </c>
      <c r="W18" s="2"/>
      <c r="X18" s="2">
        <f t="shared" si="10"/>
        <v>-9252.92</v>
      </c>
      <c r="Y18" s="2"/>
      <c r="Z18" s="19">
        <f t="shared" si="11"/>
        <v>-2.6359868156787445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19591.010000000002</v>
      </c>
      <c r="E20" s="14"/>
      <c r="F20" s="20">
        <f>IF(D$12=0,0,D20/D$12)</f>
        <v>0.53386211752754198</v>
      </c>
      <c r="G20" s="14"/>
      <c r="H20" s="21">
        <f>H12-H16</f>
        <v>12702.95</v>
      </c>
      <c r="I20" s="14"/>
      <c r="J20" s="20">
        <f>IF(H$12=0,0,H20/H$12)</f>
        <v>0.37950202971497954</v>
      </c>
      <c r="K20" s="15"/>
      <c r="L20" s="21">
        <f>+D20-H20</f>
        <v>6888.0600000000013</v>
      </c>
      <c r="M20" s="15"/>
      <c r="N20" s="20">
        <f>IF(H20=0,0,L20/H20)</f>
        <v>0.54224097552143402</v>
      </c>
      <c r="O20" s="28"/>
      <c r="P20" s="21">
        <f>P12-P16</f>
        <v>95574.689999999973</v>
      </c>
      <c r="Q20" s="14"/>
      <c r="R20" s="20">
        <f>IF(P$12=0,0,P20/P$12)</f>
        <v>0.5387267586491219</v>
      </c>
      <c r="S20" s="14"/>
      <c r="T20" s="21">
        <f>T12-T16</f>
        <v>87555.95</v>
      </c>
      <c r="U20" s="14"/>
      <c r="V20" s="20">
        <f>IF(T$12=0,0,T20/T$12)</f>
        <v>0.49477271838535242</v>
      </c>
      <c r="W20" s="15"/>
      <c r="X20" s="21">
        <f>+P20-T20</f>
        <v>8018.7399999999761</v>
      </c>
      <c r="Y20" s="15"/>
      <c r="Z20" s="20">
        <f>IF(T20=0,0,X20/T20)</f>
        <v>9.1584181314918939E-2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13777.56</v>
      </c>
      <c r="E22" s="22"/>
      <c r="F22" s="33">
        <f t="shared" ref="F22:F31" si="12">IF(D$12=0,0,D22/D$12)</f>
        <v>0.37544349964411022</v>
      </c>
      <c r="G22" s="22"/>
      <c r="H22" s="22">
        <f>SUM(OSRRefH22x_0)</f>
        <v>14052.840000000002</v>
      </c>
      <c r="I22" s="22"/>
      <c r="J22" s="33">
        <f t="shared" ref="J22:J31" si="13">IF(H$12=0,0,H22/H$12)</f>
        <v>0.4198301420740736</v>
      </c>
      <c r="K22" s="4"/>
      <c r="L22" s="22">
        <f t="shared" ref="L22:L31" si="14">+D22-H22</f>
        <v>-275.28000000000247</v>
      </c>
      <c r="M22" s="4"/>
      <c r="N22" s="33">
        <f t="shared" ref="N22:N31" si="15">IF(H22=0,0,L22/H22)</f>
        <v>-1.9588922950805845E-2</v>
      </c>
      <c r="O22" s="10"/>
      <c r="P22" s="22">
        <f>SUM(OSRRefP22x_0)</f>
        <v>79509.479999999981</v>
      </c>
      <c r="Q22" s="22"/>
      <c r="R22" s="33">
        <f t="shared" ref="R22:R31" si="16">IF(P$12=0,0,P22/P$12)</f>
        <v>0.44817183756784551</v>
      </c>
      <c r="S22" s="22"/>
      <c r="T22" s="22">
        <f>SUM(OSRRefT22x_0)</f>
        <v>77584.569999999992</v>
      </c>
      <c r="U22" s="22"/>
      <c r="V22" s="33">
        <f t="shared" ref="V22:V31" si="17">IF(T$12=0,0,T22/T$12)</f>
        <v>0.43842512820269391</v>
      </c>
      <c r="W22" s="4"/>
      <c r="X22" s="22">
        <f t="shared" ref="X22:X31" si="18">+P22-T22</f>
        <v>1924.9099999999889</v>
      </c>
      <c r="Y22" s="4"/>
      <c r="Z22" s="33">
        <f t="shared" ref="Z22:Z31" si="19">IF(T22=0,0,X22/T22)</f>
        <v>2.4810474556989735E-2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1948.68</v>
      </c>
      <c r="E23" s="1"/>
      <c r="F23" s="5">
        <f t="shared" si="12"/>
        <v>5.3102235728712831E-2</v>
      </c>
      <c r="G23" s="1"/>
      <c r="H23" s="1">
        <f>SUM(OSRRefH22_0x_0)</f>
        <v>3256.45</v>
      </c>
      <c r="I23" s="1"/>
      <c r="J23" s="5">
        <f t="shared" si="13"/>
        <v>9.7286802251866297E-2</v>
      </c>
      <c r="K23" s="1"/>
      <c r="L23" s="1">
        <f t="shared" si="14"/>
        <v>-1307.7699999999998</v>
      </c>
      <c r="M23" s="1"/>
      <c r="N23" s="5">
        <f t="shared" si="15"/>
        <v>-0.40159376007615649</v>
      </c>
      <c r="O23" s="13"/>
      <c r="P23" s="1">
        <f>SUM(OSRRefP22_0x_0)</f>
        <v>10468.699999999999</v>
      </c>
      <c r="Q23" s="1"/>
      <c r="R23" s="5">
        <f t="shared" si="16"/>
        <v>5.9009020257037338E-2</v>
      </c>
      <c r="S23" s="1"/>
      <c r="T23" s="1">
        <f>SUM(OSRRefT22_0x_0)</f>
        <v>15734.57</v>
      </c>
      <c r="U23" s="1"/>
      <c r="V23" s="5">
        <f t="shared" si="17"/>
        <v>8.8914984892798435E-2</v>
      </c>
      <c r="W23" s="1"/>
      <c r="X23" s="1">
        <f t="shared" si="18"/>
        <v>-5265.8700000000008</v>
      </c>
      <c r="Y23" s="1"/>
      <c r="Z23" s="5">
        <f t="shared" si="19"/>
        <v>-0.33466882158203248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324.57</v>
      </c>
      <c r="E24" s="2"/>
      <c r="F24" s="7">
        <f t="shared" si="12"/>
        <v>8.8446500453991019E-3</v>
      </c>
      <c r="G24" s="2"/>
      <c r="H24" s="6">
        <v>387.89</v>
      </c>
      <c r="I24" s="2"/>
      <c r="J24" s="7">
        <f t="shared" si="13"/>
        <v>1.1588256452725028E-2</v>
      </c>
      <c r="K24" s="2"/>
      <c r="L24" s="6">
        <f t="shared" si="14"/>
        <v>-63.319999999999993</v>
      </c>
      <c r="M24" s="2"/>
      <c r="N24" s="7">
        <f t="shared" si="15"/>
        <v>-0.16324215628141997</v>
      </c>
      <c r="O24" s="11"/>
      <c r="P24" s="6">
        <v>2180.41</v>
      </c>
      <c r="Q24" s="2"/>
      <c r="R24" s="7">
        <f t="shared" si="16"/>
        <v>1.2290337659752097E-2</v>
      </c>
      <c r="S24" s="2"/>
      <c r="T24" s="6">
        <v>2400.9299999999998</v>
      </c>
      <c r="U24" s="2"/>
      <c r="V24" s="7">
        <f t="shared" si="17"/>
        <v>1.3567492132207397E-2</v>
      </c>
      <c r="W24" s="2"/>
      <c r="X24" s="6">
        <f t="shared" si="18"/>
        <v>-220.51999999999998</v>
      </c>
      <c r="Y24" s="2"/>
      <c r="Z24" s="7">
        <f t="shared" si="19"/>
        <v>-9.184774233317923E-2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195.43</v>
      </c>
      <c r="E25" s="2"/>
      <c r="F25" s="7">
        <f t="shared" si="12"/>
        <v>5.3255382764036937E-3</v>
      </c>
      <c r="G25" s="2"/>
      <c r="H25" s="6">
        <v>129.58000000000001</v>
      </c>
      <c r="I25" s="2"/>
      <c r="J25" s="7">
        <f t="shared" si="13"/>
        <v>3.8712167654337808E-3</v>
      </c>
      <c r="K25" s="2"/>
      <c r="L25" s="6">
        <f t="shared" si="14"/>
        <v>65.849999999999994</v>
      </c>
      <c r="M25" s="2"/>
      <c r="N25" s="7">
        <f t="shared" si="15"/>
        <v>0.50818027473375516</v>
      </c>
      <c r="O25" s="11"/>
      <c r="P25" s="6">
        <v>699.46</v>
      </c>
      <c r="Q25" s="2"/>
      <c r="R25" s="7">
        <f t="shared" si="16"/>
        <v>3.9426527944240774E-3</v>
      </c>
      <c r="S25" s="2"/>
      <c r="T25" s="6">
        <v>582.98</v>
      </c>
      <c r="U25" s="2"/>
      <c r="V25" s="7">
        <f t="shared" si="17"/>
        <v>3.2943803289701358E-3</v>
      </c>
      <c r="W25" s="2"/>
      <c r="X25" s="6">
        <f t="shared" si="18"/>
        <v>116.48000000000002</v>
      </c>
      <c r="Y25" s="2"/>
      <c r="Z25" s="7">
        <f t="shared" si="19"/>
        <v>0.19980102233352776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965.94</v>
      </c>
      <c r="E26" s="2"/>
      <c r="F26" s="7">
        <f t="shared" si="12"/>
        <v>2.6322214822234988E-2</v>
      </c>
      <c r="G26" s="2"/>
      <c r="H26" s="6">
        <v>2005.79</v>
      </c>
      <c r="I26" s="2"/>
      <c r="J26" s="7">
        <f t="shared" si="13"/>
        <v>5.9923197066981189E-2</v>
      </c>
      <c r="K26" s="2"/>
      <c r="L26" s="6">
        <f t="shared" si="14"/>
        <v>-1039.8499999999999</v>
      </c>
      <c r="M26" s="2"/>
      <c r="N26" s="7">
        <f t="shared" si="15"/>
        <v>-0.51842416205086272</v>
      </c>
      <c r="O26" s="11"/>
      <c r="P26" s="6">
        <v>4829.7</v>
      </c>
      <c r="Q26" s="2"/>
      <c r="R26" s="7">
        <f t="shared" si="16"/>
        <v>2.7223615648114211E-2</v>
      </c>
      <c r="S26" s="2"/>
      <c r="T26" s="6">
        <v>8758.8700000000008</v>
      </c>
      <c r="U26" s="2"/>
      <c r="V26" s="7">
        <f t="shared" si="17"/>
        <v>4.9495778640788114E-2</v>
      </c>
      <c r="W26" s="2"/>
      <c r="X26" s="6">
        <f t="shared" si="18"/>
        <v>-3929.170000000001</v>
      </c>
      <c r="Y26" s="2"/>
      <c r="Z26" s="7">
        <f t="shared" si="19"/>
        <v>-0.44859325460932753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26.74</v>
      </c>
      <c r="E27" s="2"/>
      <c r="F27" s="7">
        <f t="shared" si="12"/>
        <v>7.2867468408655141E-4</v>
      </c>
      <c r="G27" s="2"/>
      <c r="H27" s="6">
        <v>28.31</v>
      </c>
      <c r="I27" s="2"/>
      <c r="J27" s="7">
        <f t="shared" si="13"/>
        <v>8.4576436664169101E-4</v>
      </c>
      <c r="K27" s="2"/>
      <c r="L27" s="6">
        <f t="shared" si="14"/>
        <v>-1.5700000000000003</v>
      </c>
      <c r="M27" s="2"/>
      <c r="N27" s="7">
        <f t="shared" si="15"/>
        <v>-5.5457435535146607E-2</v>
      </c>
      <c r="O27" s="11"/>
      <c r="P27" s="6">
        <v>111.37</v>
      </c>
      <c r="Q27" s="2"/>
      <c r="R27" s="7">
        <f t="shared" si="16"/>
        <v>6.2776033184886847E-4</v>
      </c>
      <c r="S27" s="2"/>
      <c r="T27" s="6">
        <v>127.38</v>
      </c>
      <c r="U27" s="2"/>
      <c r="V27" s="7">
        <f t="shared" si="17"/>
        <v>7.1981571632683092E-4</v>
      </c>
      <c r="W27" s="2"/>
      <c r="X27" s="6">
        <f t="shared" si="18"/>
        <v>-16.009999999999991</v>
      </c>
      <c r="Y27" s="2"/>
      <c r="Z27" s="7">
        <f t="shared" si="19"/>
        <v>-0.12568692102370851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134.11000000000001</v>
      </c>
      <c r="E28" s="2"/>
      <c r="F28" s="7">
        <f t="shared" si="12"/>
        <v>3.6545460689172563E-3</v>
      </c>
      <c r="G28" s="2"/>
      <c r="H28" s="6">
        <v>248.06</v>
      </c>
      <c r="I28" s="2"/>
      <c r="J28" s="7">
        <f t="shared" si="13"/>
        <v>7.4108198088709953E-3</v>
      </c>
      <c r="K28" s="2"/>
      <c r="L28" s="6">
        <f t="shared" si="14"/>
        <v>-113.94999999999999</v>
      </c>
      <c r="M28" s="2"/>
      <c r="N28" s="7">
        <f t="shared" si="15"/>
        <v>-0.45936466983794239</v>
      </c>
      <c r="O28" s="11"/>
      <c r="P28" s="6">
        <v>804.66</v>
      </c>
      <c r="Q28" s="2"/>
      <c r="R28" s="7">
        <f t="shared" si="16"/>
        <v>4.5356346289441539E-3</v>
      </c>
      <c r="S28" s="2"/>
      <c r="T28" s="6">
        <v>1360.72</v>
      </c>
      <c r="U28" s="2"/>
      <c r="V28" s="7">
        <f t="shared" si="17"/>
        <v>7.689336171457414E-3</v>
      </c>
      <c r="W28" s="2"/>
      <c r="X28" s="6">
        <f t="shared" si="18"/>
        <v>-556.06000000000006</v>
      </c>
      <c r="Y28" s="2"/>
      <c r="Z28" s="7">
        <f t="shared" si="19"/>
        <v>-0.40865130225174912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73.92</v>
      </c>
      <c r="E29" s="2"/>
      <c r="F29" s="7">
        <f t="shared" si="12"/>
        <v>2.0143467706685821E-3</v>
      </c>
      <c r="G29" s="2"/>
      <c r="H29" s="6">
        <v>139.58000000000001</v>
      </c>
      <c r="I29" s="2"/>
      <c r="J29" s="7">
        <f t="shared" si="13"/>
        <v>4.1699678663315882E-3</v>
      </c>
      <c r="K29" s="2"/>
      <c r="L29" s="6">
        <f t="shared" si="14"/>
        <v>-65.660000000000011</v>
      </c>
      <c r="M29" s="2"/>
      <c r="N29" s="7">
        <f t="shared" si="15"/>
        <v>-0.47041123370110333</v>
      </c>
      <c r="O29" s="11"/>
      <c r="P29" s="6">
        <v>480.48</v>
      </c>
      <c r="Q29" s="2"/>
      <c r="R29" s="7">
        <f t="shared" si="16"/>
        <v>2.7083261582719251E-3</v>
      </c>
      <c r="S29" s="2"/>
      <c r="T29" s="6">
        <v>776.27</v>
      </c>
      <c r="U29" s="2"/>
      <c r="V29" s="7">
        <f t="shared" si="17"/>
        <v>4.3866489724684338E-3</v>
      </c>
      <c r="W29" s="2"/>
      <c r="X29" s="6">
        <f t="shared" si="18"/>
        <v>-295.78999999999996</v>
      </c>
      <c r="Y29" s="2"/>
      <c r="Z29" s="7">
        <f t="shared" si="19"/>
        <v>-0.3810401020263568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88.56</v>
      </c>
      <c r="E30" s="2"/>
      <c r="F30" s="7">
        <f t="shared" si="12"/>
        <v>2.4132920726516456E-3</v>
      </c>
      <c r="G30" s="2"/>
      <c r="H30" s="6">
        <v>167.24</v>
      </c>
      <c r="I30" s="2"/>
      <c r="J30" s="7">
        <f t="shared" si="13"/>
        <v>4.9963134114149217E-3</v>
      </c>
      <c r="K30" s="2"/>
      <c r="L30" s="6">
        <f t="shared" si="14"/>
        <v>-78.680000000000007</v>
      </c>
      <c r="M30" s="2"/>
      <c r="N30" s="7">
        <f t="shared" si="15"/>
        <v>-0.47046161205453241</v>
      </c>
      <c r="O30" s="11"/>
      <c r="P30" s="6">
        <v>575.64</v>
      </c>
      <c r="Q30" s="2"/>
      <c r="R30" s="7">
        <f t="shared" si="16"/>
        <v>3.2447154298777285E-3</v>
      </c>
      <c r="S30" s="2"/>
      <c r="T30" s="6">
        <v>981.37</v>
      </c>
      <c r="U30" s="2"/>
      <c r="V30" s="7">
        <f t="shared" si="17"/>
        <v>5.5456551227167691E-3</v>
      </c>
      <c r="W30" s="2"/>
      <c r="X30" s="6">
        <f t="shared" si="18"/>
        <v>-405.73</v>
      </c>
      <c r="Y30" s="2"/>
      <c r="Z30" s="7">
        <f t="shared" si="19"/>
        <v>-0.41343224268114986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139.41</v>
      </c>
      <c r="E31" s="2"/>
      <c r="F31" s="7">
        <f t="shared" si="12"/>
        <v>3.798972988351015E-3</v>
      </c>
      <c r="G31" s="2"/>
      <c r="H31" s="6">
        <v>150</v>
      </c>
      <c r="I31" s="2"/>
      <c r="J31" s="7">
        <f t="shared" si="13"/>
        <v>4.4812665134671024E-3</v>
      </c>
      <c r="K31" s="2"/>
      <c r="L31" s="6">
        <f t="shared" si="14"/>
        <v>-10.590000000000003</v>
      </c>
      <c r="M31" s="2"/>
      <c r="N31" s="7">
        <f t="shared" si="15"/>
        <v>-7.0600000000000024E-2</v>
      </c>
      <c r="O31" s="11"/>
      <c r="P31" s="6">
        <v>786.98</v>
      </c>
      <c r="Q31" s="2"/>
      <c r="R31" s="7">
        <f t="shared" si="16"/>
        <v>4.4359776058042781E-3</v>
      </c>
      <c r="S31" s="2"/>
      <c r="T31" s="6">
        <v>746.05</v>
      </c>
      <c r="U31" s="2"/>
      <c r="V31" s="7">
        <f t="shared" si="17"/>
        <v>4.2158778078633394E-3</v>
      </c>
      <c r="W31" s="2"/>
      <c r="X31" s="6">
        <f t="shared" si="18"/>
        <v>40.930000000000064</v>
      </c>
      <c r="Y31" s="2"/>
      <c r="Z31" s="7">
        <f t="shared" si="19"/>
        <v>5.4862274646471504E-2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9177.7999999999993</v>
      </c>
      <c r="E32" s="1"/>
      <c r="F32" s="5">
        <f t="shared" ref="F32:F37" si="20">IF(D$12=0,0,D32/D$12)</f>
        <v>0.25009837380738786</v>
      </c>
      <c r="G32" s="1"/>
      <c r="H32" s="1">
        <f>SUM(OSRRefH22_1x_0)</f>
        <v>8392.93</v>
      </c>
      <c r="I32" s="1"/>
      <c r="J32" s="5">
        <f t="shared" ref="J32:J37" si="21">IF(H$12=0,0,H32/H$12)</f>
        <v>0.25073970772582299</v>
      </c>
      <c r="K32" s="1"/>
      <c r="L32" s="1">
        <f t="shared" ref="L32:L37" si="22">+D32-H32</f>
        <v>784.86999999999898</v>
      </c>
      <c r="M32" s="1"/>
      <c r="N32" s="5">
        <f t="shared" ref="N32:N37" si="23">IF(H32=0,0,L32/H32)</f>
        <v>9.3515613736799771E-2</v>
      </c>
      <c r="O32" s="13"/>
      <c r="P32" s="1">
        <f>SUM(OSRRefP22_1x_0)</f>
        <v>45368.36</v>
      </c>
      <c r="Q32" s="1"/>
      <c r="R32" s="5">
        <f t="shared" ref="R32:R37" si="24">IF(P$12=0,0,P32/P$12)</f>
        <v>0.25572826370691326</v>
      </c>
      <c r="S32" s="1"/>
      <c r="T32" s="1">
        <f>SUM(OSRRefT22_1x_0)</f>
        <v>45662.86</v>
      </c>
      <c r="U32" s="1"/>
      <c r="V32" s="5">
        <f t="shared" ref="V32:V37" si="25">IF(T$12=0,0,T32/T$12)</f>
        <v>0.25803771612837018</v>
      </c>
      <c r="W32" s="1"/>
      <c r="X32" s="1">
        <f t="shared" ref="X32:X37" si="26">+P32-T32</f>
        <v>-294.5</v>
      </c>
      <c r="Y32" s="1"/>
      <c r="Z32" s="5">
        <f t="shared" ref="Z32:Z37" si="27">IF(T32=0,0,X32/T32)</f>
        <v>-6.4494427199697961E-3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1704</v>
      </c>
      <c r="E33" s="2"/>
      <c r="F33" s="7">
        <f t="shared" si="20"/>
        <v>4.643461711606147E-2</v>
      </c>
      <c r="G33" s="2"/>
      <c r="H33" s="6">
        <v>3263.04</v>
      </c>
      <c r="I33" s="2"/>
      <c r="J33" s="7">
        <f t="shared" si="21"/>
        <v>9.7483679227357956E-2</v>
      </c>
      <c r="K33" s="2"/>
      <c r="L33" s="6">
        <f t="shared" si="22"/>
        <v>-1559.04</v>
      </c>
      <c r="M33" s="2"/>
      <c r="N33" s="7">
        <f t="shared" si="23"/>
        <v>-0.47778758458370107</v>
      </c>
      <c r="O33" s="11"/>
      <c r="P33" s="6">
        <v>9840</v>
      </c>
      <c r="Q33" s="2"/>
      <c r="R33" s="7">
        <f t="shared" si="24"/>
        <v>5.5465221023550913E-2</v>
      </c>
      <c r="S33" s="2"/>
      <c r="T33" s="6">
        <v>17946.72</v>
      </c>
      <c r="U33" s="2"/>
      <c r="V33" s="7">
        <f t="shared" si="25"/>
        <v>0.10141569408476263</v>
      </c>
      <c r="W33" s="2"/>
      <c r="X33" s="6">
        <f t="shared" si="26"/>
        <v>-8106.7200000000012</v>
      </c>
      <c r="Y33" s="2"/>
      <c r="Z33" s="7">
        <f t="shared" si="27"/>
        <v>-0.45171039610580654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2252.61</v>
      </c>
      <c r="E34" s="2"/>
      <c r="F34" s="7">
        <f t="shared" si="20"/>
        <v>6.1384438299184996E-2</v>
      </c>
      <c r="G34" s="2"/>
      <c r="H34" s="6">
        <v>594.46</v>
      </c>
      <c r="I34" s="2"/>
      <c r="J34" s="7">
        <f t="shared" si="21"/>
        <v>1.7759557943971025E-2</v>
      </c>
      <c r="K34" s="2"/>
      <c r="L34" s="6">
        <f t="shared" si="22"/>
        <v>1658.15</v>
      </c>
      <c r="M34" s="2"/>
      <c r="N34" s="7">
        <f t="shared" si="23"/>
        <v>2.7893382229250077</v>
      </c>
      <c r="O34" s="11"/>
      <c r="P34" s="6">
        <v>12512.48</v>
      </c>
      <c r="Q34" s="2"/>
      <c r="R34" s="7">
        <f t="shared" si="24"/>
        <v>7.0529214304142301E-2</v>
      </c>
      <c r="S34" s="2"/>
      <c r="T34" s="6">
        <v>2870.28</v>
      </c>
      <c r="U34" s="2"/>
      <c r="V34" s="7">
        <f t="shared" si="25"/>
        <v>1.6219757059652822E-2</v>
      </c>
      <c r="W34" s="2"/>
      <c r="X34" s="6">
        <f t="shared" si="26"/>
        <v>9642.1999999999989</v>
      </c>
      <c r="Y34" s="2"/>
      <c r="Z34" s="7">
        <f t="shared" si="27"/>
        <v>3.3593238290341008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>
        <v>850.42</v>
      </c>
      <c r="I35" s="2"/>
      <c r="J35" s="7">
        <f t="shared" si="21"/>
        <v>2.5406391122551285E-2</v>
      </c>
      <c r="K35" s="2"/>
      <c r="L35" s="6">
        <f t="shared" si="22"/>
        <v>-850.42</v>
      </c>
      <c r="M35" s="2"/>
      <c r="N35" s="7">
        <f t="shared" si="23"/>
        <v>-1</v>
      </c>
      <c r="O35" s="11"/>
      <c r="P35" s="6">
        <v>173.63</v>
      </c>
      <c r="Q35" s="2"/>
      <c r="R35" s="7">
        <f t="shared" si="24"/>
        <v>9.7870186243080733E-4</v>
      </c>
      <c r="S35" s="2"/>
      <c r="T35" s="6">
        <v>3780.31</v>
      </c>
      <c r="U35" s="2"/>
      <c r="V35" s="7">
        <f t="shared" si="25"/>
        <v>2.1362274694516268E-2</v>
      </c>
      <c r="W35" s="2"/>
      <c r="X35" s="6">
        <f t="shared" si="26"/>
        <v>-3606.68</v>
      </c>
      <c r="Y35" s="2"/>
      <c r="Z35" s="7">
        <f t="shared" si="27"/>
        <v>-0.95406990432001604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5221.1899999999996</v>
      </c>
      <c r="E36" s="2"/>
      <c r="F36" s="7">
        <f t="shared" si="20"/>
        <v>0.14227931839214142</v>
      </c>
      <c r="G36" s="2"/>
      <c r="H36" s="6">
        <v>3685.01</v>
      </c>
      <c r="I36" s="2"/>
      <c r="J36" s="7">
        <f t="shared" si="21"/>
        <v>0.11009007943194271</v>
      </c>
      <c r="K36" s="2"/>
      <c r="L36" s="6">
        <f t="shared" si="22"/>
        <v>1536.1799999999994</v>
      </c>
      <c r="M36" s="2"/>
      <c r="N36" s="7">
        <f t="shared" si="23"/>
        <v>0.41687268148526035</v>
      </c>
      <c r="O36" s="11"/>
      <c r="P36" s="6">
        <v>22785.25</v>
      </c>
      <c r="Q36" s="2"/>
      <c r="R36" s="7">
        <f t="shared" si="24"/>
        <v>0.12843383407793327</v>
      </c>
      <c r="S36" s="2"/>
      <c r="T36" s="6">
        <v>19679.550000000003</v>
      </c>
      <c r="U36" s="2"/>
      <c r="V36" s="7">
        <f t="shared" si="25"/>
        <v>0.1112077985573849</v>
      </c>
      <c r="W36" s="2"/>
      <c r="X36" s="6">
        <f t="shared" si="26"/>
        <v>3105.6999999999971</v>
      </c>
      <c r="Y36" s="2"/>
      <c r="Z36" s="7">
        <f t="shared" si="27"/>
        <v>0.15781356789154208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>
        <v>57</v>
      </c>
      <c r="Q37" s="2"/>
      <c r="R37" s="7">
        <f t="shared" si="24"/>
        <v>3.2129243885593519E-4</v>
      </c>
      <c r="S37" s="2"/>
      <c r="T37" s="6">
        <v>1386</v>
      </c>
      <c r="U37" s="2"/>
      <c r="V37" s="7">
        <f t="shared" si="25"/>
        <v>7.8321917320536005E-3</v>
      </c>
      <c r="W37" s="2"/>
      <c r="X37" s="6">
        <f t="shared" si="26"/>
        <v>-1329</v>
      </c>
      <c r="Y37" s="2"/>
      <c r="Z37" s="7">
        <f t="shared" si="27"/>
        <v>-0.95887445887445888</v>
      </c>
    </row>
    <row r="38" spans="1:26" s="25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62.5</v>
      </c>
      <c r="E38" s="1"/>
      <c r="F38" s="5">
        <f t="shared" ref="F38:F50" si="28">IF(D$12=0,0,D38/D$12)</f>
        <v>1.7031476348320668E-3</v>
      </c>
      <c r="G38" s="1"/>
      <c r="H38" s="1">
        <f>SUM(OSRRefH22_2x_0)</f>
        <v>30</v>
      </c>
      <c r="I38" s="1"/>
      <c r="J38" s="5">
        <f t="shared" ref="J38:J50" si="29">IF(H$12=0,0,H38/H$12)</f>
        <v>8.9625330269342042E-4</v>
      </c>
      <c r="K38" s="1"/>
      <c r="L38" s="1">
        <f t="shared" ref="L38:L50" si="30">+D38-H38</f>
        <v>32.5</v>
      </c>
      <c r="M38" s="1"/>
      <c r="N38" s="5">
        <f t="shared" ref="N38:N50" si="31">IF(H38=0,0,L38/H38)</f>
        <v>1.0833333333333333</v>
      </c>
      <c r="O38" s="13"/>
      <c r="P38" s="1">
        <f>SUM(OSRRefP22_2x_0)</f>
        <v>403.94</v>
      </c>
      <c r="Q38" s="1"/>
      <c r="R38" s="5">
        <f t="shared" ref="R38:R50" si="32">IF(P$12=0,0,P38/P$12)</f>
        <v>2.2768924166923941E-3</v>
      </c>
      <c r="S38" s="1"/>
      <c r="T38" s="1">
        <f>SUM(OSRRefT22_2x_0)</f>
        <v>432.5</v>
      </c>
      <c r="U38" s="1"/>
      <c r="V38" s="5">
        <f t="shared" ref="V38:V50" si="33">IF(T$12=0,0,T38/T$12)</f>
        <v>2.444028083775745E-3</v>
      </c>
      <c r="W38" s="1"/>
      <c r="X38" s="1">
        <f t="shared" ref="X38:X50" si="34">+P38-T38</f>
        <v>-28.560000000000002</v>
      </c>
      <c r="Y38" s="1"/>
      <c r="Z38" s="5">
        <f t="shared" ref="Z38:Z50" si="35">IF(T38=0,0,X38/T38)</f>
        <v>-6.6034682080924861E-2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>
        <v>62.5</v>
      </c>
      <c r="E39" s="2"/>
      <c r="F39" s="7">
        <f t="shared" si="28"/>
        <v>1.7031476348320668E-3</v>
      </c>
      <c r="G39" s="2"/>
      <c r="H39" s="6">
        <v>30</v>
      </c>
      <c r="I39" s="2"/>
      <c r="J39" s="7">
        <f t="shared" si="29"/>
        <v>8.9625330269342042E-4</v>
      </c>
      <c r="K39" s="2"/>
      <c r="L39" s="6">
        <f t="shared" si="30"/>
        <v>32.5</v>
      </c>
      <c r="M39" s="2"/>
      <c r="N39" s="7">
        <f t="shared" si="31"/>
        <v>1.0833333333333333</v>
      </c>
      <c r="O39" s="11"/>
      <c r="P39" s="6">
        <v>403.94</v>
      </c>
      <c r="Q39" s="2"/>
      <c r="R39" s="7">
        <f t="shared" si="32"/>
        <v>2.2768924166923941E-3</v>
      </c>
      <c r="S39" s="2"/>
      <c r="T39" s="6">
        <v>432.5</v>
      </c>
      <c r="U39" s="2"/>
      <c r="V39" s="7">
        <f t="shared" si="33"/>
        <v>2.444028083775745E-3</v>
      </c>
      <c r="W39" s="2"/>
      <c r="X39" s="6">
        <f t="shared" si="34"/>
        <v>-28.560000000000002</v>
      </c>
      <c r="Y39" s="2"/>
      <c r="Z39" s="7">
        <f t="shared" si="35"/>
        <v>-6.6034682080924861E-2</v>
      </c>
    </row>
    <row r="40" spans="1:26" s="25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-7.86</v>
      </c>
      <c r="E40" s="1"/>
      <c r="F40" s="5">
        <f t="shared" si="28"/>
        <v>-2.1418784655648072E-4</v>
      </c>
      <c r="G40" s="1"/>
      <c r="H40" s="1">
        <f>SUM(OSRRefH22_3x_0)</f>
        <v>-0.16</v>
      </c>
      <c r="I40" s="1"/>
      <c r="J40" s="5">
        <f t="shared" si="29"/>
        <v>-4.7800176143649091E-6</v>
      </c>
      <c r="K40" s="1"/>
      <c r="L40" s="1">
        <f t="shared" si="30"/>
        <v>-7.7</v>
      </c>
      <c r="M40" s="1"/>
      <c r="N40" s="5">
        <f t="shared" si="31"/>
        <v>48.125</v>
      </c>
      <c r="O40" s="13"/>
      <c r="P40" s="1">
        <f>SUM(OSRRefP22_3x_0)</f>
        <v>0.75</v>
      </c>
      <c r="Q40" s="1"/>
      <c r="R40" s="5">
        <f t="shared" si="32"/>
        <v>4.2275320902096736E-6</v>
      </c>
      <c r="S40" s="1"/>
      <c r="T40" s="1">
        <f>SUM(OSRRefT22_3x_0)</f>
        <v>-148.78</v>
      </c>
      <c r="U40" s="1"/>
      <c r="V40" s="5">
        <f t="shared" si="33"/>
        <v>-8.4074566081885629E-4</v>
      </c>
      <c r="W40" s="1"/>
      <c r="X40" s="1">
        <f t="shared" si="34"/>
        <v>149.53</v>
      </c>
      <c r="Y40" s="1"/>
      <c r="Z40" s="5">
        <f t="shared" si="35"/>
        <v>-1.0050410001344268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>
        <v>-7.86</v>
      </c>
      <c r="E41" s="2"/>
      <c r="F41" s="7">
        <f t="shared" si="28"/>
        <v>-2.1418784655648072E-4</v>
      </c>
      <c r="G41" s="2"/>
      <c r="H41" s="6">
        <v>-0.16</v>
      </c>
      <c r="I41" s="2"/>
      <c r="J41" s="7">
        <f t="shared" si="29"/>
        <v>-4.7800176143649091E-6</v>
      </c>
      <c r="K41" s="2"/>
      <c r="L41" s="6">
        <f t="shared" si="30"/>
        <v>-7.7</v>
      </c>
      <c r="M41" s="2"/>
      <c r="N41" s="7">
        <f t="shared" si="31"/>
        <v>48.125</v>
      </c>
      <c r="O41" s="11"/>
      <c r="P41" s="6">
        <v>0.75</v>
      </c>
      <c r="Q41" s="2"/>
      <c r="R41" s="7">
        <f t="shared" si="32"/>
        <v>4.2275320902096736E-6</v>
      </c>
      <c r="S41" s="2"/>
      <c r="T41" s="6">
        <v>-148.78</v>
      </c>
      <c r="U41" s="2"/>
      <c r="V41" s="7">
        <f t="shared" si="33"/>
        <v>-8.4074566081885629E-4</v>
      </c>
      <c r="W41" s="2"/>
      <c r="X41" s="6">
        <f t="shared" si="34"/>
        <v>149.53</v>
      </c>
      <c r="Y41" s="2"/>
      <c r="Z41" s="7">
        <f t="shared" si="35"/>
        <v>-1.0050410001344268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1371.91</v>
      </c>
      <c r="E42" s="1"/>
      <c r="F42" s="5">
        <f t="shared" si="28"/>
        <v>3.7385044347239375E-2</v>
      </c>
      <c r="G42" s="1"/>
      <c r="H42" s="1">
        <f>SUM(OSRRefH22_4x_0)</f>
        <v>1306.26</v>
      </c>
      <c r="I42" s="1"/>
      <c r="J42" s="5">
        <f t="shared" si="29"/>
        <v>3.9024661305876909E-2</v>
      </c>
      <c r="K42" s="1"/>
      <c r="L42" s="1">
        <f t="shared" si="30"/>
        <v>65.650000000000091</v>
      </c>
      <c r="M42" s="1"/>
      <c r="N42" s="5">
        <f t="shared" si="31"/>
        <v>5.0257988455590839E-2</v>
      </c>
      <c r="O42" s="13"/>
      <c r="P42" s="1">
        <f>SUM(OSRRefP22_4x_0)</f>
        <v>5987.86</v>
      </c>
      <c r="Q42" s="1"/>
      <c r="R42" s="5">
        <f t="shared" si="32"/>
        <v>3.3751827068910521E-2</v>
      </c>
      <c r="S42" s="1"/>
      <c r="T42" s="1">
        <f>SUM(OSRRefT22_4x_0)</f>
        <v>5769.7</v>
      </c>
      <c r="U42" s="1"/>
      <c r="V42" s="5">
        <f t="shared" si="33"/>
        <v>3.2604182277366278E-2</v>
      </c>
      <c r="W42" s="1"/>
      <c r="X42" s="1">
        <f t="shared" si="34"/>
        <v>218.15999999999985</v>
      </c>
      <c r="Y42" s="1"/>
      <c r="Z42" s="5">
        <f t="shared" si="35"/>
        <v>3.7811324678926089E-2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>
        <v>1371.91</v>
      </c>
      <c r="E43" s="2"/>
      <c r="F43" s="7">
        <f t="shared" si="28"/>
        <v>3.7385044347239375E-2</v>
      </c>
      <c r="G43" s="2"/>
      <c r="H43" s="6">
        <v>1306.26</v>
      </c>
      <c r="I43" s="2"/>
      <c r="J43" s="7">
        <f t="shared" si="29"/>
        <v>3.9024661305876909E-2</v>
      </c>
      <c r="K43" s="2"/>
      <c r="L43" s="6">
        <f t="shared" si="30"/>
        <v>65.650000000000091</v>
      </c>
      <c r="M43" s="2"/>
      <c r="N43" s="7">
        <f t="shared" si="31"/>
        <v>5.0257988455590839E-2</v>
      </c>
      <c r="O43" s="11"/>
      <c r="P43" s="6">
        <v>5987.86</v>
      </c>
      <c r="Q43" s="2"/>
      <c r="R43" s="7">
        <f t="shared" si="32"/>
        <v>3.3751827068910521E-2</v>
      </c>
      <c r="S43" s="2"/>
      <c r="T43" s="6">
        <v>5769.7</v>
      </c>
      <c r="U43" s="2"/>
      <c r="V43" s="7">
        <f t="shared" si="33"/>
        <v>3.2604182277366278E-2</v>
      </c>
      <c r="W43" s="2"/>
      <c r="X43" s="6">
        <f t="shared" si="34"/>
        <v>218.15999999999985</v>
      </c>
      <c r="Y43" s="2"/>
      <c r="Z43" s="7">
        <f t="shared" si="35"/>
        <v>3.7811324678926089E-2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155.66999999999999</v>
      </c>
      <c r="E44" s="1"/>
      <c r="F44" s="5">
        <f t="shared" si="28"/>
        <v>4.2420638770289251E-3</v>
      </c>
      <c r="G44" s="1"/>
      <c r="H44" s="1">
        <f>SUM(OSRRefH22_5x_0)</f>
        <v>0</v>
      </c>
      <c r="I44" s="1"/>
      <c r="J44" s="5">
        <f t="shared" si="29"/>
        <v>0</v>
      </c>
      <c r="K44" s="1"/>
      <c r="L44" s="1">
        <f t="shared" si="30"/>
        <v>155.66999999999999</v>
      </c>
      <c r="M44" s="1"/>
      <c r="N44" s="5">
        <f t="shared" si="31"/>
        <v>0</v>
      </c>
      <c r="O44" s="13"/>
      <c r="P44" s="1">
        <f>SUM(OSRRefP22_5x_0)</f>
        <v>778.35</v>
      </c>
      <c r="Q44" s="1"/>
      <c r="R44" s="5">
        <f t="shared" si="32"/>
        <v>4.3873328032195992E-3</v>
      </c>
      <c r="S44" s="1"/>
      <c r="T44" s="1">
        <f>SUM(OSRRefT22_5x_0)</f>
        <v>0</v>
      </c>
      <c r="U44" s="1"/>
      <c r="V44" s="5">
        <f t="shared" si="33"/>
        <v>0</v>
      </c>
      <c r="W44" s="1"/>
      <c r="X44" s="1">
        <f t="shared" si="34"/>
        <v>778.35</v>
      </c>
      <c r="Y44" s="1"/>
      <c r="Z44" s="5">
        <f t="shared" si="35"/>
        <v>0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155.66999999999999</v>
      </c>
      <c r="E45" s="2"/>
      <c r="F45" s="7">
        <f t="shared" si="28"/>
        <v>4.2420638770289251E-3</v>
      </c>
      <c r="G45" s="2"/>
      <c r="H45" s="6"/>
      <c r="I45" s="2"/>
      <c r="J45" s="7">
        <f t="shared" si="29"/>
        <v>0</v>
      </c>
      <c r="K45" s="2"/>
      <c r="L45" s="6">
        <f t="shared" si="30"/>
        <v>155.66999999999999</v>
      </c>
      <c r="M45" s="2"/>
      <c r="N45" s="7">
        <f t="shared" si="31"/>
        <v>0</v>
      </c>
      <c r="O45" s="11"/>
      <c r="P45" s="6">
        <v>778.35</v>
      </c>
      <c r="Q45" s="2"/>
      <c r="R45" s="7">
        <f t="shared" si="32"/>
        <v>4.3873328032195992E-3</v>
      </c>
      <c r="S45" s="2"/>
      <c r="T45" s="6"/>
      <c r="U45" s="2"/>
      <c r="V45" s="7">
        <f t="shared" si="33"/>
        <v>0</v>
      </c>
      <c r="W45" s="2"/>
      <c r="X45" s="6">
        <f t="shared" si="34"/>
        <v>778.35</v>
      </c>
      <c r="Y45" s="2"/>
      <c r="Z45" s="7">
        <f t="shared" si="35"/>
        <v>0</v>
      </c>
    </row>
    <row r="46" spans="1:26" s="25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SUM(OSRRefD22_6x_0)</f>
        <v>400</v>
      </c>
      <c r="E46" s="1"/>
      <c r="F46" s="5">
        <f t="shared" si="28"/>
        <v>1.0900144862925228E-2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400</v>
      </c>
      <c r="M46" s="1"/>
      <c r="N46" s="5">
        <f t="shared" si="31"/>
        <v>0</v>
      </c>
      <c r="O46" s="13"/>
      <c r="P46" s="1">
        <f>SUM(OSRRefP22_6x_0)</f>
        <v>1896.09</v>
      </c>
      <c r="Q46" s="1"/>
      <c r="R46" s="5">
        <f t="shared" si="32"/>
        <v>1.0687708427900879E-2</v>
      </c>
      <c r="S46" s="1"/>
      <c r="T46" s="1">
        <f>SUM(OSRRefT22_6x_0)</f>
        <v>2293.73</v>
      </c>
      <c r="U46" s="1"/>
      <c r="V46" s="5">
        <f t="shared" si="33"/>
        <v>1.2961712223350149E-2</v>
      </c>
      <c r="W46" s="1"/>
      <c r="X46" s="1">
        <f t="shared" si="34"/>
        <v>-397.6400000000001</v>
      </c>
      <c r="Y46" s="1"/>
      <c r="Z46" s="5">
        <f t="shared" si="35"/>
        <v>-0.17335954972904399</v>
      </c>
    </row>
    <row r="47" spans="1:26" s="24" customFormat="1" hidden="1" outlineLevel="2" x14ac:dyDescent="0.25">
      <c r="A47" s="26"/>
      <c r="B47" s="11" t="str">
        <f>CONCATENATE("          ", "6279", " - ", "GENERAL EXPENSE")</f>
        <v xml:space="preserve">          6279 - GENERAL EXPENSE</v>
      </c>
      <c r="C47" s="11"/>
      <c r="D47" s="6">
        <v>400</v>
      </c>
      <c r="E47" s="2"/>
      <c r="F47" s="7">
        <f t="shared" si="28"/>
        <v>1.0900144862925228E-2</v>
      </c>
      <c r="G47" s="2"/>
      <c r="H47" s="6"/>
      <c r="I47" s="2"/>
      <c r="J47" s="7">
        <f t="shared" si="29"/>
        <v>0</v>
      </c>
      <c r="K47" s="2"/>
      <c r="L47" s="6">
        <f t="shared" si="30"/>
        <v>400</v>
      </c>
      <c r="M47" s="2"/>
      <c r="N47" s="7">
        <f t="shared" si="31"/>
        <v>0</v>
      </c>
      <c r="O47" s="11"/>
      <c r="P47" s="6">
        <v>1896.09</v>
      </c>
      <c r="Q47" s="2"/>
      <c r="R47" s="7">
        <f t="shared" si="32"/>
        <v>1.0687708427900879E-2</v>
      </c>
      <c r="S47" s="2"/>
      <c r="T47" s="6">
        <v>2293.73</v>
      </c>
      <c r="U47" s="2"/>
      <c r="V47" s="7">
        <f t="shared" si="33"/>
        <v>1.2961712223350149E-2</v>
      </c>
      <c r="W47" s="2"/>
      <c r="X47" s="6">
        <f t="shared" si="34"/>
        <v>-397.6400000000001</v>
      </c>
      <c r="Y47" s="2"/>
      <c r="Z47" s="7">
        <f t="shared" si="35"/>
        <v>-0.17335954972904399</v>
      </c>
    </row>
    <row r="48" spans="1:26" s="25" customFormat="1" outlineLevel="1" collapsed="1" x14ac:dyDescent="0.25">
      <c r="A48" s="27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252.54</v>
      </c>
      <c r="I48" s="1"/>
      <c r="J48" s="5">
        <f t="shared" si="29"/>
        <v>7.5446603020732127E-3</v>
      </c>
      <c r="K48" s="1"/>
      <c r="L48" s="1">
        <f t="shared" si="30"/>
        <v>-252.54</v>
      </c>
      <c r="M48" s="1"/>
      <c r="N48" s="5">
        <f t="shared" si="31"/>
        <v>-1</v>
      </c>
      <c r="O48" s="13"/>
      <c r="P48" s="1">
        <f>SUM(OSRRefP22_7x_0)</f>
        <v>5754.7999999999993</v>
      </c>
      <c r="Q48" s="1"/>
      <c r="R48" s="5">
        <f t="shared" si="32"/>
        <v>3.24381355636515E-2</v>
      </c>
      <c r="S48" s="1"/>
      <c r="T48" s="1">
        <f>SUM(OSRRefT22_7x_0)</f>
        <v>1998.6299999999999</v>
      </c>
      <c r="U48" s="1"/>
      <c r="V48" s="5">
        <f t="shared" si="33"/>
        <v>1.1294122194397033E-2</v>
      </c>
      <c r="W48" s="1"/>
      <c r="X48" s="1">
        <f t="shared" si="34"/>
        <v>3756.1699999999992</v>
      </c>
      <c r="Y48" s="1"/>
      <c r="Z48" s="5">
        <f t="shared" si="35"/>
        <v>1.8793723700735001</v>
      </c>
    </row>
    <row r="49" spans="1:26" s="24" customFormat="1" hidden="1" outlineLevel="2" x14ac:dyDescent="0.25">
      <c r="A49" s="26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>
        <v>45.65</v>
      </c>
      <c r="Q49" s="2"/>
      <c r="R49" s="7">
        <f t="shared" si="32"/>
        <v>2.5731578655742877E-4</v>
      </c>
      <c r="S49" s="2"/>
      <c r="T49" s="6">
        <v>166.54</v>
      </c>
      <c r="U49" s="2"/>
      <c r="V49" s="7">
        <f t="shared" si="33"/>
        <v>9.4110621288326596E-4</v>
      </c>
      <c r="W49" s="2"/>
      <c r="X49" s="6">
        <f t="shared" si="34"/>
        <v>-120.88999999999999</v>
      </c>
      <c r="Y49" s="2"/>
      <c r="Z49" s="7">
        <f t="shared" si="35"/>
        <v>-0.72589167767503293</v>
      </c>
    </row>
    <row r="50" spans="1:26" s="24" customFormat="1" hidden="1" outlineLevel="2" x14ac:dyDescent="0.25">
      <c r="A50" s="26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28"/>
        <v>0</v>
      </c>
      <c r="G50" s="2"/>
      <c r="H50" s="6">
        <v>252.54</v>
      </c>
      <c r="I50" s="2"/>
      <c r="J50" s="7">
        <f t="shared" si="29"/>
        <v>7.5446603020732127E-3</v>
      </c>
      <c r="K50" s="2"/>
      <c r="L50" s="6">
        <f t="shared" si="30"/>
        <v>-252.54</v>
      </c>
      <c r="M50" s="2"/>
      <c r="N50" s="7">
        <f t="shared" si="31"/>
        <v>-1</v>
      </c>
      <c r="O50" s="11"/>
      <c r="P50" s="6">
        <v>5709.15</v>
      </c>
      <c r="Q50" s="2"/>
      <c r="R50" s="7">
        <f t="shared" si="32"/>
        <v>3.2180819777094076E-2</v>
      </c>
      <c r="S50" s="2"/>
      <c r="T50" s="6">
        <v>1832.09</v>
      </c>
      <c r="U50" s="2"/>
      <c r="V50" s="7">
        <f t="shared" si="33"/>
        <v>1.0353015981513768E-2</v>
      </c>
      <c r="W50" s="2"/>
      <c r="X50" s="6">
        <f t="shared" si="34"/>
        <v>3877.0599999999995</v>
      </c>
      <c r="Y50" s="2"/>
      <c r="Z50" s="7">
        <f t="shared" si="35"/>
        <v>2.1161951650846844</v>
      </c>
    </row>
    <row r="51" spans="1:26" s="25" customFormat="1" outlineLevel="1" collapsed="1" x14ac:dyDescent="0.25">
      <c r="A51" s="27"/>
      <c r="B51" s="13" t="str">
        <f>CONCATENATE("     ","Services                                          ")</f>
        <v xml:space="preserve">     Services                                          </v>
      </c>
      <c r="C51" s="13"/>
      <c r="D51" s="1">
        <f>SUM(OSRRefD22_8x_0)</f>
        <v>381.79</v>
      </c>
      <c r="E51" s="1"/>
      <c r="F51" s="5">
        <f t="shared" ref="F51:F54" si="36">IF(D$12=0,0,D51/D$12)</f>
        <v>1.0403915768040558E-2</v>
      </c>
      <c r="G51" s="1"/>
      <c r="H51" s="1">
        <f>SUM(OSRRefH22_8x_0)</f>
        <v>327.93</v>
      </c>
      <c r="I51" s="1"/>
      <c r="J51" s="5">
        <f t="shared" ref="J51:J54" si="37">IF(H$12=0,0,H51/H$12)</f>
        <v>9.7969448517417779E-3</v>
      </c>
      <c r="K51" s="1"/>
      <c r="L51" s="1">
        <f t="shared" ref="L51:L54" si="38">+D51-H51</f>
        <v>53.860000000000014</v>
      </c>
      <c r="M51" s="1"/>
      <c r="N51" s="5">
        <f t="shared" ref="N51:N54" si="39">IF(H51=0,0,L51/H51)</f>
        <v>0.16424236879821916</v>
      </c>
      <c r="O51" s="13"/>
      <c r="P51" s="1">
        <f>SUM(OSRRefP22_8x_0)</f>
        <v>2102.23</v>
      </c>
      <c r="Q51" s="1"/>
      <c r="R51" s="5">
        <f t="shared" ref="R51:R54" si="40">IF(P$12=0,0,P51/P$12)</f>
        <v>1.1849659714668642E-2</v>
      </c>
      <c r="S51" s="1"/>
      <c r="T51" s="1">
        <f>SUM(OSRRefT22_8x_0)</f>
        <v>1739.65</v>
      </c>
      <c r="U51" s="1"/>
      <c r="V51" s="5">
        <f t="shared" ref="V51:V54" si="41">IF(T$12=0,0,T51/T$12)</f>
        <v>9.8306438287641042E-3</v>
      </c>
      <c r="W51" s="1"/>
      <c r="X51" s="1">
        <f t="shared" ref="X51:X54" si="42">+P51-T51</f>
        <v>362.57999999999993</v>
      </c>
      <c r="Y51" s="1"/>
      <c r="Z51" s="5">
        <f t="shared" ref="Z51:Z54" si="43">IF(T51=0,0,X51/T51)</f>
        <v>0.20842123415629576</v>
      </c>
    </row>
    <row r="52" spans="1:26" s="24" customFormat="1" hidden="1" outlineLevel="2" x14ac:dyDescent="0.25">
      <c r="A52" s="26"/>
      <c r="B52" s="11" t="str">
        <f>CONCATENATE("          ", "6282", " - ", "JANITORIAL/EXTERMINATOR EXPENS")</f>
        <v xml:space="preserve">          6282 - JANITORIAL/EXTERMINATOR EXPENS</v>
      </c>
      <c r="C52" s="11"/>
      <c r="D52" s="6">
        <v>141.93</v>
      </c>
      <c r="E52" s="2"/>
      <c r="F52" s="7">
        <f t="shared" si="36"/>
        <v>3.867643900987444E-3</v>
      </c>
      <c r="G52" s="2"/>
      <c r="H52" s="6">
        <v>327.93</v>
      </c>
      <c r="I52" s="2"/>
      <c r="J52" s="7">
        <f t="shared" si="37"/>
        <v>9.7969448517417779E-3</v>
      </c>
      <c r="K52" s="2"/>
      <c r="L52" s="6">
        <f t="shared" si="38"/>
        <v>-186</v>
      </c>
      <c r="M52" s="2"/>
      <c r="N52" s="7">
        <f t="shared" si="39"/>
        <v>-0.56719421827829108</v>
      </c>
      <c r="O52" s="11"/>
      <c r="P52" s="6">
        <v>1781.58</v>
      </c>
      <c r="Q52" s="2"/>
      <c r="R52" s="7">
        <f t="shared" si="40"/>
        <v>1.0042248828367666E-2</v>
      </c>
      <c r="S52" s="2"/>
      <c r="T52" s="6">
        <v>1639.65</v>
      </c>
      <c r="U52" s="2"/>
      <c r="V52" s="7">
        <f t="shared" si="41"/>
        <v>9.2655506302032377E-3</v>
      </c>
      <c r="W52" s="2"/>
      <c r="X52" s="6">
        <f t="shared" si="42"/>
        <v>141.92999999999984</v>
      </c>
      <c r="Y52" s="2"/>
      <c r="Z52" s="7">
        <f t="shared" si="43"/>
        <v>8.656115634434168E-2</v>
      </c>
    </row>
    <row r="53" spans="1:26" s="24" customFormat="1" hidden="1" outlineLevel="2" x14ac:dyDescent="0.25">
      <c r="A53" s="26"/>
      <c r="B53" s="11" t="str">
        <f>CONCATENATE("          ", "6285", " - ", "JANITORIAL SERVICES")</f>
        <v xml:space="preserve">          6285 - JANITORIAL SERVICES</v>
      </c>
      <c r="C53" s="11"/>
      <c r="D53" s="6">
        <v>53.86</v>
      </c>
      <c r="E53" s="2"/>
      <c r="F53" s="7">
        <f t="shared" si="36"/>
        <v>1.467704505792882E-3</v>
      </c>
      <c r="G53" s="2"/>
      <c r="H53" s="6"/>
      <c r="I53" s="2"/>
      <c r="J53" s="7">
        <f t="shared" si="37"/>
        <v>0</v>
      </c>
      <c r="K53" s="2"/>
      <c r="L53" s="6">
        <f t="shared" si="38"/>
        <v>53.86</v>
      </c>
      <c r="M53" s="2"/>
      <c r="N53" s="7">
        <f t="shared" si="39"/>
        <v>0</v>
      </c>
      <c r="O53" s="11"/>
      <c r="P53" s="6">
        <v>134.65</v>
      </c>
      <c r="Q53" s="2"/>
      <c r="R53" s="7">
        <f t="shared" si="40"/>
        <v>7.5898292792897666E-4</v>
      </c>
      <c r="S53" s="2"/>
      <c r="T53" s="6">
        <v>100</v>
      </c>
      <c r="U53" s="2"/>
      <c r="V53" s="7">
        <f t="shared" si="41"/>
        <v>5.650931985608659E-4</v>
      </c>
      <c r="W53" s="2"/>
      <c r="X53" s="6">
        <f t="shared" si="42"/>
        <v>34.650000000000006</v>
      </c>
      <c r="Y53" s="2"/>
      <c r="Z53" s="7">
        <f t="shared" si="43"/>
        <v>0.34650000000000003</v>
      </c>
    </row>
    <row r="54" spans="1:26" s="24" customFormat="1" hidden="1" outlineLevel="2" x14ac:dyDescent="0.25">
      <c r="A54" s="26"/>
      <c r="B54" s="11" t="str">
        <f>CONCATENATE("          ", "6286", " - ", "LAUNDRY EXPENSE")</f>
        <v xml:space="preserve">          6286 - LAUNDRY EXPENSE</v>
      </c>
      <c r="C54" s="11"/>
      <c r="D54" s="6">
        <v>186</v>
      </c>
      <c r="E54" s="2"/>
      <c r="F54" s="7">
        <f t="shared" si="36"/>
        <v>5.0685673612602304E-3</v>
      </c>
      <c r="G54" s="2"/>
      <c r="H54" s="6"/>
      <c r="I54" s="2"/>
      <c r="J54" s="7">
        <f t="shared" si="37"/>
        <v>0</v>
      </c>
      <c r="K54" s="2"/>
      <c r="L54" s="6">
        <f t="shared" si="38"/>
        <v>186</v>
      </c>
      <c r="M54" s="2"/>
      <c r="N54" s="7">
        <f t="shared" si="39"/>
        <v>0</v>
      </c>
      <c r="O54" s="11"/>
      <c r="P54" s="6">
        <v>186</v>
      </c>
      <c r="Q54" s="2"/>
      <c r="R54" s="7">
        <f t="shared" si="40"/>
        <v>1.0484279583719989E-3</v>
      </c>
      <c r="S54" s="2"/>
      <c r="T54" s="6"/>
      <c r="U54" s="2"/>
      <c r="V54" s="7">
        <f t="shared" si="41"/>
        <v>0</v>
      </c>
      <c r="W54" s="2"/>
      <c r="X54" s="6">
        <f t="shared" si="42"/>
        <v>186</v>
      </c>
      <c r="Y54" s="2"/>
      <c r="Z54" s="7">
        <f t="shared" si="43"/>
        <v>0</v>
      </c>
    </row>
    <row r="55" spans="1:26" s="25" customFormat="1" outlineLevel="1" collapsed="1" x14ac:dyDescent="0.25">
      <c r="A55" s="27"/>
      <c r="B55" s="13" t="str">
        <f>CONCATENATE("     ","Subscriptions &amp; Dues                              ")</f>
        <v xml:space="preserve">     Subscriptions &amp; Dues                              </v>
      </c>
      <c r="C55" s="13"/>
      <c r="D55" s="1">
        <f>SUM(OSRRefD22_9x_0)</f>
        <v>0</v>
      </c>
      <c r="E55" s="1"/>
      <c r="F55" s="5">
        <f t="shared" ref="F55:F63" si="44">IF(D$12=0,0,D55/D$12)</f>
        <v>0</v>
      </c>
      <c r="G55" s="1"/>
      <c r="H55" s="1">
        <f>SUM(OSRRefH22_9x_0)</f>
        <v>0</v>
      </c>
      <c r="I55" s="1"/>
      <c r="J55" s="5">
        <f t="shared" ref="J55:J63" si="45">IF(H$12=0,0,H55/H$12)</f>
        <v>0</v>
      </c>
      <c r="K55" s="1"/>
      <c r="L55" s="1">
        <f t="shared" ref="L55:L63" si="46">+D55-H55</f>
        <v>0</v>
      </c>
      <c r="M55" s="1"/>
      <c r="N55" s="5">
        <f t="shared" ref="N55:N63" si="47">IF(H55=0,0,L55/H55)</f>
        <v>0</v>
      </c>
      <c r="O55" s="13"/>
      <c r="P55" s="1">
        <f>SUM(OSRRefP22_9x_0)</f>
        <v>0</v>
      </c>
      <c r="Q55" s="1"/>
      <c r="R55" s="5">
        <f t="shared" ref="R55:R63" si="48">IF(P$12=0,0,P55/P$12)</f>
        <v>0</v>
      </c>
      <c r="S55" s="1"/>
      <c r="T55" s="1">
        <f>SUM(OSRRefT22_9x_0)</f>
        <v>31.8</v>
      </c>
      <c r="U55" s="1"/>
      <c r="V55" s="5">
        <f t="shared" ref="V55:V63" si="49">IF(T$12=0,0,T55/T$12)</f>
        <v>1.7969963714235536E-4</v>
      </c>
      <c r="W55" s="1"/>
      <c r="X55" s="1">
        <f t="shared" ref="X55:X63" si="50">+P55-T55</f>
        <v>-31.8</v>
      </c>
      <c r="Y55" s="1"/>
      <c r="Z55" s="5">
        <f t="shared" ref="Z55:Z63" si="51">IF(T55=0,0,X55/T55)</f>
        <v>-1</v>
      </c>
    </row>
    <row r="56" spans="1:26" s="24" customFormat="1" hidden="1" outlineLevel="2" x14ac:dyDescent="0.25">
      <c r="A56" s="26"/>
      <c r="B56" s="11" t="str">
        <f>CONCATENATE("          ", "6258", " - ", "MEMBERSHIP DUES")</f>
        <v xml:space="preserve">          6258 - MEMBERSHIP DUES</v>
      </c>
      <c r="C56" s="11"/>
      <c r="D56" s="6"/>
      <c r="E56" s="2"/>
      <c r="F56" s="7">
        <f t="shared" si="44"/>
        <v>0</v>
      </c>
      <c r="G56" s="2"/>
      <c r="H56" s="6"/>
      <c r="I56" s="2"/>
      <c r="J56" s="7">
        <f t="shared" si="45"/>
        <v>0</v>
      </c>
      <c r="K56" s="2"/>
      <c r="L56" s="6">
        <f t="shared" si="46"/>
        <v>0</v>
      </c>
      <c r="M56" s="2"/>
      <c r="N56" s="7">
        <f t="shared" si="47"/>
        <v>0</v>
      </c>
      <c r="O56" s="11"/>
      <c r="P56" s="6"/>
      <c r="Q56" s="2"/>
      <c r="R56" s="7">
        <f t="shared" si="48"/>
        <v>0</v>
      </c>
      <c r="S56" s="2"/>
      <c r="T56" s="6">
        <v>31.8</v>
      </c>
      <c r="U56" s="2"/>
      <c r="V56" s="7">
        <f t="shared" si="49"/>
        <v>1.7969963714235536E-4</v>
      </c>
      <c r="W56" s="2"/>
      <c r="X56" s="6">
        <f t="shared" si="50"/>
        <v>-31.8</v>
      </c>
      <c r="Y56" s="2"/>
      <c r="Z56" s="7">
        <f t="shared" si="51"/>
        <v>-1</v>
      </c>
    </row>
    <row r="57" spans="1:26" s="25" customFormat="1" outlineLevel="1" collapsed="1" x14ac:dyDescent="0.25">
      <c r="A57" s="27"/>
      <c r="B57" s="13" t="str">
        <f>CONCATENATE("     ","Supplies                                          ")</f>
        <v xml:space="preserve">     Supplies                                          </v>
      </c>
      <c r="C57" s="13"/>
      <c r="D57" s="1">
        <f>SUM(OSRRefD22_10x_0)</f>
        <v>196.06</v>
      </c>
      <c r="E57" s="1"/>
      <c r="F57" s="5">
        <f t="shared" si="44"/>
        <v>5.3427060045628007E-3</v>
      </c>
      <c r="G57" s="1"/>
      <c r="H57" s="1">
        <f>SUM(OSRRefH22_10x_0)</f>
        <v>395.88</v>
      </c>
      <c r="I57" s="1"/>
      <c r="J57" s="5">
        <f t="shared" si="45"/>
        <v>1.1826958582342376E-2</v>
      </c>
      <c r="K57" s="1"/>
      <c r="L57" s="1">
        <f t="shared" si="46"/>
        <v>-199.82</v>
      </c>
      <c r="M57" s="1"/>
      <c r="N57" s="5">
        <f t="shared" si="47"/>
        <v>-0.50474891381226639</v>
      </c>
      <c r="O57" s="13"/>
      <c r="P57" s="1">
        <f>SUM(OSRRefP22_10x_0)</f>
        <v>6293.35</v>
      </c>
      <c r="Q57" s="1"/>
      <c r="R57" s="5">
        <f t="shared" si="48"/>
        <v>3.5473785439894732E-2</v>
      </c>
      <c r="S57" s="1"/>
      <c r="T57" s="1">
        <f>SUM(OSRRefT22_10x_0)</f>
        <v>3614.8599999999997</v>
      </c>
      <c r="U57" s="1"/>
      <c r="V57" s="5">
        <f t="shared" si="49"/>
        <v>2.0427327997497316E-2</v>
      </c>
      <c r="W57" s="1"/>
      <c r="X57" s="1">
        <f t="shared" si="50"/>
        <v>2678.4900000000007</v>
      </c>
      <c r="Y57" s="1"/>
      <c r="Z57" s="5">
        <f t="shared" si="51"/>
        <v>0.74096645513242587</v>
      </c>
    </row>
    <row r="58" spans="1:26" s="24" customFormat="1" hidden="1" outlineLevel="2" x14ac:dyDescent="0.25">
      <c r="A58" s="26"/>
      <c r="B58" s="11" t="str">
        <f>CONCATENATE("          ", "6237", " - ", "JANITORIAL SUPPLIES")</f>
        <v xml:space="preserve">          6237 - JANITORIAL SUPPLIES</v>
      </c>
      <c r="C58" s="11"/>
      <c r="D58" s="6">
        <v>2.8</v>
      </c>
      <c r="E58" s="2"/>
      <c r="F58" s="7">
        <f t="shared" si="44"/>
        <v>7.6301014040476586E-5</v>
      </c>
      <c r="G58" s="2"/>
      <c r="H58" s="6"/>
      <c r="I58" s="2"/>
      <c r="J58" s="7">
        <f t="shared" si="45"/>
        <v>0</v>
      </c>
      <c r="K58" s="2"/>
      <c r="L58" s="6">
        <f t="shared" si="46"/>
        <v>2.8</v>
      </c>
      <c r="M58" s="2"/>
      <c r="N58" s="7">
        <f t="shared" si="47"/>
        <v>0</v>
      </c>
      <c r="O58" s="11"/>
      <c r="P58" s="6">
        <v>776.95</v>
      </c>
      <c r="Q58" s="2"/>
      <c r="R58" s="7">
        <f t="shared" si="48"/>
        <v>4.3794414099845415E-3</v>
      </c>
      <c r="S58" s="2"/>
      <c r="T58" s="6">
        <v>398.56</v>
      </c>
      <c r="U58" s="2"/>
      <c r="V58" s="7">
        <f t="shared" si="49"/>
        <v>2.2522354521841872E-3</v>
      </c>
      <c r="W58" s="2"/>
      <c r="X58" s="6">
        <f t="shared" si="50"/>
        <v>378.39000000000004</v>
      </c>
      <c r="Y58" s="2"/>
      <c r="Z58" s="7">
        <f t="shared" si="51"/>
        <v>0.94939281413087129</v>
      </c>
    </row>
    <row r="59" spans="1:26" s="24" customFormat="1" hidden="1" outlineLevel="2" x14ac:dyDescent="0.25">
      <c r="A59" s="26"/>
      <c r="B59" s="11" t="str">
        <f>CONCATENATE("          ", "6241", " - ", "OFFICE EXPENSE")</f>
        <v xml:space="preserve">          6241 - OFFICE EXPENSE</v>
      </c>
      <c r="C59" s="11"/>
      <c r="D59" s="6"/>
      <c r="E59" s="2"/>
      <c r="F59" s="7">
        <f t="shared" si="44"/>
        <v>0</v>
      </c>
      <c r="G59" s="2"/>
      <c r="H59" s="6"/>
      <c r="I59" s="2"/>
      <c r="J59" s="7">
        <f t="shared" si="45"/>
        <v>0</v>
      </c>
      <c r="K59" s="2"/>
      <c r="L59" s="6">
        <f t="shared" si="46"/>
        <v>0</v>
      </c>
      <c r="M59" s="2"/>
      <c r="N59" s="7">
        <f t="shared" si="47"/>
        <v>0</v>
      </c>
      <c r="O59" s="11"/>
      <c r="P59" s="6"/>
      <c r="Q59" s="2"/>
      <c r="R59" s="7">
        <f t="shared" si="48"/>
        <v>0</v>
      </c>
      <c r="S59" s="2"/>
      <c r="T59" s="6">
        <v>68.36</v>
      </c>
      <c r="U59" s="2"/>
      <c r="V59" s="7">
        <f t="shared" si="49"/>
        <v>3.8629771053620791E-4</v>
      </c>
      <c r="W59" s="2"/>
      <c r="X59" s="6">
        <f t="shared" si="50"/>
        <v>-68.36</v>
      </c>
      <c r="Y59" s="2"/>
      <c r="Z59" s="7">
        <f t="shared" si="51"/>
        <v>-1</v>
      </c>
    </row>
    <row r="60" spans="1:26" s="24" customFormat="1" hidden="1" outlineLevel="2" x14ac:dyDescent="0.25">
      <c r="A60" s="26"/>
      <c r="B60" s="11" t="str">
        <f>CONCATENATE("          ", "6243", " - ", "PAPER SUPPLIES")</f>
        <v xml:space="preserve">          6243 - PAPER SUPPLIES</v>
      </c>
      <c r="C60" s="11"/>
      <c r="D60" s="6">
        <v>29.45</v>
      </c>
      <c r="E60" s="2"/>
      <c r="F60" s="7">
        <f t="shared" si="44"/>
        <v>8.0252316553286983E-4</v>
      </c>
      <c r="G60" s="2"/>
      <c r="H60" s="6"/>
      <c r="I60" s="2"/>
      <c r="J60" s="7">
        <f t="shared" si="45"/>
        <v>0</v>
      </c>
      <c r="K60" s="2"/>
      <c r="L60" s="6">
        <f t="shared" si="46"/>
        <v>29.45</v>
      </c>
      <c r="M60" s="2"/>
      <c r="N60" s="7">
        <f t="shared" si="47"/>
        <v>0</v>
      </c>
      <c r="O60" s="11"/>
      <c r="P60" s="6">
        <v>704.76</v>
      </c>
      <c r="Q60" s="2"/>
      <c r="R60" s="7">
        <f t="shared" si="48"/>
        <v>3.9725273545282254E-3</v>
      </c>
      <c r="S60" s="2"/>
      <c r="T60" s="6">
        <v>931.89</v>
      </c>
      <c r="U60" s="2"/>
      <c r="V60" s="7">
        <f t="shared" si="49"/>
        <v>5.2660470080688531E-3</v>
      </c>
      <c r="W60" s="2"/>
      <c r="X60" s="6">
        <f t="shared" si="50"/>
        <v>-227.13</v>
      </c>
      <c r="Y60" s="2"/>
      <c r="Z60" s="7">
        <f t="shared" si="51"/>
        <v>-0.24373048321153784</v>
      </c>
    </row>
    <row r="61" spans="1:26" s="24" customFormat="1" hidden="1" outlineLevel="2" x14ac:dyDescent="0.25">
      <c r="A61" s="26"/>
      <c r="B61" s="11" t="str">
        <f>CONCATENATE("          ", "6245", " - ", "PRINTING")</f>
        <v xml:space="preserve">          6245 - PRINTING</v>
      </c>
      <c r="C61" s="11"/>
      <c r="D61" s="6"/>
      <c r="E61" s="2"/>
      <c r="F61" s="7">
        <f t="shared" si="44"/>
        <v>0</v>
      </c>
      <c r="G61" s="2"/>
      <c r="H61" s="6"/>
      <c r="I61" s="2"/>
      <c r="J61" s="7">
        <f t="shared" si="45"/>
        <v>0</v>
      </c>
      <c r="K61" s="2"/>
      <c r="L61" s="6">
        <f t="shared" si="46"/>
        <v>0</v>
      </c>
      <c r="M61" s="2"/>
      <c r="N61" s="7">
        <f t="shared" si="47"/>
        <v>0</v>
      </c>
      <c r="O61" s="11"/>
      <c r="P61" s="6"/>
      <c r="Q61" s="2"/>
      <c r="R61" s="7">
        <f t="shared" si="48"/>
        <v>0</v>
      </c>
      <c r="S61" s="2"/>
      <c r="T61" s="6">
        <v>51.82</v>
      </c>
      <c r="U61" s="2"/>
      <c r="V61" s="7">
        <f t="shared" si="49"/>
        <v>2.9283129549424069E-4</v>
      </c>
      <c r="W61" s="2"/>
      <c r="X61" s="6">
        <f t="shared" si="50"/>
        <v>-51.82</v>
      </c>
      <c r="Y61" s="2"/>
      <c r="Z61" s="7">
        <f t="shared" si="51"/>
        <v>-1</v>
      </c>
    </row>
    <row r="62" spans="1:26" s="24" customFormat="1" hidden="1" outlineLevel="2" x14ac:dyDescent="0.25">
      <c r="A62" s="26"/>
      <c r="B62" s="11" t="str">
        <f>CONCATENATE("          ", "6247", " - ", "STORE SUPPLIES")</f>
        <v xml:space="preserve">          6247 - STORE SUPPLIES</v>
      </c>
      <c r="C62" s="11"/>
      <c r="D62" s="6">
        <v>163.81</v>
      </c>
      <c r="E62" s="2"/>
      <c r="F62" s="7">
        <f t="shared" si="44"/>
        <v>4.4638818249894538E-3</v>
      </c>
      <c r="G62" s="2"/>
      <c r="H62" s="6">
        <v>395.88</v>
      </c>
      <c r="I62" s="2"/>
      <c r="J62" s="7">
        <f t="shared" si="45"/>
        <v>1.1826958582342376E-2</v>
      </c>
      <c r="K62" s="2"/>
      <c r="L62" s="6">
        <f t="shared" si="46"/>
        <v>-232.07</v>
      </c>
      <c r="M62" s="2"/>
      <c r="N62" s="7">
        <f t="shared" si="47"/>
        <v>-0.58621299383651615</v>
      </c>
      <c r="O62" s="11"/>
      <c r="P62" s="6">
        <v>4811.6400000000003</v>
      </c>
      <c r="Q62" s="2"/>
      <c r="R62" s="7">
        <f t="shared" si="48"/>
        <v>2.7121816675381966E-2</v>
      </c>
      <c r="S62" s="2"/>
      <c r="T62" s="6">
        <v>1976.36</v>
      </c>
      <c r="U62" s="2"/>
      <c r="V62" s="7">
        <f t="shared" si="49"/>
        <v>1.1168275939077528E-2</v>
      </c>
      <c r="W62" s="2"/>
      <c r="X62" s="6">
        <f t="shared" si="50"/>
        <v>2835.2800000000007</v>
      </c>
      <c r="Y62" s="2"/>
      <c r="Z62" s="7">
        <f t="shared" si="51"/>
        <v>1.4345969357809309</v>
      </c>
    </row>
    <row r="63" spans="1:26" s="24" customFormat="1" hidden="1" outlineLevel="2" x14ac:dyDescent="0.25">
      <c r="A63" s="26"/>
      <c r="B63" s="11" t="str">
        <f>CONCATENATE("          ", "6248", " - ", "UNIFORMS")</f>
        <v xml:space="preserve">          6248 - UNIFORMS</v>
      </c>
      <c r="C63" s="11"/>
      <c r="D63" s="6"/>
      <c r="E63" s="2"/>
      <c r="F63" s="7">
        <f t="shared" si="44"/>
        <v>0</v>
      </c>
      <c r="G63" s="2"/>
      <c r="H63" s="6"/>
      <c r="I63" s="2"/>
      <c r="J63" s="7">
        <f t="shared" si="45"/>
        <v>0</v>
      </c>
      <c r="K63" s="2"/>
      <c r="L63" s="6">
        <f t="shared" si="46"/>
        <v>0</v>
      </c>
      <c r="M63" s="2"/>
      <c r="N63" s="7">
        <f t="shared" si="47"/>
        <v>0</v>
      </c>
      <c r="O63" s="11"/>
      <c r="P63" s="6"/>
      <c r="Q63" s="2"/>
      <c r="R63" s="7">
        <f t="shared" si="48"/>
        <v>0</v>
      </c>
      <c r="S63" s="2"/>
      <c r="T63" s="6">
        <v>187.87</v>
      </c>
      <c r="U63" s="2"/>
      <c r="V63" s="7">
        <f t="shared" si="49"/>
        <v>1.0616405921362987E-3</v>
      </c>
      <c r="W63" s="2"/>
      <c r="X63" s="6">
        <f t="shared" si="50"/>
        <v>-187.87</v>
      </c>
      <c r="Y63" s="2"/>
      <c r="Z63" s="7">
        <f t="shared" si="51"/>
        <v>-1</v>
      </c>
    </row>
    <row r="64" spans="1:26" s="25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SUM(OSRRefD22_11x_0)</f>
        <v>91.01</v>
      </c>
      <c r="E64" s="1"/>
      <c r="F64" s="5">
        <f t="shared" ref="F64:F65" si="52">IF(D$12=0,0,D64/D$12)</f>
        <v>2.4800554599370625E-3</v>
      </c>
      <c r="G64" s="1"/>
      <c r="H64" s="1">
        <f>SUM(OSRRefH22_11x_0)</f>
        <v>91.01</v>
      </c>
      <c r="I64" s="1"/>
      <c r="J64" s="5">
        <f t="shared" ref="J64:J65" si="53">IF(H$12=0,0,H64/H$12)</f>
        <v>2.7189337692709397E-3</v>
      </c>
      <c r="K64" s="1"/>
      <c r="L64" s="1">
        <f t="shared" ref="L64:L65" si="54">+D64-H64</f>
        <v>0</v>
      </c>
      <c r="M64" s="1"/>
      <c r="N64" s="5">
        <f t="shared" ref="N64:N65" si="55">IF(H64=0,0,L64/H64)</f>
        <v>0</v>
      </c>
      <c r="O64" s="13"/>
      <c r="P64" s="1">
        <f>SUM(OSRRefP22_11x_0)</f>
        <v>455.05</v>
      </c>
      <c r="Q64" s="1"/>
      <c r="R64" s="5">
        <f t="shared" ref="R64:R65" si="56">IF(P$12=0,0,P64/P$12)</f>
        <v>2.5649846368665493E-3</v>
      </c>
      <c r="S64" s="1"/>
      <c r="T64" s="1">
        <f>SUM(OSRRefT22_11x_0)</f>
        <v>455.05</v>
      </c>
      <c r="U64" s="1"/>
      <c r="V64" s="5">
        <f t="shared" ref="V64:V65" si="57">IF(T$12=0,0,T64/T$12)</f>
        <v>2.5714566000512203E-3</v>
      </c>
      <c r="W64" s="1"/>
      <c r="X64" s="1">
        <f t="shared" ref="X64:X65" si="58">+P64-T64</f>
        <v>0</v>
      </c>
      <c r="Y64" s="1"/>
      <c r="Z64" s="5">
        <f t="shared" ref="Z64:Z65" si="59">IF(T64=0,0,X64/T64)</f>
        <v>0</v>
      </c>
    </row>
    <row r="65" spans="1:26" s="24" customFormat="1" hidden="1" outlineLevel="2" x14ac:dyDescent="0.25">
      <c r="A65" s="26"/>
      <c r="B65" s="11" t="str">
        <f>CONCATENATE("          ", "6309", " - ", "TELEPHONE")</f>
        <v xml:space="preserve">          6309 - TELEPHONE</v>
      </c>
      <c r="C65" s="11"/>
      <c r="D65" s="6">
        <v>91.01</v>
      </c>
      <c r="E65" s="2"/>
      <c r="F65" s="7">
        <f t="shared" si="52"/>
        <v>2.4800554599370625E-3</v>
      </c>
      <c r="G65" s="2"/>
      <c r="H65" s="6">
        <v>91.01</v>
      </c>
      <c r="I65" s="2"/>
      <c r="J65" s="7">
        <f t="shared" si="53"/>
        <v>2.7189337692709397E-3</v>
      </c>
      <c r="K65" s="2"/>
      <c r="L65" s="6">
        <f t="shared" si="54"/>
        <v>0</v>
      </c>
      <c r="M65" s="2"/>
      <c r="N65" s="7">
        <f t="shared" si="55"/>
        <v>0</v>
      </c>
      <c r="O65" s="11"/>
      <c r="P65" s="6">
        <v>455.05</v>
      </c>
      <c r="Q65" s="2"/>
      <c r="R65" s="7">
        <f t="shared" si="56"/>
        <v>2.5649846368665493E-3</v>
      </c>
      <c r="S65" s="2"/>
      <c r="T65" s="6">
        <v>455.05</v>
      </c>
      <c r="U65" s="2"/>
      <c r="V65" s="7">
        <f t="shared" si="57"/>
        <v>2.5714566000512203E-3</v>
      </c>
      <c r="W65" s="2"/>
      <c r="X65" s="6">
        <f t="shared" si="58"/>
        <v>0</v>
      </c>
      <c r="Y65" s="2"/>
      <c r="Z65" s="7">
        <f t="shared" si="59"/>
        <v>0</v>
      </c>
    </row>
    <row r="66" spans="1:26" s="53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8" t="s">
        <v>0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9" t="s">
        <v>3</v>
      </c>
      <c r="C69" s="29"/>
      <c r="D69" s="21">
        <f>+D20-D22+D67</f>
        <v>5813.4500000000025</v>
      </c>
      <c r="E69" s="14"/>
      <c r="F69" s="20">
        <f>IF(D$12=0,0,D69/D$12)</f>
        <v>0.15841861788343173</v>
      </c>
      <c r="G69" s="14"/>
      <c r="H69" s="21">
        <f>+H20-H22+H67</f>
        <v>-1349.8900000000012</v>
      </c>
      <c r="I69" s="14"/>
      <c r="J69" s="20">
        <f>IF(H$12=0,0,H69/H$12)</f>
        <v>-4.032811235909408E-2</v>
      </c>
      <c r="K69" s="15"/>
      <c r="L69" s="21">
        <f>+D69-H69</f>
        <v>7163.3400000000038</v>
      </c>
      <c r="M69" s="15"/>
      <c r="N69" s="20">
        <f>IF(H69=0,0,L69/H69)</f>
        <v>-5.3066101682359283</v>
      </c>
      <c r="O69" s="28"/>
      <c r="P69" s="21">
        <f>+P20-P22+P67</f>
        <v>16065.209999999992</v>
      </c>
      <c r="Q69" s="14"/>
      <c r="R69" s="20">
        <f>IF(P$12=0,0,P69/P$12)</f>
        <v>9.0554921081276413E-2</v>
      </c>
      <c r="S69" s="14"/>
      <c r="T69" s="21">
        <f>+T20-T22+T67</f>
        <v>9971.3800000000047</v>
      </c>
      <c r="U69" s="14"/>
      <c r="V69" s="20">
        <f>IF(T$12=0,0,T69/T$12)</f>
        <v>5.6347590182658495E-2</v>
      </c>
      <c r="W69" s="15"/>
      <c r="X69" s="21">
        <f>+P69-T69</f>
        <v>6093.8299999999872</v>
      </c>
      <c r="Y69" s="15"/>
      <c r="Z69" s="20">
        <f>IF(T69=0,0,X69/T69)</f>
        <v>0.61113205995559139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>
        <v>4621.96</v>
      </c>
      <c r="E71" s="4"/>
      <c r="F71" s="12">
        <f>IF(D$12=0,0,D71/D$12)</f>
        <v>0.12595008387661472</v>
      </c>
      <c r="G71" s="4"/>
      <c r="H71" s="4">
        <v>5442.34</v>
      </c>
      <c r="I71" s="4"/>
      <c r="J71" s="12">
        <f>IF(H$12=0,0,H71/H$12)</f>
        <v>0.16259050664601699</v>
      </c>
      <c r="K71" s="4"/>
      <c r="L71" s="4">
        <f>+D71-H71</f>
        <v>-820.38000000000011</v>
      </c>
      <c r="M71" s="4"/>
      <c r="N71" s="12">
        <f>IF(H71=0,0,L71/H71)</f>
        <v>-0.15074030655931089</v>
      </c>
      <c r="O71" s="10"/>
      <c r="P71" s="4">
        <v>18786.36</v>
      </c>
      <c r="Q71" s="4"/>
      <c r="R71" s="12">
        <f>IF(P$12=0,0,P71/P$12)</f>
        <v>0.1058932530109752</v>
      </c>
      <c r="S71" s="4"/>
      <c r="T71" s="4">
        <v>18620.36</v>
      </c>
      <c r="U71" s="4"/>
      <c r="V71" s="12">
        <f>IF(T$12=0,0,T71/T$12)</f>
        <v>0.10522238790754805</v>
      </c>
      <c r="W71" s="4"/>
      <c r="X71" s="4">
        <f>+P71-T71</f>
        <v>166</v>
      </c>
      <c r="Y71" s="4"/>
      <c r="Z71" s="12">
        <f>IF(T71=0,0,X71/T71)</f>
        <v>8.9149726428490103E-3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9" t="s">
        <v>4</v>
      </c>
      <c r="C73" s="29"/>
      <c r="D73" s="31">
        <f>+D69-D71</f>
        <v>1191.4900000000025</v>
      </c>
      <c r="E73" s="14"/>
      <c r="F73" s="32">
        <f>IF(D$12=0,0,D73/D$12)</f>
        <v>3.2468534006817019E-2</v>
      </c>
      <c r="G73" s="14"/>
      <c r="H73" s="31">
        <f>+H69-H71</f>
        <v>-6792.2300000000014</v>
      </c>
      <c r="I73" s="14"/>
      <c r="J73" s="32">
        <f>IF(H$12=0,0,H73/H$12)</f>
        <v>-0.20291861900511107</v>
      </c>
      <c r="K73" s="15"/>
      <c r="L73" s="31">
        <f>D73-H73</f>
        <v>7983.7200000000039</v>
      </c>
      <c r="M73" s="15"/>
      <c r="N73" s="32">
        <f>IF(H73=0,0,L73/H73)</f>
        <v>-1.1754195602916866</v>
      </c>
      <c r="O73" s="28"/>
      <c r="P73" s="31">
        <f>+P69-P71</f>
        <v>-2721.1500000000087</v>
      </c>
      <c r="Q73" s="14"/>
      <c r="R73" s="32">
        <f>IF(P$12=0,0,P73/P$12)</f>
        <v>-1.5338331929698785E-2</v>
      </c>
      <c r="S73" s="14"/>
      <c r="T73" s="31">
        <f>+T69-T71</f>
        <v>-8648.9799999999959</v>
      </c>
      <c r="U73" s="14"/>
      <c r="V73" s="32">
        <f>IF(T$12=0,0,T73/T$12)</f>
        <v>-4.8874797724889556E-2</v>
      </c>
      <c r="W73" s="15"/>
      <c r="X73" s="31">
        <f>P73-T73</f>
        <v>5927.8299999999872</v>
      </c>
      <c r="Y73" s="15"/>
      <c r="Z73" s="32">
        <f>IF(T73=0,0,X73/T73)</f>
        <v>-0.68537908516379853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9" t="s">
        <v>5</v>
      </c>
      <c r="C76" s="29"/>
      <c r="D76" s="34">
        <f>SUM(D73:D75)</f>
        <v>1191.4900000000025</v>
      </c>
      <c r="E76" s="14"/>
      <c r="F76" s="30">
        <f>IF(D$12=0,0,D76/D$12)</f>
        <v>3.2468534006817019E-2</v>
      </c>
      <c r="G76" s="14"/>
      <c r="H76" s="34">
        <f>SUM(H73:H75)</f>
        <v>-6792.2300000000014</v>
      </c>
      <c r="I76" s="14"/>
      <c r="J76" s="30">
        <f>IF(H$12=0,0,H76/H$12)</f>
        <v>-0.20291861900511107</v>
      </c>
      <c r="K76" s="15"/>
      <c r="L76" s="34">
        <f>+D76-H76</f>
        <v>7983.7200000000039</v>
      </c>
      <c r="M76" s="15"/>
      <c r="N76" s="30">
        <f>IF(H76=0,0,L76/H76)</f>
        <v>-1.1754195602916866</v>
      </c>
      <c r="O76" s="28"/>
      <c r="P76" s="34">
        <f>SUM(P73:P75)</f>
        <v>-2721.1500000000087</v>
      </c>
      <c r="Q76" s="14"/>
      <c r="R76" s="30">
        <f>IF(P$12=0,0,P76/P$12)</f>
        <v>-1.5338331929698785E-2</v>
      </c>
      <c r="S76" s="14"/>
      <c r="T76" s="34">
        <f>SUM(T73:T75)</f>
        <v>-8648.9799999999959</v>
      </c>
      <c r="U76" s="14"/>
      <c r="V76" s="30">
        <f>IF(T$12=0,0,T76/T$12)</f>
        <v>-4.8874797724889556E-2</v>
      </c>
      <c r="W76" s="15"/>
      <c r="X76" s="34">
        <f>+P76-T76</f>
        <v>5927.8299999999872</v>
      </c>
      <c r="Y76" s="15"/>
      <c r="Z76" s="30">
        <f>IF(T76=0,0,X76/T76)</f>
        <v>-0.68537908516379853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9">
        <v>43815.491729050926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2" t="s">
        <v>313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1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","313", " - ", "Convenience Store")</f>
        <v>Department 313 - Convenience 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58695.67</v>
      </c>
      <c r="E12" s="4"/>
      <c r="F12" s="12"/>
      <c r="G12" s="4"/>
      <c r="H12" s="4">
        <f>SUM(OSRRefH13x_0)</f>
        <v>49752.540000000008</v>
      </c>
      <c r="I12" s="4"/>
      <c r="J12" s="12"/>
      <c r="K12" s="4"/>
      <c r="L12" s="4">
        <f t="shared" ref="L12:L19" si="0">+D12-H12</f>
        <v>8943.1299999999901</v>
      </c>
      <c r="M12" s="4"/>
      <c r="N12" s="12">
        <f t="shared" ref="N12:N19" si="1">IF(H12=0,0,L12/H12)</f>
        <v>0.17975222973540625</v>
      </c>
      <c r="O12" s="10"/>
      <c r="P12" s="4">
        <f>SUM(OSRRefP13x_0)</f>
        <v>297881.58999999997</v>
      </c>
      <c r="Q12" s="4"/>
      <c r="R12" s="12"/>
      <c r="S12" s="4"/>
      <c r="T12" s="4">
        <f>SUM(OSRRefT13x_0)</f>
        <v>288759.03999999998</v>
      </c>
      <c r="U12" s="4"/>
      <c r="V12" s="12"/>
      <c r="W12" s="4"/>
      <c r="X12" s="4">
        <f t="shared" ref="X12:X19" si="2">+P12-T12</f>
        <v>9122.5499999999884</v>
      </c>
      <c r="Y12" s="4"/>
      <c r="Z12" s="12">
        <f t="shared" ref="Z12:Z19" si="3">IF(T12=0,0,X12/T12)</f>
        <v>3.1592257683084102E-2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--11147.8</f>
        <v>11147.8</v>
      </c>
      <c r="E13" s="2"/>
      <c r="F13" s="19"/>
      <c r="G13" s="2"/>
      <c r="H13" s="2">
        <f>--9944.14</f>
        <v>9944.14</v>
      </c>
      <c r="I13" s="2"/>
      <c r="J13" s="19"/>
      <c r="K13" s="2"/>
      <c r="L13" s="2">
        <f t="shared" si="0"/>
        <v>1203.6599999999999</v>
      </c>
      <c r="M13" s="2"/>
      <c r="N13" s="19">
        <f t="shared" si="1"/>
        <v>0.12104214140187085</v>
      </c>
      <c r="O13" s="11"/>
      <c r="P13" s="2">
        <f>--61147.87</f>
        <v>61147.87</v>
      </c>
      <c r="Q13" s="2"/>
      <c r="R13" s="19"/>
      <c r="S13" s="2"/>
      <c r="T13" s="2">
        <f>--59706.75</f>
        <v>59706.75</v>
      </c>
      <c r="U13" s="2"/>
      <c r="V13" s="19"/>
      <c r="W13" s="2"/>
      <c r="X13" s="2">
        <f t="shared" si="2"/>
        <v>1441.1200000000026</v>
      </c>
      <c r="Y13" s="2"/>
      <c r="Z13" s="19">
        <f t="shared" si="3"/>
        <v>2.413663446762724E-2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--237.09</f>
        <v>237.09</v>
      </c>
      <c r="E15" s="2"/>
      <c r="F15" s="19"/>
      <c r="G15" s="2"/>
      <c r="H15" s="2">
        <f>--127.98</f>
        <v>127.98</v>
      </c>
      <c r="I15" s="2"/>
      <c r="J15" s="19"/>
      <c r="K15" s="2"/>
      <c r="L15" s="2">
        <f t="shared" si="0"/>
        <v>109.11</v>
      </c>
      <c r="M15" s="2"/>
      <c r="N15" s="19">
        <f t="shared" si="1"/>
        <v>0.85255508673230185</v>
      </c>
      <c r="O15" s="11"/>
      <c r="P15" s="2">
        <f>--1919.17</f>
        <v>1919.17</v>
      </c>
      <c r="Q15" s="2"/>
      <c r="R15" s="19"/>
      <c r="S15" s="2"/>
      <c r="T15" s="2">
        <f>--1129.29</f>
        <v>1129.29</v>
      </c>
      <c r="U15" s="2"/>
      <c r="V15" s="19"/>
      <c r="W15" s="2"/>
      <c r="X15" s="2">
        <f t="shared" si="2"/>
        <v>789.88000000000011</v>
      </c>
      <c r="Y15" s="2"/>
      <c r="Z15" s="19">
        <f t="shared" si="3"/>
        <v>0.69944832593930717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--47135.09</f>
        <v>47135.09</v>
      </c>
      <c r="E16" s="2"/>
      <c r="F16" s="19"/>
      <c r="G16" s="2"/>
      <c r="H16" s="2">
        <f>--39525.48</f>
        <v>39525.480000000003</v>
      </c>
      <c r="I16" s="2"/>
      <c r="J16" s="19"/>
      <c r="K16" s="2"/>
      <c r="L16" s="2">
        <f t="shared" si="0"/>
        <v>7609.6099999999933</v>
      </c>
      <c r="M16" s="2"/>
      <c r="N16" s="19">
        <f t="shared" si="1"/>
        <v>0.19252416415942306</v>
      </c>
      <c r="O16" s="11"/>
      <c r="P16" s="2">
        <f>--233789.62</f>
        <v>233789.62</v>
      </c>
      <c r="Q16" s="2"/>
      <c r="R16" s="19"/>
      <c r="S16" s="2"/>
      <c r="T16" s="2">
        <f>--226588.55</f>
        <v>226588.55</v>
      </c>
      <c r="U16" s="2"/>
      <c r="V16" s="19"/>
      <c r="W16" s="2"/>
      <c r="X16" s="2">
        <f t="shared" si="2"/>
        <v>7201.070000000007</v>
      </c>
      <c r="Y16" s="2"/>
      <c r="Z16" s="19">
        <f t="shared" si="3"/>
        <v>3.1780379017386395E-2</v>
      </c>
    </row>
    <row r="17" spans="1:26" s="24" customFormat="1" hidden="1" outlineLevel="1" x14ac:dyDescent="0.25">
      <c r="A17" s="44"/>
      <c r="B17" s="11" t="str">
        <f>CONCATENATE("          ", "4134", " - ", "NON-TAXABLE SALES-SODA")</f>
        <v xml:space="preserve">          4134 - NON-TAXABLE SALES-SODA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--0.39</f>
        <v>0.39</v>
      </c>
      <c r="Q17" s="2"/>
      <c r="R17" s="19"/>
      <c r="S17" s="2"/>
      <c r="T17" s="2">
        <f>--53.94</f>
        <v>53.94</v>
      </c>
      <c r="U17" s="2"/>
      <c r="V17" s="19"/>
      <c r="W17" s="2"/>
      <c r="X17" s="2">
        <f t="shared" si="2"/>
        <v>-53.55</v>
      </c>
      <c r="Y17" s="2"/>
      <c r="Z17" s="19">
        <f t="shared" si="3"/>
        <v>-0.99276974416017794</v>
      </c>
    </row>
    <row r="18" spans="1:26" s="24" customFormat="1" hidden="1" outlineLevel="1" x14ac:dyDescent="0.25">
      <c r="A18" s="44"/>
      <c r="B18" s="11" t="str">
        <f>CONCATENATE("          ", "4137", " - ", "NON-TAXABLE SALES-WATER")</f>
        <v xml:space="preserve">          4137 - NON-TAXABLE SALES-WATER</v>
      </c>
      <c r="C18" s="11"/>
      <c r="D18" s="2">
        <f>--175.69</f>
        <v>175.69</v>
      </c>
      <c r="E18" s="2"/>
      <c r="F18" s="19"/>
      <c r="G18" s="2"/>
      <c r="H18" s="2">
        <f>--154.94</f>
        <v>154.94</v>
      </c>
      <c r="I18" s="2"/>
      <c r="J18" s="19"/>
      <c r="K18" s="2"/>
      <c r="L18" s="2">
        <f t="shared" si="0"/>
        <v>20.75</v>
      </c>
      <c r="M18" s="2"/>
      <c r="N18" s="19">
        <f t="shared" si="1"/>
        <v>0.13392280882922422</v>
      </c>
      <c r="O18" s="11"/>
      <c r="P18" s="2">
        <f>--1024.54</f>
        <v>1024.54</v>
      </c>
      <c r="Q18" s="2"/>
      <c r="R18" s="19"/>
      <c r="S18" s="2"/>
      <c r="T18" s="2">
        <f>--1262.21</f>
        <v>1262.21</v>
      </c>
      <c r="U18" s="2"/>
      <c r="V18" s="19"/>
      <c r="W18" s="2"/>
      <c r="X18" s="2">
        <f t="shared" si="2"/>
        <v>-237.67000000000007</v>
      </c>
      <c r="Y18" s="2"/>
      <c r="Z18" s="19">
        <f t="shared" si="3"/>
        <v>-0.18829671766187883</v>
      </c>
    </row>
    <row r="19" spans="1:26" s="24" customFormat="1" hidden="1" outlineLevel="1" x14ac:dyDescent="0.25">
      <c r="A19" s="44"/>
      <c r="B19" s="11" t="str">
        <f>CONCATENATE("          ", "4233", " - ", "SALES RETURN TAXABLE-CANDY")</f>
        <v xml:space="preserve">          4233 - SALES RETURN TAXABLE-CANDY</v>
      </c>
      <c r="C19" s="11"/>
      <c r="D19" s="2">
        <f>0</f>
        <v>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0</f>
        <v>0</v>
      </c>
      <c r="Q19" s="2"/>
      <c r="R19" s="19"/>
      <c r="S19" s="2"/>
      <c r="T19" s="2">
        <f>-1.69</f>
        <v>-1.69</v>
      </c>
      <c r="U19" s="2"/>
      <c r="V19" s="19"/>
      <c r="W19" s="2"/>
      <c r="X19" s="2">
        <f t="shared" si="2"/>
        <v>1.69</v>
      </c>
      <c r="Y19" s="2"/>
      <c r="Z19" s="19">
        <f t="shared" si="3"/>
        <v>-1</v>
      </c>
    </row>
    <row r="20" spans="1:26" x14ac:dyDescent="0.25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25">
      <c r="A21" s="10"/>
      <c r="B21" s="28" t="s">
        <v>8</v>
      </c>
      <c r="C21" s="10"/>
      <c r="D21" s="4">
        <f>SUM(OSRRefD16x_0)</f>
        <v>27261.74</v>
      </c>
      <c r="E21" s="4"/>
      <c r="F21" s="12">
        <f t="shared" ref="F21:F23" si="4">IF(D$12=0,0,D21/D$12)</f>
        <v>0.46445913301611519</v>
      </c>
      <c r="G21" s="4"/>
      <c r="H21" s="4">
        <f>SUM(OSRRefH16x_0)</f>
        <v>23890.309999999998</v>
      </c>
      <c r="I21" s="4"/>
      <c r="J21" s="12">
        <f t="shared" ref="J21:J23" si="5">IF(H$12=0,0,H21/H$12)</f>
        <v>0.48018272031940468</v>
      </c>
      <c r="K21" s="4"/>
      <c r="L21" s="4">
        <f t="shared" ref="L21:L23" si="6">+D21-H21</f>
        <v>3371.4300000000039</v>
      </c>
      <c r="M21" s="4"/>
      <c r="N21" s="12">
        <f t="shared" ref="N21:N23" si="7">IF(H21=0,0,L21/H21)</f>
        <v>0.14112123283456784</v>
      </c>
      <c r="O21" s="10"/>
      <c r="P21" s="4">
        <f>SUM(OSRRefP16x_0)</f>
        <v>141604.79999999999</v>
      </c>
      <c r="Q21" s="4"/>
      <c r="R21" s="12">
        <f t="shared" ref="R21:R23" si="8">IF(P$12=0,0,P21/P$12)</f>
        <v>0.47537278151362089</v>
      </c>
      <c r="S21" s="4"/>
      <c r="T21" s="4">
        <f>SUM(OSRRefT16x_0)</f>
        <v>131871.91</v>
      </c>
      <c r="U21" s="4"/>
      <c r="V21" s="12">
        <f t="shared" ref="V21:V23" si="9">IF(T$12=0,0,T21/T$12)</f>
        <v>0.45668495781119101</v>
      </c>
      <c r="W21" s="4"/>
      <c r="X21" s="4">
        <f t="shared" ref="X21:X23" si="10">+P21-T21</f>
        <v>9732.8899999999849</v>
      </c>
      <c r="Y21" s="4"/>
      <c r="Z21" s="12">
        <f t="shared" ref="Z21:Z23" si="11">IF(T21=0,0,X21/T21)</f>
        <v>7.3805634573731321E-2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27947.230000000003</v>
      </c>
      <c r="E22" s="2"/>
      <c r="F22" s="19">
        <f t="shared" si="4"/>
        <v>0.47613784798776476</v>
      </c>
      <c r="G22" s="2"/>
      <c r="H22" s="2">
        <v>20432.449999999997</v>
      </c>
      <c r="I22" s="2"/>
      <c r="J22" s="19">
        <f t="shared" si="5"/>
        <v>0.41068154510302374</v>
      </c>
      <c r="K22" s="2"/>
      <c r="L22" s="2">
        <f t="shared" si="6"/>
        <v>7514.7800000000061</v>
      </c>
      <c r="M22" s="2"/>
      <c r="N22" s="19">
        <f t="shared" si="7"/>
        <v>0.36778653563326996</v>
      </c>
      <c r="O22" s="11"/>
      <c r="P22" s="2">
        <v>150482.44</v>
      </c>
      <c r="Q22" s="2"/>
      <c r="R22" s="19">
        <f t="shared" si="8"/>
        <v>0.5051753617939263</v>
      </c>
      <c r="S22" s="2"/>
      <c r="T22" s="2">
        <v>135396.18</v>
      </c>
      <c r="U22" s="2"/>
      <c r="V22" s="19">
        <f t="shared" si="9"/>
        <v>0.46888983977783</v>
      </c>
      <c r="W22" s="2"/>
      <c r="X22" s="2">
        <f t="shared" si="10"/>
        <v>15086.260000000009</v>
      </c>
      <c r="Y22" s="2"/>
      <c r="Z22" s="19">
        <f t="shared" si="11"/>
        <v>0.11142308446220572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-685.49</v>
      </c>
      <c r="E23" s="2"/>
      <c r="F23" s="19">
        <f t="shared" si="4"/>
        <v>-1.1678714971649528E-2</v>
      </c>
      <c r="G23" s="2"/>
      <c r="H23" s="2">
        <v>3457.86</v>
      </c>
      <c r="I23" s="2"/>
      <c r="J23" s="19">
        <f t="shared" si="5"/>
        <v>6.9501175216380898E-2</v>
      </c>
      <c r="K23" s="2"/>
      <c r="L23" s="2">
        <f t="shared" si="6"/>
        <v>-4143.3500000000004</v>
      </c>
      <c r="M23" s="2"/>
      <c r="N23" s="19">
        <f t="shared" si="7"/>
        <v>-1.1982411086625833</v>
      </c>
      <c r="O23" s="11"/>
      <c r="P23" s="2">
        <v>-8877.64</v>
      </c>
      <c r="Q23" s="2"/>
      <c r="R23" s="19">
        <f t="shared" si="8"/>
        <v>-2.980258028030534E-2</v>
      </c>
      <c r="S23" s="2"/>
      <c r="T23" s="2">
        <v>-3524.27</v>
      </c>
      <c r="U23" s="2"/>
      <c r="V23" s="19">
        <f t="shared" si="9"/>
        <v>-1.2204881966639037E-2</v>
      </c>
      <c r="W23" s="2"/>
      <c r="X23" s="2">
        <f t="shared" si="10"/>
        <v>-5353.369999999999</v>
      </c>
      <c r="Y23" s="2"/>
      <c r="Z23" s="19">
        <f t="shared" si="11"/>
        <v>1.5190010980997479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9" t="s">
        <v>6</v>
      </c>
      <c r="C25" s="29"/>
      <c r="D25" s="21">
        <f>D12-D21</f>
        <v>31433.929999999997</v>
      </c>
      <c r="E25" s="14"/>
      <c r="F25" s="20">
        <f>IF(D$12=0,0,D25/D$12)</f>
        <v>0.53554086698388481</v>
      </c>
      <c r="G25" s="14"/>
      <c r="H25" s="21">
        <f>H12-H21</f>
        <v>25862.23000000001</v>
      </c>
      <c r="I25" s="14"/>
      <c r="J25" s="20">
        <f>IF(H$12=0,0,H25/H$12)</f>
        <v>0.51981727968059532</v>
      </c>
      <c r="K25" s="15"/>
      <c r="L25" s="21">
        <f>+D25-H25</f>
        <v>5571.6999999999862</v>
      </c>
      <c r="M25" s="15"/>
      <c r="N25" s="20">
        <f>IF(H25=0,0,L25/H25)</f>
        <v>0.21543772520776375</v>
      </c>
      <c r="O25" s="28"/>
      <c r="P25" s="21">
        <f>P12-P21</f>
        <v>156276.78999999998</v>
      </c>
      <c r="Q25" s="14"/>
      <c r="R25" s="20">
        <f>IF(P$12=0,0,P25/P$12)</f>
        <v>0.52462721848637905</v>
      </c>
      <c r="S25" s="14"/>
      <c r="T25" s="21">
        <f>T12-T21</f>
        <v>156887.12999999998</v>
      </c>
      <c r="U25" s="14"/>
      <c r="V25" s="20">
        <f>IF(T$12=0,0,T25/T$12)</f>
        <v>0.54331504218880899</v>
      </c>
      <c r="W25" s="15"/>
      <c r="X25" s="21">
        <f>+P25-T25</f>
        <v>-610.33999999999651</v>
      </c>
      <c r="Y25" s="15"/>
      <c r="Z25" s="20">
        <f>IF(T25=0,0,X25/T25)</f>
        <v>-3.8903127362964482E-3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9</v>
      </c>
      <c r="C27" s="10"/>
      <c r="D27" s="22">
        <f>SUM(OSRRefD22x_0)</f>
        <v>17922.72</v>
      </c>
      <c r="E27" s="22"/>
      <c r="F27" s="33">
        <f t="shared" ref="F27:F36" si="12">IF(D$12=0,0,D27/D$12)</f>
        <v>0.30534995170853324</v>
      </c>
      <c r="G27" s="22"/>
      <c r="H27" s="22">
        <f>SUM(OSRRefH22x_0)</f>
        <v>19214.55</v>
      </c>
      <c r="I27" s="22"/>
      <c r="J27" s="33">
        <f t="shared" ref="J27:J36" si="13">IF(H$12=0,0,H27/H$12)</f>
        <v>0.38620239288285574</v>
      </c>
      <c r="K27" s="4"/>
      <c r="L27" s="22">
        <f t="shared" ref="L27:L36" si="14">+D27-H27</f>
        <v>-1291.8299999999981</v>
      </c>
      <c r="M27" s="4"/>
      <c r="N27" s="33">
        <f t="shared" ref="N27:N36" si="15">IF(H27=0,0,L27/H27)</f>
        <v>-6.7231863353552287E-2</v>
      </c>
      <c r="O27" s="10"/>
      <c r="P27" s="22">
        <f>SUM(OSRRefP22x_0)</f>
        <v>97424.430000000022</v>
      </c>
      <c r="Q27" s="22"/>
      <c r="R27" s="33">
        <f t="shared" ref="R27:R36" si="16">IF(P$12=0,0,P27/P$12)</f>
        <v>0.32705757344722119</v>
      </c>
      <c r="S27" s="22"/>
      <c r="T27" s="22">
        <f>SUM(OSRRefT22x_0)</f>
        <v>108935.43999999999</v>
      </c>
      <c r="U27" s="22"/>
      <c r="V27" s="33">
        <f t="shared" ref="V27:V36" si="17">IF(T$12=0,0,T27/T$12)</f>
        <v>0.37725378225388195</v>
      </c>
      <c r="W27" s="4"/>
      <c r="X27" s="22">
        <f t="shared" ref="X27:X36" si="18">+P27-T27</f>
        <v>-11511.009999999966</v>
      </c>
      <c r="Y27" s="4"/>
      <c r="Z27" s="33">
        <f t="shared" ref="Z27:Z36" si="19">IF(T27=0,0,X27/T27)</f>
        <v>-0.10566818291641331</v>
      </c>
    </row>
    <row r="28" spans="1:26" s="25" customFormat="1" outlineLevel="1" collapsed="1" x14ac:dyDescent="0.25">
      <c r="A28" s="27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4074.7299999999996</v>
      </c>
      <c r="E28" s="1"/>
      <c r="F28" s="5">
        <f t="shared" si="12"/>
        <v>6.9421304842418527E-2</v>
      </c>
      <c r="G28" s="1"/>
      <c r="H28" s="1">
        <f>SUM(OSRRefH22_0x_0)</f>
        <v>4183.5300000000007</v>
      </c>
      <c r="I28" s="1"/>
      <c r="J28" s="5">
        <f t="shared" si="13"/>
        <v>8.4086762203497548E-2</v>
      </c>
      <c r="K28" s="1"/>
      <c r="L28" s="1">
        <f t="shared" si="14"/>
        <v>-108.80000000000109</v>
      </c>
      <c r="M28" s="1"/>
      <c r="N28" s="5">
        <f t="shared" si="15"/>
        <v>-2.6006745499614219E-2</v>
      </c>
      <c r="O28" s="13"/>
      <c r="P28" s="1">
        <f>SUM(OSRRefP22_0x_0)</f>
        <v>22383.460000000003</v>
      </c>
      <c r="Q28" s="1"/>
      <c r="R28" s="5">
        <f t="shared" si="16"/>
        <v>7.5142139532691513E-2</v>
      </c>
      <c r="S28" s="1"/>
      <c r="T28" s="1">
        <f>SUM(OSRRefT22_0x_0)</f>
        <v>22234.43</v>
      </c>
      <c r="U28" s="1"/>
      <c r="V28" s="5">
        <f t="shared" si="17"/>
        <v>7.6999944313431712E-2</v>
      </c>
      <c r="W28" s="1"/>
      <c r="X28" s="1">
        <f t="shared" si="18"/>
        <v>149.03000000000247</v>
      </c>
      <c r="Y28" s="1"/>
      <c r="Z28" s="5">
        <f t="shared" si="19"/>
        <v>6.7026678893950722E-3</v>
      </c>
    </row>
    <row r="29" spans="1:26" s="24" customFormat="1" hidden="1" outlineLevel="2" x14ac:dyDescent="0.25">
      <c r="A29" s="26"/>
      <c r="B29" s="11" t="str">
        <f>CONCATENATE("          ", "6111", " - ", "F.I.C.A.")</f>
        <v xml:space="preserve">          6111 - F.I.C.A.</v>
      </c>
      <c r="C29" s="11"/>
      <c r="D29" s="6">
        <v>409.9</v>
      </c>
      <c r="E29" s="2"/>
      <c r="F29" s="7">
        <f t="shared" si="12"/>
        <v>6.9834793605729351E-3</v>
      </c>
      <c r="G29" s="2"/>
      <c r="H29" s="6">
        <v>686.48</v>
      </c>
      <c r="I29" s="2"/>
      <c r="J29" s="7">
        <f t="shared" si="13"/>
        <v>1.3797888509812763E-2</v>
      </c>
      <c r="K29" s="2"/>
      <c r="L29" s="6">
        <f t="shared" si="14"/>
        <v>-276.58000000000004</v>
      </c>
      <c r="M29" s="2"/>
      <c r="N29" s="7">
        <f t="shared" si="15"/>
        <v>-0.40289593287495634</v>
      </c>
      <c r="O29" s="11"/>
      <c r="P29" s="6">
        <v>2819.86</v>
      </c>
      <c r="Q29" s="2"/>
      <c r="R29" s="7">
        <f t="shared" si="16"/>
        <v>9.4663789057927369E-3</v>
      </c>
      <c r="S29" s="2"/>
      <c r="T29" s="6">
        <v>4385.76</v>
      </c>
      <c r="U29" s="2"/>
      <c r="V29" s="7">
        <f t="shared" si="17"/>
        <v>1.5188303715097546E-2</v>
      </c>
      <c r="W29" s="2"/>
      <c r="X29" s="6">
        <f t="shared" si="18"/>
        <v>-1565.9</v>
      </c>
      <c r="Y29" s="2"/>
      <c r="Z29" s="7">
        <f t="shared" si="19"/>
        <v>-0.35704188099668016</v>
      </c>
    </row>
    <row r="30" spans="1:26" s="24" customFormat="1" hidden="1" outlineLevel="2" x14ac:dyDescent="0.25">
      <c r="A30" s="26"/>
      <c r="B30" s="11" t="str">
        <f>CONCATENATE("          ", "6112", " - ", "COMPENSATION INSURANCE")</f>
        <v xml:space="preserve">          6112 - COMPENSATION INSURANCE</v>
      </c>
      <c r="C30" s="11"/>
      <c r="D30" s="6">
        <v>212.9</v>
      </c>
      <c r="E30" s="2"/>
      <c r="F30" s="7">
        <f t="shared" si="12"/>
        <v>3.6271840835959451E-3</v>
      </c>
      <c r="G30" s="2"/>
      <c r="H30" s="6">
        <v>137.75</v>
      </c>
      <c r="I30" s="2"/>
      <c r="J30" s="7">
        <f t="shared" si="13"/>
        <v>2.7687028642155755E-3</v>
      </c>
      <c r="K30" s="2"/>
      <c r="L30" s="6">
        <f t="shared" si="14"/>
        <v>75.150000000000006</v>
      </c>
      <c r="M30" s="2"/>
      <c r="N30" s="7">
        <f t="shared" si="15"/>
        <v>0.54555353901996373</v>
      </c>
      <c r="O30" s="11"/>
      <c r="P30" s="6">
        <v>784.19</v>
      </c>
      <c r="Q30" s="2"/>
      <c r="R30" s="7">
        <f t="shared" si="16"/>
        <v>2.6325561106344307E-3</v>
      </c>
      <c r="S30" s="2"/>
      <c r="T30" s="6">
        <v>711.79</v>
      </c>
      <c r="U30" s="2"/>
      <c r="V30" s="7">
        <f t="shared" si="17"/>
        <v>2.464996420544964E-3</v>
      </c>
      <c r="W30" s="2"/>
      <c r="X30" s="6">
        <f t="shared" si="18"/>
        <v>72.400000000000091</v>
      </c>
      <c r="Y30" s="2"/>
      <c r="Z30" s="7">
        <f t="shared" si="19"/>
        <v>0.10171539358518678</v>
      </c>
    </row>
    <row r="31" spans="1:26" s="24" customFormat="1" hidden="1" outlineLevel="2" x14ac:dyDescent="0.25">
      <c r="A31" s="26"/>
      <c r="B31" s="11" t="str">
        <f>CONCATENATE("          ", "6113", " - ", "GROUP INSURANCE")</f>
        <v xml:space="preserve">          6113 - GROUP INSURANCE</v>
      </c>
      <c r="C31" s="11"/>
      <c r="D31" s="6">
        <v>2019.97</v>
      </c>
      <c r="E31" s="2"/>
      <c r="F31" s="7">
        <f t="shared" si="12"/>
        <v>3.4414293251955386E-2</v>
      </c>
      <c r="G31" s="2"/>
      <c r="H31" s="6">
        <v>2019.97</v>
      </c>
      <c r="I31" s="2"/>
      <c r="J31" s="7">
        <f t="shared" si="13"/>
        <v>4.0600339198762513E-2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>
        <v>10099.85</v>
      </c>
      <c r="Q31" s="2"/>
      <c r="R31" s="7">
        <f t="shared" si="16"/>
        <v>3.3905586444600358E-2</v>
      </c>
      <c r="S31" s="2"/>
      <c r="T31" s="6">
        <v>8829.32</v>
      </c>
      <c r="U31" s="2"/>
      <c r="V31" s="7">
        <f t="shared" si="17"/>
        <v>3.0576774323671393E-2</v>
      </c>
      <c r="W31" s="2"/>
      <c r="X31" s="6">
        <f t="shared" si="18"/>
        <v>1270.5300000000007</v>
      </c>
      <c r="Y31" s="2"/>
      <c r="Z31" s="7">
        <f t="shared" si="19"/>
        <v>0.1438989639066203</v>
      </c>
    </row>
    <row r="32" spans="1:26" s="24" customFormat="1" hidden="1" outlineLevel="2" x14ac:dyDescent="0.25">
      <c r="A32" s="26"/>
      <c r="B32" s="11" t="str">
        <f>CONCATENATE("          ", "6114", " - ", "STATE UNEMPLOYMENT INSURANCE")</f>
        <v xml:space="preserve">          6114 - STATE UNEMPLOYMENT INSURANCE</v>
      </c>
      <c r="C32" s="11"/>
      <c r="D32" s="6">
        <v>29.13</v>
      </c>
      <c r="E32" s="2"/>
      <c r="F32" s="7">
        <f t="shared" si="12"/>
        <v>4.9628873816416098E-4</v>
      </c>
      <c r="G32" s="2"/>
      <c r="H32" s="6">
        <v>36.799999999999997</v>
      </c>
      <c r="I32" s="2"/>
      <c r="J32" s="7">
        <f t="shared" si="13"/>
        <v>7.3966072887936957E-4</v>
      </c>
      <c r="K32" s="2"/>
      <c r="L32" s="6">
        <f t="shared" si="14"/>
        <v>-7.6699999999999982</v>
      </c>
      <c r="M32" s="2"/>
      <c r="N32" s="7">
        <f t="shared" si="15"/>
        <v>-0.20842391304347824</v>
      </c>
      <c r="O32" s="11"/>
      <c r="P32" s="6">
        <v>140.19999999999999</v>
      </c>
      <c r="Q32" s="2"/>
      <c r="R32" s="7">
        <f t="shared" si="16"/>
        <v>4.7065681366881387E-4</v>
      </c>
      <c r="S32" s="2"/>
      <c r="T32" s="6">
        <v>192.85</v>
      </c>
      <c r="U32" s="2"/>
      <c r="V32" s="7">
        <f t="shared" si="17"/>
        <v>6.6785787901220341E-4</v>
      </c>
      <c r="W32" s="2"/>
      <c r="X32" s="6">
        <f t="shared" si="18"/>
        <v>-52.650000000000006</v>
      </c>
      <c r="Y32" s="2"/>
      <c r="Z32" s="7">
        <f t="shared" si="19"/>
        <v>-0.27301011148561061</v>
      </c>
    </row>
    <row r="33" spans="1:26" s="24" customFormat="1" hidden="1" outlineLevel="2" x14ac:dyDescent="0.25">
      <c r="A33" s="26"/>
      <c r="B33" s="11" t="str">
        <f>CONCATENATE("          ", "6115", " - ", "P.E.R.S.")</f>
        <v xml:space="preserve">          6115 - P.E.R.S.</v>
      </c>
      <c r="C33" s="11"/>
      <c r="D33" s="6">
        <v>568.97</v>
      </c>
      <c r="E33" s="2"/>
      <c r="F33" s="7">
        <f t="shared" si="12"/>
        <v>9.693560018992884E-3</v>
      </c>
      <c r="G33" s="2"/>
      <c r="H33" s="6">
        <v>508.51</v>
      </c>
      <c r="I33" s="2"/>
      <c r="J33" s="7">
        <f t="shared" si="13"/>
        <v>1.0220784707675224E-2</v>
      </c>
      <c r="K33" s="2"/>
      <c r="L33" s="6">
        <f t="shared" si="14"/>
        <v>60.460000000000036</v>
      </c>
      <c r="M33" s="2"/>
      <c r="N33" s="7">
        <f t="shared" si="15"/>
        <v>0.11889638355194596</v>
      </c>
      <c r="O33" s="11"/>
      <c r="P33" s="6">
        <v>3362.61</v>
      </c>
      <c r="Q33" s="2"/>
      <c r="R33" s="7">
        <f t="shared" si="16"/>
        <v>1.1288411613487093E-2</v>
      </c>
      <c r="S33" s="2"/>
      <c r="T33" s="6">
        <v>3252.15</v>
      </c>
      <c r="U33" s="2"/>
      <c r="V33" s="7">
        <f t="shared" si="17"/>
        <v>1.1262504543580697E-2</v>
      </c>
      <c r="W33" s="2"/>
      <c r="X33" s="6">
        <f t="shared" si="18"/>
        <v>110.46000000000004</v>
      </c>
      <c r="Y33" s="2"/>
      <c r="Z33" s="7">
        <f t="shared" si="19"/>
        <v>3.3965223006318906E-2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6">
        <v>407.06</v>
      </c>
      <c r="E34" s="2"/>
      <c r="F34" s="7">
        <f t="shared" si="12"/>
        <v>6.9350941900825054E-3</v>
      </c>
      <c r="G34" s="2"/>
      <c r="H34" s="6">
        <v>395.2</v>
      </c>
      <c r="I34" s="2"/>
      <c r="J34" s="7">
        <f t="shared" si="13"/>
        <v>7.943313044921926E-3</v>
      </c>
      <c r="K34" s="2"/>
      <c r="L34" s="6">
        <f t="shared" si="14"/>
        <v>11.860000000000014</v>
      </c>
      <c r="M34" s="2"/>
      <c r="N34" s="7">
        <f t="shared" si="15"/>
        <v>3.0010121457489915E-2</v>
      </c>
      <c r="O34" s="11"/>
      <c r="P34" s="6">
        <v>2547.7199999999998</v>
      </c>
      <c r="Q34" s="2"/>
      <c r="R34" s="7">
        <f t="shared" si="16"/>
        <v>8.552794417405923E-3</v>
      </c>
      <c r="S34" s="2"/>
      <c r="T34" s="6">
        <v>2413.38</v>
      </c>
      <c r="U34" s="2"/>
      <c r="V34" s="7">
        <f t="shared" si="17"/>
        <v>8.3577643144955756E-3</v>
      </c>
      <c r="W34" s="2"/>
      <c r="X34" s="6">
        <f t="shared" si="18"/>
        <v>134.33999999999969</v>
      </c>
      <c r="Y34" s="2"/>
      <c r="Z34" s="7">
        <f t="shared" si="19"/>
        <v>5.5664669467717344E-2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6">
        <v>256.76</v>
      </c>
      <c r="E35" s="2"/>
      <c r="F35" s="7">
        <f t="shared" si="12"/>
        <v>4.3744283010995529E-3</v>
      </c>
      <c r="G35" s="2"/>
      <c r="H35" s="6">
        <v>249.28</v>
      </c>
      <c r="I35" s="2"/>
      <c r="J35" s="7">
        <f t="shared" si="13"/>
        <v>5.0103974591045996E-3</v>
      </c>
      <c r="K35" s="2"/>
      <c r="L35" s="6">
        <f t="shared" si="14"/>
        <v>7.4799999999999898</v>
      </c>
      <c r="M35" s="2"/>
      <c r="N35" s="7">
        <f t="shared" si="15"/>
        <v>3.0006418485237444E-2</v>
      </c>
      <c r="O35" s="11"/>
      <c r="P35" s="6">
        <v>1816.6</v>
      </c>
      <c r="Q35" s="2"/>
      <c r="R35" s="7">
        <f t="shared" si="16"/>
        <v>6.0983963460111788E-3</v>
      </c>
      <c r="S35" s="2"/>
      <c r="T35" s="6">
        <v>1700.77</v>
      </c>
      <c r="U35" s="2"/>
      <c r="V35" s="7">
        <f t="shared" si="17"/>
        <v>5.8899281560154792E-3</v>
      </c>
      <c r="W35" s="2"/>
      <c r="X35" s="6">
        <f t="shared" si="18"/>
        <v>115.82999999999993</v>
      </c>
      <c r="Y35" s="2"/>
      <c r="Z35" s="7">
        <f t="shared" si="19"/>
        <v>6.8104446809386293E-2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6">
        <v>170.04</v>
      </c>
      <c r="E36" s="2"/>
      <c r="F36" s="7">
        <f t="shared" si="12"/>
        <v>2.8969768979551641E-3</v>
      </c>
      <c r="G36" s="2"/>
      <c r="H36" s="6">
        <v>149.54</v>
      </c>
      <c r="I36" s="2"/>
      <c r="J36" s="7">
        <f t="shared" si="13"/>
        <v>3.0056756901255689E-3</v>
      </c>
      <c r="K36" s="2"/>
      <c r="L36" s="6">
        <f t="shared" si="14"/>
        <v>20.5</v>
      </c>
      <c r="M36" s="2"/>
      <c r="N36" s="7">
        <f t="shared" si="15"/>
        <v>0.13708706700548348</v>
      </c>
      <c r="O36" s="11"/>
      <c r="P36" s="6">
        <v>812.43</v>
      </c>
      <c r="Q36" s="2"/>
      <c r="R36" s="7">
        <f t="shared" si="16"/>
        <v>2.7273588810909732E-3</v>
      </c>
      <c r="S36" s="2"/>
      <c r="T36" s="6">
        <v>748.41</v>
      </c>
      <c r="U36" s="2"/>
      <c r="V36" s="7">
        <f t="shared" si="17"/>
        <v>2.5918149610138614E-3</v>
      </c>
      <c r="W36" s="2"/>
      <c r="X36" s="6">
        <f t="shared" si="18"/>
        <v>64.019999999999982</v>
      </c>
      <c r="Y36" s="2"/>
      <c r="Z36" s="7">
        <f t="shared" si="19"/>
        <v>8.554134765703289E-2</v>
      </c>
    </row>
    <row r="37" spans="1:26" s="25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10697.92</v>
      </c>
      <c r="E37" s="1"/>
      <c r="F37" s="5">
        <f t="shared" ref="F37:F42" si="20">IF(D$12=0,0,D37/D$12)</f>
        <v>0.18226080390597807</v>
      </c>
      <c r="G37" s="1"/>
      <c r="H37" s="1">
        <f>SUM(OSRRefH22_1x_0)</f>
        <v>12140.74</v>
      </c>
      <c r="I37" s="1"/>
      <c r="J37" s="5">
        <f t="shared" ref="J37:J42" si="21">IF(H$12=0,0,H37/H$12)</f>
        <v>0.2440225162373619</v>
      </c>
      <c r="K37" s="1"/>
      <c r="L37" s="1">
        <f t="shared" ref="L37:L42" si="22">+D37-H37</f>
        <v>-1442.8199999999997</v>
      </c>
      <c r="M37" s="1"/>
      <c r="N37" s="5">
        <f t="shared" ref="N37:N42" si="23">IF(H37=0,0,L37/H37)</f>
        <v>-0.1188411908994015</v>
      </c>
      <c r="O37" s="13"/>
      <c r="P37" s="1">
        <f>SUM(OSRRefP22_1x_0)</f>
        <v>57521.08</v>
      </c>
      <c r="Q37" s="1"/>
      <c r="R37" s="5">
        <f t="shared" ref="R37:R42" si="24">IF(P$12=0,0,P37/P$12)</f>
        <v>0.19310048667324492</v>
      </c>
      <c r="S37" s="1"/>
      <c r="T37" s="1">
        <f>SUM(OSRRefT22_1x_0)</f>
        <v>72661.83</v>
      </c>
      <c r="U37" s="1"/>
      <c r="V37" s="5">
        <f t="shared" ref="V37:V42" si="25">IF(T$12=0,0,T37/T$12)</f>
        <v>0.25163482327687475</v>
      </c>
      <c r="W37" s="1"/>
      <c r="X37" s="1">
        <f t="shared" ref="X37:X42" si="26">+P37-T37</f>
        <v>-15140.75</v>
      </c>
      <c r="Y37" s="1"/>
      <c r="Z37" s="5">
        <f t="shared" ref="Z37:Z42" si="27">IF(T37=0,0,X37/T37)</f>
        <v>-0.20837281417217265</v>
      </c>
    </row>
    <row r="38" spans="1:26" s="24" customFormat="1" hidden="1" outlineLevel="2" x14ac:dyDescent="0.25">
      <c r="A38" s="26"/>
      <c r="B38" s="11" t="str">
        <f>CONCATENATE("          ", "6002", " - ", "STAFF SALARIES")</f>
        <v xml:space="preserve">          6002 - STAFF SALARIES</v>
      </c>
      <c r="C38" s="11"/>
      <c r="D38" s="6">
        <v>5044.79</v>
      </c>
      <c r="E38" s="2"/>
      <c r="F38" s="7">
        <f t="shared" si="20"/>
        <v>8.5948247971272845E-2</v>
      </c>
      <c r="G38" s="2"/>
      <c r="H38" s="6">
        <v>4323.6099999999997</v>
      </c>
      <c r="I38" s="2"/>
      <c r="J38" s="7">
        <f t="shared" si="21"/>
        <v>8.6902296847557917E-2</v>
      </c>
      <c r="K38" s="2"/>
      <c r="L38" s="6">
        <f t="shared" si="22"/>
        <v>721.18000000000029</v>
      </c>
      <c r="M38" s="2"/>
      <c r="N38" s="7">
        <f t="shared" si="23"/>
        <v>0.16680042834575745</v>
      </c>
      <c r="O38" s="11"/>
      <c r="P38" s="6">
        <v>28807.47</v>
      </c>
      <c r="Q38" s="2"/>
      <c r="R38" s="7">
        <f t="shared" si="24"/>
        <v>9.6707789158772803E-2</v>
      </c>
      <c r="S38" s="2"/>
      <c r="T38" s="6">
        <v>26921.25</v>
      </c>
      <c r="U38" s="2"/>
      <c r="V38" s="7">
        <f t="shared" si="25"/>
        <v>9.3230847422127464E-2</v>
      </c>
      <c r="W38" s="2"/>
      <c r="X38" s="6">
        <f t="shared" si="26"/>
        <v>1886.2200000000012</v>
      </c>
      <c r="Y38" s="2"/>
      <c r="Z38" s="7">
        <f t="shared" si="27"/>
        <v>7.0064354366903517E-2</v>
      </c>
    </row>
    <row r="39" spans="1:26" s="24" customFormat="1" hidden="1" outlineLevel="2" x14ac:dyDescent="0.25">
      <c r="A39" s="26"/>
      <c r="B39" s="11" t="str">
        <f>CONCATENATE("          ", "6005", " - ", "TEMPORARY WAGES-HOURLY")</f>
        <v xml:space="preserve">          6005 - TEMPORARY WAGES-HOURLY</v>
      </c>
      <c r="C39" s="11"/>
      <c r="D39" s="6"/>
      <c r="E39" s="2"/>
      <c r="F39" s="7">
        <f t="shared" si="20"/>
        <v>0</v>
      </c>
      <c r="G39" s="2"/>
      <c r="H39" s="6">
        <v>4435.62</v>
      </c>
      <c r="I39" s="2"/>
      <c r="J39" s="7">
        <f t="shared" si="21"/>
        <v>8.9153639191084502E-2</v>
      </c>
      <c r="K39" s="2"/>
      <c r="L39" s="6">
        <f t="shared" si="22"/>
        <v>-4435.62</v>
      </c>
      <c r="M39" s="2"/>
      <c r="N39" s="7">
        <f t="shared" si="23"/>
        <v>-1</v>
      </c>
      <c r="O39" s="11"/>
      <c r="P39" s="6">
        <v>769.68</v>
      </c>
      <c r="Q39" s="2"/>
      <c r="R39" s="7">
        <f t="shared" si="24"/>
        <v>2.5838454803467381E-3</v>
      </c>
      <c r="S39" s="2"/>
      <c r="T39" s="6">
        <v>27010.190000000002</v>
      </c>
      <c r="U39" s="2"/>
      <c r="V39" s="7">
        <f t="shared" si="25"/>
        <v>9.3538855095237905E-2</v>
      </c>
      <c r="W39" s="2"/>
      <c r="X39" s="6">
        <f t="shared" si="26"/>
        <v>-26240.510000000002</v>
      </c>
      <c r="Y39" s="2"/>
      <c r="Z39" s="7">
        <f t="shared" si="27"/>
        <v>-0.97150408790164011</v>
      </c>
    </row>
    <row r="40" spans="1:26" s="24" customFormat="1" hidden="1" outlineLevel="2" x14ac:dyDescent="0.25">
      <c r="A40" s="26"/>
      <c r="B40" s="11" t="str">
        <f>CONCATENATE("          ", "6006", " - ", "TEMPORARY PART TIME")</f>
        <v xml:space="preserve">          6006 - TEMPORARY PART TIME</v>
      </c>
      <c r="C40" s="11"/>
      <c r="D40" s="6">
        <v>624</v>
      </c>
      <c r="E40" s="2"/>
      <c r="F40" s="7">
        <f t="shared" si="20"/>
        <v>1.0631107882404274E-2</v>
      </c>
      <c r="G40" s="2"/>
      <c r="H40" s="6"/>
      <c r="I40" s="2"/>
      <c r="J40" s="7">
        <f t="shared" si="21"/>
        <v>0</v>
      </c>
      <c r="K40" s="2"/>
      <c r="L40" s="6">
        <f t="shared" si="22"/>
        <v>624</v>
      </c>
      <c r="M40" s="2"/>
      <c r="N40" s="7">
        <f t="shared" si="23"/>
        <v>0</v>
      </c>
      <c r="O40" s="11"/>
      <c r="P40" s="6">
        <v>2613.19</v>
      </c>
      <c r="Q40" s="2"/>
      <c r="R40" s="7">
        <f t="shared" si="24"/>
        <v>8.7725797354579731E-3</v>
      </c>
      <c r="S40" s="2"/>
      <c r="T40" s="6"/>
      <c r="U40" s="2"/>
      <c r="V40" s="7">
        <f t="shared" si="25"/>
        <v>0</v>
      </c>
      <c r="W40" s="2"/>
      <c r="X40" s="6">
        <f t="shared" si="26"/>
        <v>2613.19</v>
      </c>
      <c r="Y40" s="2"/>
      <c r="Z40" s="7">
        <f t="shared" si="27"/>
        <v>0</v>
      </c>
    </row>
    <row r="41" spans="1:26" s="24" customFormat="1" hidden="1" outlineLevel="2" x14ac:dyDescent="0.25">
      <c r="A41" s="26"/>
      <c r="B41" s="11" t="str">
        <f>CONCATENATE("          ", "6007", " - ", "STUDENT HOURLY")</f>
        <v xml:space="preserve">          6007 - STUDENT HOURLY</v>
      </c>
      <c r="C41" s="11"/>
      <c r="D41" s="6">
        <v>4975.13</v>
      </c>
      <c r="E41" s="2"/>
      <c r="F41" s="7">
        <f t="shared" si="20"/>
        <v>8.4761448331708289E-2</v>
      </c>
      <c r="G41" s="2"/>
      <c r="H41" s="6">
        <v>2702.94</v>
      </c>
      <c r="I41" s="2"/>
      <c r="J41" s="7">
        <f t="shared" si="21"/>
        <v>5.4327678546663136E-2</v>
      </c>
      <c r="K41" s="2"/>
      <c r="L41" s="6">
        <f t="shared" si="22"/>
        <v>2272.19</v>
      </c>
      <c r="M41" s="2"/>
      <c r="N41" s="7">
        <f t="shared" si="23"/>
        <v>0.84063649211599223</v>
      </c>
      <c r="O41" s="11"/>
      <c r="P41" s="6">
        <v>21775.26</v>
      </c>
      <c r="Q41" s="2"/>
      <c r="R41" s="7">
        <f t="shared" si="24"/>
        <v>7.3100388647717368E-2</v>
      </c>
      <c r="S41" s="2"/>
      <c r="T41" s="6">
        <v>13807.12</v>
      </c>
      <c r="U41" s="2"/>
      <c r="V41" s="7">
        <f t="shared" si="25"/>
        <v>4.7815368827933497E-2</v>
      </c>
      <c r="W41" s="2"/>
      <c r="X41" s="6">
        <f t="shared" si="26"/>
        <v>7968.1399999999976</v>
      </c>
      <c r="Y41" s="2"/>
      <c r="Z41" s="7">
        <f t="shared" si="27"/>
        <v>0.57710369722288191</v>
      </c>
    </row>
    <row r="42" spans="1:26" s="24" customFormat="1" hidden="1" outlineLevel="2" x14ac:dyDescent="0.25">
      <c r="A42" s="26"/>
      <c r="B42" s="11" t="str">
        <f>CONCATENATE("          ", "6008", " - ", "STUDENT HOURLY-FICA EXEMPT")</f>
        <v xml:space="preserve">          6008 - STUDENT HOURLY-FICA EXEMPT</v>
      </c>
      <c r="C42" s="11"/>
      <c r="D42" s="6">
        <v>54</v>
      </c>
      <c r="E42" s="2"/>
      <c r="F42" s="7">
        <f t="shared" si="20"/>
        <v>9.1999972059267745E-4</v>
      </c>
      <c r="G42" s="2"/>
      <c r="H42" s="6">
        <v>678.57</v>
      </c>
      <c r="I42" s="2"/>
      <c r="J42" s="7">
        <f t="shared" si="21"/>
        <v>1.3638901652056355E-2</v>
      </c>
      <c r="K42" s="2"/>
      <c r="L42" s="6">
        <f t="shared" si="22"/>
        <v>-624.57000000000005</v>
      </c>
      <c r="M42" s="2"/>
      <c r="N42" s="7">
        <f t="shared" si="23"/>
        <v>-0.92042088509660025</v>
      </c>
      <c r="O42" s="11"/>
      <c r="P42" s="6">
        <v>3555.48</v>
      </c>
      <c r="Q42" s="2"/>
      <c r="R42" s="7">
        <f t="shared" si="24"/>
        <v>1.1935883650950031E-2</v>
      </c>
      <c r="S42" s="2"/>
      <c r="T42" s="6">
        <v>4923.2700000000004</v>
      </c>
      <c r="U42" s="2"/>
      <c r="V42" s="7">
        <f t="shared" si="25"/>
        <v>1.7049751931575895E-2</v>
      </c>
      <c r="W42" s="2"/>
      <c r="X42" s="6">
        <f t="shared" si="26"/>
        <v>-1367.7900000000004</v>
      </c>
      <c r="Y42" s="2"/>
      <c r="Z42" s="7">
        <f t="shared" si="27"/>
        <v>-0.27782144794008867</v>
      </c>
    </row>
    <row r="43" spans="1:26" s="25" customFormat="1" outlineLevel="1" collapsed="1" x14ac:dyDescent="0.25">
      <c r="A43" s="27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360</v>
      </c>
      <c r="E43" s="1"/>
      <c r="F43" s="5">
        <f t="shared" ref="F43:F60" si="28">IF(D$12=0,0,D43/D$12)</f>
        <v>6.1333314706178499E-3</v>
      </c>
      <c r="G43" s="1"/>
      <c r="H43" s="1">
        <f>SUM(OSRRefH22_2x_0)</f>
        <v>39.520000000000003</v>
      </c>
      <c r="I43" s="1"/>
      <c r="J43" s="5">
        <f t="shared" ref="J43:J60" si="29">IF(H$12=0,0,H43/H$12)</f>
        <v>7.9433130449219264E-4</v>
      </c>
      <c r="K43" s="1"/>
      <c r="L43" s="1">
        <f t="shared" ref="L43:L60" si="30">+D43-H43</f>
        <v>320.48</v>
      </c>
      <c r="M43" s="1"/>
      <c r="N43" s="5">
        <f t="shared" ref="N43:N60" si="31">IF(H43=0,0,L43/H43)</f>
        <v>8.1093117408906874</v>
      </c>
      <c r="O43" s="13"/>
      <c r="P43" s="1">
        <f>SUM(OSRRefP22_2x_0)</f>
        <v>620.20000000000005</v>
      </c>
      <c r="Q43" s="1"/>
      <c r="R43" s="5">
        <f t="shared" ref="R43:R60" si="32">IF(P$12=0,0,P43/P$12)</f>
        <v>2.0820353483409302E-3</v>
      </c>
      <c r="S43" s="1"/>
      <c r="T43" s="1">
        <f>SUM(OSRRefT22_2x_0)</f>
        <v>63.52</v>
      </c>
      <c r="U43" s="1"/>
      <c r="V43" s="5">
        <f t="shared" ref="V43:V60" si="33">IF(T$12=0,0,T43/T$12)</f>
        <v>2.199757971213646E-4</v>
      </c>
      <c r="W43" s="1"/>
      <c r="X43" s="1">
        <f t="shared" ref="X43:X60" si="34">+P43-T43</f>
        <v>556.68000000000006</v>
      </c>
      <c r="Y43" s="1"/>
      <c r="Z43" s="5">
        <f t="shared" ref="Z43:Z60" si="35">IF(T43=0,0,X43/T43)</f>
        <v>8.7638539042821169</v>
      </c>
    </row>
    <row r="44" spans="1:26" s="24" customFormat="1" hidden="1" outlineLevel="2" x14ac:dyDescent="0.25">
      <c r="A44" s="26"/>
      <c r="B44" s="11" t="str">
        <f>CONCATENATE("          ", "6362", " - ", "ADVERTISING EXPENSE")</f>
        <v xml:space="preserve">          6362 - ADVERTISING EXPENSE</v>
      </c>
      <c r="C44" s="11"/>
      <c r="D44" s="6">
        <v>360</v>
      </c>
      <c r="E44" s="2"/>
      <c r="F44" s="7">
        <f t="shared" si="28"/>
        <v>6.1333314706178499E-3</v>
      </c>
      <c r="G44" s="2"/>
      <c r="H44" s="6">
        <v>39.520000000000003</v>
      </c>
      <c r="I44" s="2"/>
      <c r="J44" s="7">
        <f t="shared" si="29"/>
        <v>7.9433130449219264E-4</v>
      </c>
      <c r="K44" s="2"/>
      <c r="L44" s="6">
        <f t="shared" si="30"/>
        <v>320.48</v>
      </c>
      <c r="M44" s="2"/>
      <c r="N44" s="7">
        <f t="shared" si="31"/>
        <v>8.1093117408906874</v>
      </c>
      <c r="O44" s="11"/>
      <c r="P44" s="6">
        <v>620.20000000000005</v>
      </c>
      <c r="Q44" s="2"/>
      <c r="R44" s="7">
        <f t="shared" si="32"/>
        <v>2.0820353483409302E-3</v>
      </c>
      <c r="S44" s="2"/>
      <c r="T44" s="6">
        <v>63.52</v>
      </c>
      <c r="U44" s="2"/>
      <c r="V44" s="7">
        <f t="shared" si="33"/>
        <v>2.199757971213646E-4</v>
      </c>
      <c r="W44" s="2"/>
      <c r="X44" s="6">
        <f t="shared" si="34"/>
        <v>556.68000000000006</v>
      </c>
      <c r="Y44" s="2"/>
      <c r="Z44" s="7">
        <f t="shared" si="35"/>
        <v>8.7638539042821169</v>
      </c>
    </row>
    <row r="45" spans="1:26" s="25" customFormat="1" outlineLevel="1" collapsed="1" x14ac:dyDescent="0.25">
      <c r="A45" s="27"/>
      <c r="B45" s="13" t="str">
        <f>CONCATENATE("     ","Bad Debts/Over/Short                              ")</f>
        <v xml:space="preserve">     Bad Debts/Over/Short                              </v>
      </c>
      <c r="C45" s="13"/>
      <c r="D45" s="1">
        <f>SUM(OSRRefD22_3x_0)</f>
        <v>-22.66</v>
      </c>
      <c r="E45" s="1"/>
      <c r="F45" s="5">
        <f t="shared" si="28"/>
        <v>-3.8605914201166801E-4</v>
      </c>
      <c r="G45" s="1"/>
      <c r="H45" s="1">
        <f>SUM(OSRRefH22_3x_0)</f>
        <v>-14.36</v>
      </c>
      <c r="I45" s="1"/>
      <c r="J45" s="5">
        <f t="shared" si="29"/>
        <v>-2.8862848007358009E-4</v>
      </c>
      <c r="K45" s="1"/>
      <c r="L45" s="1">
        <f t="shared" si="30"/>
        <v>-8.3000000000000007</v>
      </c>
      <c r="M45" s="1"/>
      <c r="N45" s="5">
        <f t="shared" si="31"/>
        <v>0.57799442896935938</v>
      </c>
      <c r="O45" s="13"/>
      <c r="P45" s="1">
        <f>SUM(OSRRefP22_3x_0)</f>
        <v>-113.47</v>
      </c>
      <c r="Q45" s="1"/>
      <c r="R45" s="5">
        <f t="shared" si="32"/>
        <v>-3.8092317151926041E-4</v>
      </c>
      <c r="S45" s="1"/>
      <c r="T45" s="1">
        <f>SUM(OSRRefT22_3x_0)</f>
        <v>-127</v>
      </c>
      <c r="U45" s="1"/>
      <c r="V45" s="5">
        <f t="shared" si="33"/>
        <v>-4.3981307044101549E-4</v>
      </c>
      <c r="W45" s="1"/>
      <c r="X45" s="1">
        <f t="shared" si="34"/>
        <v>13.530000000000001</v>
      </c>
      <c r="Y45" s="1"/>
      <c r="Z45" s="5">
        <f t="shared" si="35"/>
        <v>-0.10653543307086615</v>
      </c>
    </row>
    <row r="46" spans="1:26" s="24" customFormat="1" hidden="1" outlineLevel="2" x14ac:dyDescent="0.25">
      <c r="A46" s="26"/>
      <c r="B46" s="11" t="str">
        <f>CONCATENATE("          ", "6272", " - ", "CASH (OVER/SHORT)")</f>
        <v xml:space="preserve">          6272 - CASH (OVER/SHORT)</v>
      </c>
      <c r="C46" s="11"/>
      <c r="D46" s="6">
        <v>-22.66</v>
      </c>
      <c r="E46" s="2"/>
      <c r="F46" s="7">
        <f t="shared" si="28"/>
        <v>-3.8605914201166801E-4</v>
      </c>
      <c r="G46" s="2"/>
      <c r="H46" s="6">
        <v>-14.36</v>
      </c>
      <c r="I46" s="2"/>
      <c r="J46" s="7">
        <f t="shared" si="29"/>
        <v>-2.8862848007358009E-4</v>
      </c>
      <c r="K46" s="2"/>
      <c r="L46" s="6">
        <f t="shared" si="30"/>
        <v>-8.3000000000000007</v>
      </c>
      <c r="M46" s="2"/>
      <c r="N46" s="7">
        <f t="shared" si="31"/>
        <v>0.57799442896935938</v>
      </c>
      <c r="O46" s="11"/>
      <c r="P46" s="6">
        <v>-113.47</v>
      </c>
      <c r="Q46" s="2"/>
      <c r="R46" s="7">
        <f t="shared" si="32"/>
        <v>-3.8092317151926041E-4</v>
      </c>
      <c r="S46" s="2"/>
      <c r="T46" s="6">
        <v>-127</v>
      </c>
      <c r="U46" s="2"/>
      <c r="V46" s="7">
        <f t="shared" si="33"/>
        <v>-4.3981307044101549E-4</v>
      </c>
      <c r="W46" s="2"/>
      <c r="X46" s="6">
        <f t="shared" si="34"/>
        <v>13.530000000000001</v>
      </c>
      <c r="Y46" s="2"/>
      <c r="Z46" s="7">
        <f t="shared" si="35"/>
        <v>-0.10653543307086615</v>
      </c>
    </row>
    <row r="47" spans="1:26" s="25" customFormat="1" outlineLevel="1" collapsed="1" x14ac:dyDescent="0.25">
      <c r="A47" s="27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SUM(OSRRefD22_4x_0)</f>
        <v>2258.17</v>
      </c>
      <c r="E47" s="1"/>
      <c r="F47" s="5">
        <f t="shared" si="28"/>
        <v>3.8472514241680862E-2</v>
      </c>
      <c r="G47" s="1"/>
      <c r="H47" s="1">
        <f>SUM(OSRRefH22_4x_0)</f>
        <v>1899.06</v>
      </c>
      <c r="I47" s="1"/>
      <c r="J47" s="5">
        <f t="shared" si="29"/>
        <v>3.8170111515914554E-2</v>
      </c>
      <c r="K47" s="1"/>
      <c r="L47" s="1">
        <f t="shared" si="30"/>
        <v>359.11000000000013</v>
      </c>
      <c r="M47" s="1"/>
      <c r="N47" s="5">
        <f t="shared" si="31"/>
        <v>0.18909881730961642</v>
      </c>
      <c r="O47" s="13"/>
      <c r="P47" s="1">
        <f>SUM(OSRRefP22_4x_0)</f>
        <v>10056.969999999999</v>
      </c>
      <c r="Q47" s="1"/>
      <c r="R47" s="5">
        <f t="shared" si="32"/>
        <v>3.3761636628836314E-2</v>
      </c>
      <c r="S47" s="1"/>
      <c r="T47" s="1">
        <f>SUM(OSRRefT22_4x_0)</f>
        <v>9218.41</v>
      </c>
      <c r="U47" s="1"/>
      <c r="V47" s="5">
        <f t="shared" si="33"/>
        <v>3.1924229973891036E-2</v>
      </c>
      <c r="W47" s="1"/>
      <c r="X47" s="1">
        <f t="shared" si="34"/>
        <v>838.55999999999949</v>
      </c>
      <c r="Y47" s="1"/>
      <c r="Z47" s="5">
        <f t="shared" si="35"/>
        <v>9.0965795619851963E-2</v>
      </c>
    </row>
    <row r="48" spans="1:26" s="24" customFormat="1" hidden="1" outlineLevel="2" x14ac:dyDescent="0.25">
      <c r="A48" s="26"/>
      <c r="B48" s="11" t="str">
        <f>CONCATENATE("          ", "6381", " - ", "BANK/CREDIT CARD FEES")</f>
        <v xml:space="preserve">          6381 - BANK/CREDIT CARD FEES</v>
      </c>
      <c r="C48" s="11"/>
      <c r="D48" s="6">
        <v>2258.17</v>
      </c>
      <c r="E48" s="2"/>
      <c r="F48" s="7">
        <f t="shared" si="28"/>
        <v>3.8472514241680862E-2</v>
      </c>
      <c r="G48" s="2"/>
      <c r="H48" s="6">
        <v>1899.06</v>
      </c>
      <c r="I48" s="2"/>
      <c r="J48" s="7">
        <f t="shared" si="29"/>
        <v>3.8170111515914554E-2</v>
      </c>
      <c r="K48" s="2"/>
      <c r="L48" s="6">
        <f t="shared" si="30"/>
        <v>359.11000000000013</v>
      </c>
      <c r="M48" s="2"/>
      <c r="N48" s="7">
        <f t="shared" si="31"/>
        <v>0.18909881730961642</v>
      </c>
      <c r="O48" s="11"/>
      <c r="P48" s="6">
        <v>10056.969999999999</v>
      </c>
      <c r="Q48" s="2"/>
      <c r="R48" s="7">
        <f t="shared" si="32"/>
        <v>3.3761636628836314E-2</v>
      </c>
      <c r="S48" s="2"/>
      <c r="T48" s="6">
        <v>9218.41</v>
      </c>
      <c r="U48" s="2"/>
      <c r="V48" s="7">
        <f t="shared" si="33"/>
        <v>3.1924229973891036E-2</v>
      </c>
      <c r="W48" s="2"/>
      <c r="X48" s="6">
        <f t="shared" si="34"/>
        <v>838.55999999999949</v>
      </c>
      <c r="Y48" s="2"/>
      <c r="Z48" s="7">
        <f t="shared" si="35"/>
        <v>9.0965795619851963E-2</v>
      </c>
    </row>
    <row r="49" spans="1:26" s="25" customFormat="1" outlineLevel="1" collapsed="1" x14ac:dyDescent="0.25">
      <c r="A49" s="27"/>
      <c r="B49" s="13" t="str">
        <f>CONCATENATE("     ","Discounts and Markdowns                           ")</f>
        <v xml:space="preserve">     Discounts and Markdowns                           </v>
      </c>
      <c r="C49" s="13"/>
      <c r="D49" s="1">
        <f>SUM(OSRRefD22_5x_0)</f>
        <v>10.59</v>
      </c>
      <c r="E49" s="1"/>
      <c r="F49" s="5">
        <f t="shared" si="28"/>
        <v>1.8042216742734175E-4</v>
      </c>
      <c r="G49" s="1"/>
      <c r="H49" s="1">
        <f>SUM(OSRRefH22_5x_0)</f>
        <v>8.2100000000000009</v>
      </c>
      <c r="I49" s="1"/>
      <c r="J49" s="5">
        <f t="shared" si="29"/>
        <v>1.6501670065488113E-4</v>
      </c>
      <c r="K49" s="1"/>
      <c r="L49" s="1">
        <f t="shared" si="30"/>
        <v>2.379999999999999</v>
      </c>
      <c r="M49" s="1"/>
      <c r="N49" s="5">
        <f t="shared" si="31"/>
        <v>0.28989037758830677</v>
      </c>
      <c r="O49" s="13"/>
      <c r="P49" s="1">
        <f>SUM(OSRRefP22_5x_0)</f>
        <v>59.75</v>
      </c>
      <c r="Q49" s="1"/>
      <c r="R49" s="5">
        <f t="shared" si="32"/>
        <v>2.0058305718053944E-4</v>
      </c>
      <c r="S49" s="1"/>
      <c r="T49" s="1">
        <f>SUM(OSRRefT22_5x_0)</f>
        <v>62.78</v>
      </c>
      <c r="U49" s="1"/>
      <c r="V49" s="5">
        <f t="shared" si="33"/>
        <v>2.1741310678966106E-4</v>
      </c>
      <c r="W49" s="1"/>
      <c r="X49" s="1">
        <f t="shared" si="34"/>
        <v>-3.0300000000000011</v>
      </c>
      <c r="Y49" s="1"/>
      <c r="Z49" s="5">
        <f t="shared" si="35"/>
        <v>-4.8263778273335473E-2</v>
      </c>
    </row>
    <row r="50" spans="1:26" s="24" customFormat="1" hidden="1" outlineLevel="2" x14ac:dyDescent="0.25">
      <c r="A50" s="26"/>
      <c r="B50" s="11" t="str">
        <f>CONCATENATE("          ", "6382", " - ", "DISCOUNTS/MARK DOWNS")</f>
        <v xml:space="preserve">          6382 - DISCOUNTS/MARK DOWNS</v>
      </c>
      <c r="C50" s="11"/>
      <c r="D50" s="6">
        <v>10.59</v>
      </c>
      <c r="E50" s="2"/>
      <c r="F50" s="7">
        <f t="shared" si="28"/>
        <v>1.8042216742734175E-4</v>
      </c>
      <c r="G50" s="2"/>
      <c r="H50" s="6">
        <v>8.2100000000000009</v>
      </c>
      <c r="I50" s="2"/>
      <c r="J50" s="7">
        <f t="shared" si="29"/>
        <v>1.6501670065488113E-4</v>
      </c>
      <c r="K50" s="2"/>
      <c r="L50" s="6">
        <f t="shared" si="30"/>
        <v>2.379999999999999</v>
      </c>
      <c r="M50" s="2"/>
      <c r="N50" s="7">
        <f t="shared" si="31"/>
        <v>0.28989037758830677</v>
      </c>
      <c r="O50" s="11"/>
      <c r="P50" s="6">
        <v>59.75</v>
      </c>
      <c r="Q50" s="2"/>
      <c r="R50" s="7">
        <f t="shared" si="32"/>
        <v>2.0058305718053944E-4</v>
      </c>
      <c r="S50" s="2"/>
      <c r="T50" s="6">
        <v>62.78</v>
      </c>
      <c r="U50" s="2"/>
      <c r="V50" s="7">
        <f t="shared" si="33"/>
        <v>2.1741310678966106E-4</v>
      </c>
      <c r="W50" s="2"/>
      <c r="X50" s="6">
        <f t="shared" si="34"/>
        <v>-3.0300000000000011</v>
      </c>
      <c r="Y50" s="2"/>
      <c r="Z50" s="7">
        <f t="shared" si="35"/>
        <v>-4.8263778273335473E-2</v>
      </c>
    </row>
    <row r="51" spans="1:26" s="25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SUM(OSRRefD22_6x_0)</f>
        <v>0</v>
      </c>
      <c r="E51" s="1"/>
      <c r="F51" s="5">
        <f t="shared" si="28"/>
        <v>0</v>
      </c>
      <c r="G51" s="1"/>
      <c r="H51" s="1">
        <f>SUM(OSRRefH22_6x_0)</f>
        <v>56.7</v>
      </c>
      <c r="I51" s="1"/>
      <c r="J51" s="5">
        <f t="shared" si="29"/>
        <v>1.1396403078114202E-3</v>
      </c>
      <c r="K51" s="1"/>
      <c r="L51" s="1">
        <f t="shared" si="30"/>
        <v>-56.7</v>
      </c>
      <c r="M51" s="1"/>
      <c r="N51" s="5">
        <f t="shared" si="31"/>
        <v>-1</v>
      </c>
      <c r="O51" s="13"/>
      <c r="P51" s="1">
        <f>SUM(OSRRefP22_6x_0)</f>
        <v>0</v>
      </c>
      <c r="Q51" s="1"/>
      <c r="R51" s="5">
        <f t="shared" si="32"/>
        <v>0</v>
      </c>
      <c r="S51" s="1"/>
      <c r="T51" s="1">
        <f>SUM(OSRRefT22_6x_0)</f>
        <v>94.43</v>
      </c>
      <c r="U51" s="1"/>
      <c r="V51" s="5">
        <f t="shared" si="33"/>
        <v>3.2702006489563067E-4</v>
      </c>
      <c r="W51" s="1"/>
      <c r="X51" s="1">
        <f t="shared" si="34"/>
        <v>-94.43</v>
      </c>
      <c r="Y51" s="1"/>
      <c r="Z51" s="5">
        <f t="shared" si="35"/>
        <v>-1</v>
      </c>
    </row>
    <row r="52" spans="1:26" s="24" customFormat="1" hidden="1" outlineLevel="2" x14ac:dyDescent="0.25">
      <c r="A52" s="26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8"/>
        <v>0</v>
      </c>
      <c r="G52" s="2"/>
      <c r="H52" s="6">
        <v>56.7</v>
      </c>
      <c r="I52" s="2"/>
      <c r="J52" s="7">
        <f t="shared" si="29"/>
        <v>1.1396403078114202E-3</v>
      </c>
      <c r="K52" s="2"/>
      <c r="L52" s="6">
        <f t="shared" si="30"/>
        <v>-56.7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94.43</v>
      </c>
      <c r="U52" s="2"/>
      <c r="V52" s="7">
        <f t="shared" si="33"/>
        <v>3.2702006489563067E-4</v>
      </c>
      <c r="W52" s="2"/>
      <c r="X52" s="6">
        <f t="shared" si="34"/>
        <v>-94.43</v>
      </c>
      <c r="Y52" s="2"/>
      <c r="Z52" s="7">
        <f t="shared" si="35"/>
        <v>-1</v>
      </c>
    </row>
    <row r="53" spans="1:26" s="25" customFormat="1" outlineLevel="1" collapsed="1" x14ac:dyDescent="0.25">
      <c r="A53" s="27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SUM(OSRRefD22_7x_0)</f>
        <v>17.329999999999998</v>
      </c>
      <c r="E53" s="1"/>
      <c r="F53" s="5">
        <f t="shared" si="28"/>
        <v>2.9525176218279811E-4</v>
      </c>
      <c r="G53" s="1"/>
      <c r="H53" s="1">
        <f>SUM(OSRRefH22_7x_0)</f>
        <v>8.74</v>
      </c>
      <c r="I53" s="1"/>
      <c r="J53" s="5">
        <f t="shared" si="29"/>
        <v>1.756694231088503E-4</v>
      </c>
      <c r="K53" s="1"/>
      <c r="L53" s="1">
        <f t="shared" si="30"/>
        <v>8.5899999999999981</v>
      </c>
      <c r="M53" s="1"/>
      <c r="N53" s="5">
        <f t="shared" si="31"/>
        <v>0.98283752860411877</v>
      </c>
      <c r="O53" s="13"/>
      <c r="P53" s="1">
        <f>SUM(OSRRefP22_7x_0)</f>
        <v>188.61</v>
      </c>
      <c r="Q53" s="1"/>
      <c r="R53" s="5">
        <f t="shared" si="32"/>
        <v>6.3317105296772469E-4</v>
      </c>
      <c r="S53" s="1"/>
      <c r="T53" s="1">
        <f>SUM(OSRRefT22_7x_0)</f>
        <v>158.11000000000001</v>
      </c>
      <c r="U53" s="1"/>
      <c r="V53" s="5">
        <f t="shared" si="33"/>
        <v>5.4754995722385014E-4</v>
      </c>
      <c r="W53" s="1"/>
      <c r="X53" s="1">
        <f t="shared" si="34"/>
        <v>30.5</v>
      </c>
      <c r="Y53" s="1"/>
      <c r="Z53" s="5">
        <f t="shared" si="35"/>
        <v>0.19290367465688443</v>
      </c>
    </row>
    <row r="54" spans="1:26" s="24" customFormat="1" hidden="1" outlineLevel="2" x14ac:dyDescent="0.25">
      <c r="A54" s="26"/>
      <c r="B54" s="11" t="str">
        <f>CONCATENATE("          ", "6305", " - ", "FREIGHT OUT")</f>
        <v xml:space="preserve">          6305 - FREIGHT OUT</v>
      </c>
      <c r="C54" s="11"/>
      <c r="D54" s="6">
        <v>17.329999999999998</v>
      </c>
      <c r="E54" s="2"/>
      <c r="F54" s="7">
        <f t="shared" si="28"/>
        <v>2.9525176218279811E-4</v>
      </c>
      <c r="G54" s="2"/>
      <c r="H54" s="6">
        <v>8.74</v>
      </c>
      <c r="I54" s="2"/>
      <c r="J54" s="7">
        <f t="shared" si="29"/>
        <v>1.756694231088503E-4</v>
      </c>
      <c r="K54" s="2"/>
      <c r="L54" s="6">
        <f t="shared" si="30"/>
        <v>8.5899999999999981</v>
      </c>
      <c r="M54" s="2"/>
      <c r="N54" s="7">
        <f t="shared" si="31"/>
        <v>0.98283752860411877</v>
      </c>
      <c r="O54" s="11"/>
      <c r="P54" s="6">
        <v>188.61</v>
      </c>
      <c r="Q54" s="2"/>
      <c r="R54" s="7">
        <f t="shared" si="32"/>
        <v>6.3317105296772469E-4</v>
      </c>
      <c r="S54" s="2"/>
      <c r="T54" s="6">
        <v>158.11000000000001</v>
      </c>
      <c r="U54" s="2"/>
      <c r="V54" s="7">
        <f t="shared" si="33"/>
        <v>5.4754995722385014E-4</v>
      </c>
      <c r="W54" s="2"/>
      <c r="X54" s="6">
        <f t="shared" si="34"/>
        <v>30.5</v>
      </c>
      <c r="Y54" s="2"/>
      <c r="Z54" s="7">
        <f t="shared" si="35"/>
        <v>0.19290367465688443</v>
      </c>
    </row>
    <row r="55" spans="1:26" s="25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SUM(OSRRefD22_8x_0)</f>
        <v>43.35</v>
      </c>
      <c r="E55" s="1"/>
      <c r="F55" s="5">
        <f t="shared" si="28"/>
        <v>7.3855533125356614E-4</v>
      </c>
      <c r="G55" s="1"/>
      <c r="H55" s="1">
        <f>SUM(OSRRefH22_8x_0)</f>
        <v>26.85</v>
      </c>
      <c r="I55" s="1"/>
      <c r="J55" s="5">
        <f t="shared" si="29"/>
        <v>5.3967093941334444E-4</v>
      </c>
      <c r="K55" s="1"/>
      <c r="L55" s="1">
        <f t="shared" si="30"/>
        <v>16.5</v>
      </c>
      <c r="M55" s="1"/>
      <c r="N55" s="5">
        <f t="shared" si="31"/>
        <v>0.61452513966480449</v>
      </c>
      <c r="O55" s="13"/>
      <c r="P55" s="1">
        <f>SUM(OSRRefP22_8x_0)</f>
        <v>951.7</v>
      </c>
      <c r="Q55" s="1"/>
      <c r="R55" s="5">
        <f t="shared" si="32"/>
        <v>3.1948936488488604E-3</v>
      </c>
      <c r="S55" s="1"/>
      <c r="T55" s="1">
        <f>SUM(OSRRefT22_8x_0)</f>
        <v>870.7</v>
      </c>
      <c r="U55" s="1"/>
      <c r="V55" s="5">
        <f t="shared" si="33"/>
        <v>3.0153168538030882E-3</v>
      </c>
      <c r="W55" s="1"/>
      <c r="X55" s="1">
        <f t="shared" si="34"/>
        <v>81</v>
      </c>
      <c r="Y55" s="1"/>
      <c r="Z55" s="5">
        <f t="shared" si="35"/>
        <v>9.3028597680027553E-2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>
        <v>43.35</v>
      </c>
      <c r="E56" s="2"/>
      <c r="F56" s="7">
        <f t="shared" si="28"/>
        <v>7.3855533125356614E-4</v>
      </c>
      <c r="G56" s="2"/>
      <c r="H56" s="6">
        <v>26.85</v>
      </c>
      <c r="I56" s="2"/>
      <c r="J56" s="7">
        <f t="shared" si="29"/>
        <v>5.3967093941334444E-4</v>
      </c>
      <c r="K56" s="2"/>
      <c r="L56" s="6">
        <f t="shared" si="30"/>
        <v>16.5</v>
      </c>
      <c r="M56" s="2"/>
      <c r="N56" s="7">
        <f t="shared" si="31"/>
        <v>0.61452513966480449</v>
      </c>
      <c r="O56" s="11"/>
      <c r="P56" s="6">
        <v>951.7</v>
      </c>
      <c r="Q56" s="2"/>
      <c r="R56" s="7">
        <f t="shared" si="32"/>
        <v>3.1948936488488604E-3</v>
      </c>
      <c r="S56" s="2"/>
      <c r="T56" s="6">
        <v>870.7</v>
      </c>
      <c r="U56" s="2"/>
      <c r="V56" s="7">
        <f t="shared" si="33"/>
        <v>3.0153168538030882E-3</v>
      </c>
      <c r="W56" s="2"/>
      <c r="X56" s="6">
        <f t="shared" si="34"/>
        <v>81</v>
      </c>
      <c r="Y56" s="2"/>
      <c r="Z56" s="7">
        <f t="shared" si="35"/>
        <v>9.3028597680027553E-2</v>
      </c>
    </row>
    <row r="57" spans="1:26" s="25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SUM(OSRRefP22_9x_0)</f>
        <v>1040.72</v>
      </c>
      <c r="Q57" s="1"/>
      <c r="R57" s="5">
        <f t="shared" si="32"/>
        <v>3.4937372262582598E-3</v>
      </c>
      <c r="S57" s="1"/>
      <c r="T57" s="1">
        <f>SUM(OSRRefT22_9x_0)</f>
        <v>258.48</v>
      </c>
      <c r="U57" s="1"/>
      <c r="V57" s="5">
        <f t="shared" si="33"/>
        <v>8.9514080667396612E-4</v>
      </c>
      <c r="W57" s="1"/>
      <c r="X57" s="1">
        <f t="shared" si="34"/>
        <v>782.24</v>
      </c>
      <c r="Y57" s="1"/>
      <c r="Z57" s="5">
        <f t="shared" si="35"/>
        <v>3.0263076446920456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>
        <v>437.31</v>
      </c>
      <c r="Q58" s="2"/>
      <c r="R58" s="7">
        <f t="shared" si="32"/>
        <v>1.4680665562447146E-3</v>
      </c>
      <c r="S58" s="2"/>
      <c r="T58" s="6"/>
      <c r="U58" s="2"/>
      <c r="V58" s="7">
        <f t="shared" si="33"/>
        <v>0</v>
      </c>
      <c r="W58" s="2"/>
      <c r="X58" s="6">
        <f t="shared" si="34"/>
        <v>437.31</v>
      </c>
      <c r="Y58" s="2"/>
      <c r="Z58" s="7">
        <f t="shared" si="35"/>
        <v>0</v>
      </c>
    </row>
    <row r="59" spans="1:26" s="24" customFormat="1" hidden="1" outlineLevel="2" x14ac:dyDescent="0.25">
      <c r="A59" s="26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28"/>
        <v>0</v>
      </c>
      <c r="G59" s="2"/>
      <c r="H59" s="6"/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22.83</v>
      </c>
      <c r="Q59" s="2"/>
      <c r="R59" s="7">
        <f t="shared" si="32"/>
        <v>7.6641191555342511E-5</v>
      </c>
      <c r="S59" s="2"/>
      <c r="T59" s="6">
        <v>22.49</v>
      </c>
      <c r="U59" s="2"/>
      <c r="V59" s="7">
        <f t="shared" si="33"/>
        <v>7.7885007513531007E-5</v>
      </c>
      <c r="W59" s="2"/>
      <c r="X59" s="6">
        <f t="shared" si="34"/>
        <v>0.33999999999999986</v>
      </c>
      <c r="Y59" s="2"/>
      <c r="Z59" s="7">
        <f t="shared" si="35"/>
        <v>1.5117830146731875E-2</v>
      </c>
    </row>
    <row r="60" spans="1:26" s="24" customFormat="1" hidden="1" outlineLevel="2" x14ac:dyDescent="0.25">
      <c r="A60" s="26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580.58000000000004</v>
      </c>
      <c r="Q60" s="2"/>
      <c r="R60" s="7">
        <f t="shared" si="32"/>
        <v>1.9490294784582024E-3</v>
      </c>
      <c r="S60" s="2"/>
      <c r="T60" s="6">
        <v>235.99</v>
      </c>
      <c r="U60" s="2"/>
      <c r="V60" s="7">
        <f t="shared" si="33"/>
        <v>8.1725579916043501E-4</v>
      </c>
      <c r="W60" s="2"/>
      <c r="X60" s="6">
        <f t="shared" si="34"/>
        <v>344.59000000000003</v>
      </c>
      <c r="Y60" s="2"/>
      <c r="Z60" s="7">
        <f t="shared" si="35"/>
        <v>1.4601889910589432</v>
      </c>
    </row>
    <row r="61" spans="1:26" s="25" customFormat="1" outlineLevel="1" collapsed="1" x14ac:dyDescent="0.25">
      <c r="A61" s="27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SUM(OSRRefD22_10x_0)</f>
        <v>103.35</v>
      </c>
      <c r="E61" s="1"/>
      <c r="F61" s="5">
        <f t="shared" ref="F61:F71" si="36">IF(D$12=0,0,D61/D$12)</f>
        <v>1.7607772430232077E-3</v>
      </c>
      <c r="G61" s="1"/>
      <c r="H61" s="1">
        <f>SUM(OSRRefH22_10x_0)</f>
        <v>125.08</v>
      </c>
      <c r="I61" s="1"/>
      <c r="J61" s="5">
        <f t="shared" ref="J61:J71" si="37">IF(H$12=0,0,H61/H$12)</f>
        <v>2.5140424991367269E-3</v>
      </c>
      <c r="K61" s="1"/>
      <c r="L61" s="1">
        <f t="shared" ref="L61:L71" si="38">+D61-H61</f>
        <v>-21.730000000000004</v>
      </c>
      <c r="M61" s="1"/>
      <c r="N61" s="5">
        <f t="shared" ref="N61:N71" si="39">IF(H61=0,0,L61/H61)</f>
        <v>-0.17372881355932207</v>
      </c>
      <c r="O61" s="13"/>
      <c r="P61" s="1">
        <f>SUM(OSRRefP22_10x_0)</f>
        <v>732.46</v>
      </c>
      <c r="Q61" s="1"/>
      <c r="R61" s="5">
        <f t="shared" ref="R61:R71" si="40">IF(P$12=0,0,P61/P$12)</f>
        <v>2.4588965031373711E-3</v>
      </c>
      <c r="S61" s="1"/>
      <c r="T61" s="1">
        <f>SUM(OSRRefT22_10x_0)</f>
        <v>687.94</v>
      </c>
      <c r="U61" s="1"/>
      <c r="V61" s="5">
        <f t="shared" ref="V61:V71" si="41">IF(T$12=0,0,T61/T$12)</f>
        <v>2.382401603773167E-3</v>
      </c>
      <c r="W61" s="1"/>
      <c r="X61" s="1">
        <f t="shared" ref="X61:X71" si="42">+P61-T61</f>
        <v>44.519999999999982</v>
      </c>
      <c r="Y61" s="1"/>
      <c r="Z61" s="5">
        <f t="shared" ref="Z61:Z71" si="43">IF(T61=0,0,X61/T61)</f>
        <v>6.4714946070878243E-2</v>
      </c>
    </row>
    <row r="62" spans="1:26" s="24" customFormat="1" hidden="1" outlineLevel="2" x14ac:dyDescent="0.25">
      <c r="A62" s="26"/>
      <c r="B62" s="11" t="str">
        <f>CONCATENATE("          ", "6286", " - ", "LAUNDRY EXPENSE")</f>
        <v xml:space="preserve">          6286 - LAUNDRY EXPENSE</v>
      </c>
      <c r="C62" s="11"/>
      <c r="D62" s="6">
        <v>103.35</v>
      </c>
      <c r="E62" s="2"/>
      <c r="F62" s="7">
        <f t="shared" si="36"/>
        <v>1.7607772430232077E-3</v>
      </c>
      <c r="G62" s="2"/>
      <c r="H62" s="6">
        <v>125.08</v>
      </c>
      <c r="I62" s="2"/>
      <c r="J62" s="7">
        <f t="shared" si="37"/>
        <v>2.5140424991367269E-3</v>
      </c>
      <c r="K62" s="2"/>
      <c r="L62" s="6">
        <f t="shared" si="38"/>
        <v>-21.730000000000004</v>
      </c>
      <c r="M62" s="2"/>
      <c r="N62" s="7">
        <f t="shared" si="39"/>
        <v>-0.17372881355932207</v>
      </c>
      <c r="O62" s="11"/>
      <c r="P62" s="6">
        <v>732.46</v>
      </c>
      <c r="Q62" s="2"/>
      <c r="R62" s="7">
        <f t="shared" si="40"/>
        <v>2.4588965031373711E-3</v>
      </c>
      <c r="S62" s="2"/>
      <c r="T62" s="6">
        <v>687.94</v>
      </c>
      <c r="U62" s="2"/>
      <c r="V62" s="7">
        <f t="shared" si="41"/>
        <v>2.382401603773167E-3</v>
      </c>
      <c r="W62" s="2"/>
      <c r="X62" s="6">
        <f t="shared" si="42"/>
        <v>44.519999999999982</v>
      </c>
      <c r="Y62" s="2"/>
      <c r="Z62" s="7">
        <f t="shared" si="43"/>
        <v>6.4714946070878243E-2</v>
      </c>
    </row>
    <row r="63" spans="1:26" s="25" customFormat="1" outlineLevel="1" collapsed="1" x14ac:dyDescent="0.25">
      <c r="A63" s="27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SUM(OSRRefD22_11x_0)</f>
        <v>0</v>
      </c>
      <c r="E63" s="1"/>
      <c r="F63" s="5">
        <f t="shared" si="36"/>
        <v>0</v>
      </c>
      <c r="G63" s="1"/>
      <c r="H63" s="1">
        <f>SUM(OSRRefH22_11x_0)</f>
        <v>0</v>
      </c>
      <c r="I63" s="1"/>
      <c r="J63" s="5">
        <f t="shared" si="37"/>
        <v>0</v>
      </c>
      <c r="K63" s="1"/>
      <c r="L63" s="1">
        <f t="shared" si="38"/>
        <v>0</v>
      </c>
      <c r="M63" s="1"/>
      <c r="N63" s="5">
        <f t="shared" si="39"/>
        <v>0</v>
      </c>
      <c r="O63" s="13"/>
      <c r="P63" s="1">
        <f>SUM(OSRRefP22_11x_0)</f>
        <v>0</v>
      </c>
      <c r="Q63" s="1"/>
      <c r="R63" s="5">
        <f t="shared" si="40"/>
        <v>0</v>
      </c>
      <c r="S63" s="1"/>
      <c r="T63" s="1">
        <f>SUM(OSRRefT22_11x_0)</f>
        <v>-6.82</v>
      </c>
      <c r="U63" s="1"/>
      <c r="V63" s="5">
        <f t="shared" si="41"/>
        <v>-2.3618308192186818E-5</v>
      </c>
      <c r="W63" s="1"/>
      <c r="X63" s="1">
        <f t="shared" si="42"/>
        <v>6.82</v>
      </c>
      <c r="Y63" s="1"/>
      <c r="Z63" s="5">
        <f t="shared" si="43"/>
        <v>-1</v>
      </c>
    </row>
    <row r="64" spans="1:26" s="24" customFormat="1" hidden="1" outlineLevel="2" x14ac:dyDescent="0.25">
      <c r="A64" s="26"/>
      <c r="B64" s="11" t="str">
        <f>CONCATENATE("          ", "6275", " - ", "SUBSCRIPTIONS")</f>
        <v xml:space="preserve">          6275 - SUBSCRIPTIONS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/>
      <c r="Q64" s="2"/>
      <c r="R64" s="7">
        <f t="shared" si="40"/>
        <v>0</v>
      </c>
      <c r="S64" s="2"/>
      <c r="T64" s="6">
        <v>-6.82</v>
      </c>
      <c r="U64" s="2"/>
      <c r="V64" s="7">
        <f t="shared" si="41"/>
        <v>-2.3618308192186818E-5</v>
      </c>
      <c r="W64" s="2"/>
      <c r="X64" s="6">
        <f t="shared" si="42"/>
        <v>6.82</v>
      </c>
      <c r="Y64" s="2"/>
      <c r="Z64" s="7">
        <f t="shared" si="43"/>
        <v>-1</v>
      </c>
    </row>
    <row r="65" spans="1:26" s="25" customFormat="1" outlineLevel="1" collapsed="1" x14ac:dyDescent="0.25">
      <c r="A65" s="27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SUM(OSRRefD22_12x_0)</f>
        <v>253.19</v>
      </c>
      <c r="E65" s="1"/>
      <c r="F65" s="5">
        <f t="shared" si="36"/>
        <v>4.3136060973492591E-3</v>
      </c>
      <c r="G65" s="1"/>
      <c r="H65" s="1">
        <f>SUM(OSRRefH22_12x_0)</f>
        <v>612.17999999999995</v>
      </c>
      <c r="I65" s="1"/>
      <c r="J65" s="5">
        <f t="shared" si="37"/>
        <v>1.2304497418624253E-2</v>
      </c>
      <c r="K65" s="1"/>
      <c r="L65" s="1">
        <f t="shared" si="38"/>
        <v>-358.98999999999995</v>
      </c>
      <c r="M65" s="1"/>
      <c r="N65" s="5">
        <f t="shared" si="39"/>
        <v>-0.58641249305759746</v>
      </c>
      <c r="O65" s="13"/>
      <c r="P65" s="1">
        <f>SUM(OSRRefP22_12x_0)</f>
        <v>3312.35</v>
      </c>
      <c r="Q65" s="1"/>
      <c r="R65" s="5">
        <f t="shared" si="40"/>
        <v>1.1119686852752466E-2</v>
      </c>
      <c r="S65" s="1"/>
      <c r="T65" s="1">
        <f>SUM(OSRRefT22_12x_0)</f>
        <v>1949.1599999999999</v>
      </c>
      <c r="U65" s="1"/>
      <c r="V65" s="5">
        <f t="shared" si="41"/>
        <v>6.750126333707163E-3</v>
      </c>
      <c r="W65" s="1"/>
      <c r="X65" s="1">
        <f t="shared" si="42"/>
        <v>1363.19</v>
      </c>
      <c r="Y65" s="1"/>
      <c r="Z65" s="5">
        <f t="shared" si="43"/>
        <v>0.69937306326827975</v>
      </c>
    </row>
    <row r="66" spans="1:26" s="24" customFormat="1" hidden="1" outlineLevel="2" x14ac:dyDescent="0.25">
      <c r="A66" s="26"/>
      <c r="B66" s="11" t="str">
        <f>CONCATENATE("          ", "6234", " - ", "EXPENDABLE SUPPLIES &amp; EQUIPMEN")</f>
        <v xml:space="preserve">          6234 - EXPENDABLE SUPPLIES &amp; EQUIPMEN</v>
      </c>
      <c r="C66" s="11"/>
      <c r="D66" s="6"/>
      <c r="E66" s="2"/>
      <c r="F66" s="7">
        <f t="shared" si="36"/>
        <v>0</v>
      </c>
      <c r="G66" s="2"/>
      <c r="H66" s="6"/>
      <c r="I66" s="2"/>
      <c r="J66" s="7">
        <f t="shared" si="37"/>
        <v>0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>
        <v>354.82</v>
      </c>
      <c r="Q66" s="2"/>
      <c r="R66" s="7">
        <f t="shared" si="40"/>
        <v>1.1911444409840838E-3</v>
      </c>
      <c r="S66" s="2"/>
      <c r="T66" s="6"/>
      <c r="U66" s="2"/>
      <c r="V66" s="7">
        <f t="shared" si="41"/>
        <v>0</v>
      </c>
      <c r="W66" s="2"/>
      <c r="X66" s="6">
        <f t="shared" si="42"/>
        <v>354.82</v>
      </c>
      <c r="Y66" s="2"/>
      <c r="Z66" s="7">
        <f t="shared" si="43"/>
        <v>0</v>
      </c>
    </row>
    <row r="67" spans="1:26" s="24" customFormat="1" hidden="1" outlineLevel="2" x14ac:dyDescent="0.25">
      <c r="A67" s="26"/>
      <c r="B67" s="11" t="str">
        <f>CONCATENATE("          ", "6237", " - ", "JANITORIAL SUPPLIES")</f>
        <v xml:space="preserve">          6237 - JANITORIAL SUPPLIES</v>
      </c>
      <c r="C67" s="11"/>
      <c r="D67" s="6"/>
      <c r="E67" s="2"/>
      <c r="F67" s="7">
        <f t="shared" si="36"/>
        <v>0</v>
      </c>
      <c r="G67" s="2"/>
      <c r="H67" s="6">
        <v>19.13</v>
      </c>
      <c r="I67" s="2"/>
      <c r="J67" s="7">
        <f t="shared" si="37"/>
        <v>3.8450298215930273E-4</v>
      </c>
      <c r="K67" s="2"/>
      <c r="L67" s="6">
        <f t="shared" si="38"/>
        <v>-19.13</v>
      </c>
      <c r="M67" s="2"/>
      <c r="N67" s="7">
        <f t="shared" si="39"/>
        <v>-1</v>
      </c>
      <c r="O67" s="11"/>
      <c r="P67" s="6">
        <v>151.25</v>
      </c>
      <c r="Q67" s="2"/>
      <c r="R67" s="7">
        <f t="shared" si="40"/>
        <v>5.0775209035241152E-4</v>
      </c>
      <c r="S67" s="2"/>
      <c r="T67" s="6">
        <v>59.34</v>
      </c>
      <c r="U67" s="2"/>
      <c r="V67" s="7">
        <f t="shared" si="41"/>
        <v>2.0550005984228237E-4</v>
      </c>
      <c r="W67" s="2"/>
      <c r="X67" s="6">
        <f t="shared" si="42"/>
        <v>91.91</v>
      </c>
      <c r="Y67" s="2"/>
      <c r="Z67" s="7">
        <f t="shared" si="43"/>
        <v>1.548870913380519</v>
      </c>
    </row>
    <row r="68" spans="1:26" s="24" customFormat="1" hidden="1" outlineLevel="2" x14ac:dyDescent="0.25">
      <c r="A68" s="26"/>
      <c r="B68" s="11" t="str">
        <f>CONCATENATE("          ", "6241", " - ", "OFFICE EXPENSE")</f>
        <v xml:space="preserve">          6241 - OFFICE EXPENSE</v>
      </c>
      <c r="C68" s="11"/>
      <c r="D68" s="6">
        <v>67.34</v>
      </c>
      <c r="E68" s="2"/>
      <c r="F68" s="7">
        <f t="shared" si="36"/>
        <v>1.1472737256427944E-3</v>
      </c>
      <c r="G68" s="2"/>
      <c r="H68" s="6"/>
      <c r="I68" s="2"/>
      <c r="J68" s="7">
        <f t="shared" si="37"/>
        <v>0</v>
      </c>
      <c r="K68" s="2"/>
      <c r="L68" s="6">
        <f t="shared" si="38"/>
        <v>67.34</v>
      </c>
      <c r="M68" s="2"/>
      <c r="N68" s="7">
        <f t="shared" si="39"/>
        <v>0</v>
      </c>
      <c r="O68" s="11"/>
      <c r="P68" s="6">
        <v>328.56</v>
      </c>
      <c r="Q68" s="2"/>
      <c r="R68" s="7">
        <f t="shared" si="40"/>
        <v>1.1029886069830635E-3</v>
      </c>
      <c r="S68" s="2"/>
      <c r="T68" s="6">
        <v>136.93</v>
      </c>
      <c r="U68" s="2"/>
      <c r="V68" s="7">
        <f t="shared" si="41"/>
        <v>4.7420160421644293E-4</v>
      </c>
      <c r="W68" s="2"/>
      <c r="X68" s="6">
        <f t="shared" si="42"/>
        <v>191.63</v>
      </c>
      <c r="Y68" s="2"/>
      <c r="Z68" s="7">
        <f t="shared" si="43"/>
        <v>1.3994741838895786</v>
      </c>
    </row>
    <row r="69" spans="1:26" s="24" customFormat="1" hidden="1" outlineLevel="2" x14ac:dyDescent="0.25">
      <c r="A69" s="26"/>
      <c r="B69" s="11" t="str">
        <f>CONCATENATE("          ", "6245", " - ", "PRINTING")</f>
        <v xml:space="preserve">          6245 - PRINTING</v>
      </c>
      <c r="C69" s="11"/>
      <c r="D69" s="6">
        <v>37.44</v>
      </c>
      <c r="E69" s="2"/>
      <c r="F69" s="7">
        <f t="shared" si="36"/>
        <v>6.378664729442563E-4</v>
      </c>
      <c r="G69" s="2"/>
      <c r="H69" s="6"/>
      <c r="I69" s="2"/>
      <c r="J69" s="7">
        <f t="shared" si="37"/>
        <v>0</v>
      </c>
      <c r="K69" s="2"/>
      <c r="L69" s="6">
        <f t="shared" si="38"/>
        <v>37.44</v>
      </c>
      <c r="M69" s="2"/>
      <c r="N69" s="7">
        <f t="shared" si="39"/>
        <v>0</v>
      </c>
      <c r="O69" s="11"/>
      <c r="P69" s="6">
        <v>81.739999999999995</v>
      </c>
      <c r="Q69" s="2"/>
      <c r="R69" s="7">
        <f t="shared" si="40"/>
        <v>2.7440433630020574E-4</v>
      </c>
      <c r="S69" s="2"/>
      <c r="T69" s="6"/>
      <c r="U69" s="2"/>
      <c r="V69" s="7">
        <f t="shared" si="41"/>
        <v>0</v>
      </c>
      <c r="W69" s="2"/>
      <c r="X69" s="6">
        <f t="shared" si="42"/>
        <v>81.739999999999995</v>
      </c>
      <c r="Y69" s="2"/>
      <c r="Z69" s="7">
        <f t="shared" si="43"/>
        <v>0</v>
      </c>
    </row>
    <row r="70" spans="1:26" s="24" customFormat="1" hidden="1" outlineLevel="2" x14ac:dyDescent="0.25">
      <c r="A70" s="26"/>
      <c r="B70" s="11" t="str">
        <f>CONCATENATE("          ", "6247", " - ", "STORE SUPPLIES")</f>
        <v xml:space="preserve">          6247 - STORE SUPPLIES</v>
      </c>
      <c r="C70" s="11"/>
      <c r="D70" s="6">
        <v>148.41</v>
      </c>
      <c r="E70" s="2"/>
      <c r="F70" s="7">
        <f t="shared" si="36"/>
        <v>2.5284658987622085E-3</v>
      </c>
      <c r="G70" s="2"/>
      <c r="H70" s="6">
        <v>593.04999999999995</v>
      </c>
      <c r="I70" s="2"/>
      <c r="J70" s="7">
        <f t="shared" si="37"/>
        <v>1.1919994436464949E-2</v>
      </c>
      <c r="K70" s="2"/>
      <c r="L70" s="6">
        <f t="shared" si="38"/>
        <v>-444.64</v>
      </c>
      <c r="M70" s="2"/>
      <c r="N70" s="7">
        <f t="shared" si="39"/>
        <v>-0.74975128572632999</v>
      </c>
      <c r="O70" s="11"/>
      <c r="P70" s="6">
        <v>2395.98</v>
      </c>
      <c r="Q70" s="2"/>
      <c r="R70" s="7">
        <f t="shared" si="40"/>
        <v>8.0433973781327012E-3</v>
      </c>
      <c r="S70" s="2"/>
      <c r="T70" s="6">
        <v>1565.02</v>
      </c>
      <c r="U70" s="2"/>
      <c r="V70" s="7">
        <f t="shared" si="41"/>
        <v>5.4198130039495905E-3</v>
      </c>
      <c r="W70" s="2"/>
      <c r="X70" s="6">
        <f t="shared" si="42"/>
        <v>830.96</v>
      </c>
      <c r="Y70" s="2"/>
      <c r="Z70" s="7">
        <f t="shared" si="43"/>
        <v>0.53095807082337609</v>
      </c>
    </row>
    <row r="71" spans="1:26" s="24" customFormat="1" hidden="1" outlineLevel="2" x14ac:dyDescent="0.25">
      <c r="A71" s="26"/>
      <c r="B71" s="11" t="str">
        <f>CONCATENATE("          ", "6248", " - ", "UNIFORMS")</f>
        <v xml:space="preserve">          6248 - UNIFORMS</v>
      </c>
      <c r="C71" s="11"/>
      <c r="D71" s="6"/>
      <c r="E71" s="2"/>
      <c r="F71" s="7">
        <f t="shared" si="36"/>
        <v>0</v>
      </c>
      <c r="G71" s="2"/>
      <c r="H71" s="6"/>
      <c r="I71" s="2"/>
      <c r="J71" s="7">
        <f t="shared" si="37"/>
        <v>0</v>
      </c>
      <c r="K71" s="2"/>
      <c r="L71" s="6">
        <f t="shared" si="38"/>
        <v>0</v>
      </c>
      <c r="M71" s="2"/>
      <c r="N71" s="7">
        <f t="shared" si="39"/>
        <v>0</v>
      </c>
      <c r="O71" s="11"/>
      <c r="P71" s="6"/>
      <c r="Q71" s="2"/>
      <c r="R71" s="7">
        <f t="shared" si="40"/>
        <v>0</v>
      </c>
      <c r="S71" s="2"/>
      <c r="T71" s="6">
        <v>187.87</v>
      </c>
      <c r="U71" s="2"/>
      <c r="V71" s="7">
        <f t="shared" si="41"/>
        <v>6.5061166569884712E-4</v>
      </c>
      <c r="W71" s="2"/>
      <c r="X71" s="6">
        <f t="shared" si="42"/>
        <v>-187.87</v>
      </c>
      <c r="Y71" s="2"/>
      <c r="Z71" s="7">
        <f t="shared" si="43"/>
        <v>-1</v>
      </c>
    </row>
    <row r="72" spans="1:26" s="25" customFormat="1" outlineLevel="1" collapsed="1" x14ac:dyDescent="0.25">
      <c r="A72" s="27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SUM(OSRRefD22_13x_0)</f>
        <v>126.75</v>
      </c>
      <c r="E72" s="1"/>
      <c r="F72" s="5">
        <f t="shared" ref="F72:F75" si="44">IF(D$12=0,0,D72/D$12)</f>
        <v>2.1594437886133678E-3</v>
      </c>
      <c r="G72" s="1"/>
      <c r="H72" s="1">
        <f>SUM(OSRRefH22_13x_0)</f>
        <v>128.30000000000001</v>
      </c>
      <c r="I72" s="1"/>
      <c r="J72" s="5">
        <f t="shared" ref="J72:J75" si="45">IF(H$12=0,0,H72/H$12)</f>
        <v>2.5787628129136722E-3</v>
      </c>
      <c r="K72" s="1"/>
      <c r="L72" s="1">
        <f t="shared" ref="L72:L75" si="46">+D72-H72</f>
        <v>-1.5500000000000114</v>
      </c>
      <c r="M72" s="1"/>
      <c r="N72" s="5">
        <f t="shared" ref="N72:N75" si="47">IF(H72=0,0,L72/H72)</f>
        <v>-1.2081060015588552E-2</v>
      </c>
      <c r="O72" s="13"/>
      <c r="P72" s="1">
        <f>SUM(OSRRefP22_13x_0)</f>
        <v>574.6</v>
      </c>
      <c r="Q72" s="1"/>
      <c r="R72" s="5">
        <f t="shared" ref="R72:R75" si="48">IF(P$12=0,0,P72/P$12)</f>
        <v>1.9289543875470789E-3</v>
      </c>
      <c r="S72" s="1"/>
      <c r="T72" s="1">
        <f>SUM(OSRRefT22_13x_0)</f>
        <v>710.65</v>
      </c>
      <c r="U72" s="1"/>
      <c r="V72" s="5">
        <f t="shared" ref="V72:V75" si="49">IF(T$12=0,0,T72/T$12)</f>
        <v>2.4610484921961232E-3</v>
      </c>
      <c r="W72" s="1"/>
      <c r="X72" s="1">
        <f t="shared" ref="X72:X75" si="50">+P72-T72</f>
        <v>-136.04999999999995</v>
      </c>
      <c r="Y72" s="1"/>
      <c r="Z72" s="5">
        <f t="shared" ref="Z72:Z75" si="51">IF(T72=0,0,X72/T72)</f>
        <v>-0.19144445226201359</v>
      </c>
    </row>
    <row r="73" spans="1:26" s="24" customFormat="1" hidden="1" outlineLevel="2" x14ac:dyDescent="0.25">
      <c r="A73" s="26"/>
      <c r="B73" s="11" t="str">
        <f>CONCATENATE("          ", "6309", " - ", "TELEPHONE")</f>
        <v xml:space="preserve">          6309 - TELEPHONE</v>
      </c>
      <c r="C73" s="11"/>
      <c r="D73" s="6">
        <v>126.75</v>
      </c>
      <c r="E73" s="2"/>
      <c r="F73" s="7">
        <f t="shared" si="44"/>
        <v>2.1594437886133678E-3</v>
      </c>
      <c r="G73" s="2"/>
      <c r="H73" s="6">
        <v>128.30000000000001</v>
      </c>
      <c r="I73" s="2"/>
      <c r="J73" s="7">
        <f t="shared" si="45"/>
        <v>2.5787628129136722E-3</v>
      </c>
      <c r="K73" s="2"/>
      <c r="L73" s="6">
        <f t="shared" si="46"/>
        <v>-1.5500000000000114</v>
      </c>
      <c r="M73" s="2"/>
      <c r="N73" s="7">
        <f t="shared" si="47"/>
        <v>-1.2081060015588552E-2</v>
      </c>
      <c r="O73" s="11"/>
      <c r="P73" s="6">
        <v>574.6</v>
      </c>
      <c r="Q73" s="2"/>
      <c r="R73" s="7">
        <f t="shared" si="48"/>
        <v>1.9289543875470789E-3</v>
      </c>
      <c r="S73" s="2"/>
      <c r="T73" s="6">
        <v>710.65</v>
      </c>
      <c r="U73" s="2"/>
      <c r="V73" s="7">
        <f t="shared" si="49"/>
        <v>2.4610484921961232E-3</v>
      </c>
      <c r="W73" s="2"/>
      <c r="X73" s="6">
        <f t="shared" si="50"/>
        <v>-136.04999999999995</v>
      </c>
      <c r="Y73" s="2"/>
      <c r="Z73" s="7">
        <f t="shared" si="51"/>
        <v>-0.19144445226201359</v>
      </c>
    </row>
    <row r="74" spans="1:26" s="25" customFormat="1" outlineLevel="1" collapsed="1" x14ac:dyDescent="0.25">
      <c r="A74" s="27"/>
      <c r="B74" s="13" t="str">
        <f>CONCATENATE("     ","Training                                          ")</f>
        <v xml:space="preserve">     Training                                          </v>
      </c>
      <c r="C74" s="13"/>
      <c r="D74" s="1">
        <f>SUM(OSRRefD22_14x_0)</f>
        <v>0</v>
      </c>
      <c r="E74" s="1"/>
      <c r="F74" s="5">
        <f t="shared" si="44"/>
        <v>0</v>
      </c>
      <c r="G74" s="1"/>
      <c r="H74" s="1">
        <f>SUM(OSRRefH22_14x_0)</f>
        <v>0</v>
      </c>
      <c r="I74" s="1"/>
      <c r="J74" s="5">
        <f t="shared" si="45"/>
        <v>0</v>
      </c>
      <c r="K74" s="1"/>
      <c r="L74" s="1">
        <f t="shared" si="46"/>
        <v>0</v>
      </c>
      <c r="M74" s="1"/>
      <c r="N74" s="5">
        <f t="shared" si="47"/>
        <v>0</v>
      </c>
      <c r="O74" s="13"/>
      <c r="P74" s="1">
        <f>SUM(OSRRefP22_14x_0)</f>
        <v>96</v>
      </c>
      <c r="Q74" s="1"/>
      <c r="R74" s="5">
        <f t="shared" si="48"/>
        <v>3.2227570693442323E-4</v>
      </c>
      <c r="S74" s="1"/>
      <c r="T74" s="1">
        <f>SUM(OSRRefT22_14x_0)</f>
        <v>98.82</v>
      </c>
      <c r="U74" s="1"/>
      <c r="V74" s="5">
        <f t="shared" si="49"/>
        <v>3.4222305213370984E-4</v>
      </c>
      <c r="W74" s="1"/>
      <c r="X74" s="1">
        <f t="shared" si="50"/>
        <v>-2.8199999999999932</v>
      </c>
      <c r="Y74" s="1"/>
      <c r="Z74" s="5">
        <f t="shared" si="51"/>
        <v>-2.8536733454766174E-2</v>
      </c>
    </row>
    <row r="75" spans="1:26" s="24" customFormat="1" hidden="1" outlineLevel="2" x14ac:dyDescent="0.25">
      <c r="A75" s="26"/>
      <c r="B75" s="11" t="str">
        <f>CONCATENATE("          ", "6376", " - ", "TRAINING")</f>
        <v xml:space="preserve">          6376 - TRAINING</v>
      </c>
      <c r="C75" s="11"/>
      <c r="D75" s="6"/>
      <c r="E75" s="2"/>
      <c r="F75" s="7">
        <f t="shared" si="44"/>
        <v>0</v>
      </c>
      <c r="G75" s="2"/>
      <c r="H75" s="6"/>
      <c r="I75" s="2"/>
      <c r="J75" s="7">
        <f t="shared" si="45"/>
        <v>0</v>
      </c>
      <c r="K75" s="2"/>
      <c r="L75" s="6">
        <f t="shared" si="46"/>
        <v>0</v>
      </c>
      <c r="M75" s="2"/>
      <c r="N75" s="7">
        <f t="shared" si="47"/>
        <v>0</v>
      </c>
      <c r="O75" s="11"/>
      <c r="P75" s="6">
        <v>96</v>
      </c>
      <c r="Q75" s="2"/>
      <c r="R75" s="7">
        <f t="shared" si="48"/>
        <v>3.2227570693442323E-4</v>
      </c>
      <c r="S75" s="2"/>
      <c r="T75" s="6">
        <v>98.82</v>
      </c>
      <c r="U75" s="2"/>
      <c r="V75" s="7">
        <f t="shared" si="49"/>
        <v>3.4222305213370984E-4</v>
      </c>
      <c r="W75" s="2"/>
      <c r="X75" s="6">
        <f t="shared" si="50"/>
        <v>-2.8199999999999932</v>
      </c>
      <c r="Y75" s="2"/>
      <c r="Z75" s="7">
        <f t="shared" si="51"/>
        <v>-2.8536733454766174E-2</v>
      </c>
    </row>
    <row r="76" spans="1:26" s="53" customFormat="1" x14ac:dyDescent="0.25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8" t="s">
        <v>0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9" t="s">
        <v>3</v>
      </c>
      <c r="C79" s="29"/>
      <c r="D79" s="21">
        <f>+D25-D27+D77</f>
        <v>13511.209999999995</v>
      </c>
      <c r="E79" s="14"/>
      <c r="F79" s="20">
        <f>IF(D$12=0,0,D79/D$12)</f>
        <v>0.2301909152753516</v>
      </c>
      <c r="G79" s="14"/>
      <c r="H79" s="21">
        <f>+H25-H27+H77</f>
        <v>6647.6800000000112</v>
      </c>
      <c r="I79" s="14"/>
      <c r="J79" s="20">
        <f>IF(H$12=0,0,H79/H$12)</f>
        <v>0.13361488679773958</v>
      </c>
      <c r="K79" s="15"/>
      <c r="L79" s="21">
        <f>+D79-H79</f>
        <v>6863.5299999999843</v>
      </c>
      <c r="M79" s="15"/>
      <c r="N79" s="20">
        <f>IF(H79=0,0,L79/H79)</f>
        <v>1.0324699744873358</v>
      </c>
      <c r="O79" s="28"/>
      <c r="P79" s="21">
        <f>+P25-P27+P77</f>
        <v>58852.359999999957</v>
      </c>
      <c r="Q79" s="14"/>
      <c r="R79" s="20">
        <f>IF(P$12=0,0,P79/P$12)</f>
        <v>0.19756964503915789</v>
      </c>
      <c r="S79" s="14"/>
      <c r="T79" s="21">
        <f>+T25-T27+T77</f>
        <v>47951.689999999988</v>
      </c>
      <c r="U79" s="14"/>
      <c r="V79" s="20">
        <f>IF(T$12=0,0,T79/T$12)</f>
        <v>0.16606125993492704</v>
      </c>
      <c r="W79" s="15"/>
      <c r="X79" s="21">
        <f>+P79-T79</f>
        <v>10900.669999999969</v>
      </c>
      <c r="Y79" s="15"/>
      <c r="Z79" s="20">
        <f>IF(T79=0,0,X79/T79)</f>
        <v>0.22732608590020439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1"/>
      <c r="B81" s="10" t="s">
        <v>13</v>
      </c>
      <c r="C81" s="10"/>
      <c r="D81" s="4">
        <v>7466.58</v>
      </c>
      <c r="E81" s="4"/>
      <c r="F81" s="12">
        <f>IF(D$12=0,0,D81/D$12)</f>
        <v>0.12720836136634953</v>
      </c>
      <c r="G81" s="4"/>
      <c r="H81" s="4">
        <v>8433.61</v>
      </c>
      <c r="I81" s="4"/>
      <c r="J81" s="12">
        <f>IF(H$12=0,0,H81/H$12)</f>
        <v>0.16951114455663971</v>
      </c>
      <c r="K81" s="4"/>
      <c r="L81" s="4">
        <f>+D81-H81</f>
        <v>-967.03000000000065</v>
      </c>
      <c r="M81" s="4"/>
      <c r="N81" s="12">
        <f>IF(H81=0,0,L81/H81)</f>
        <v>-0.11466382723412638</v>
      </c>
      <c r="O81" s="10"/>
      <c r="P81" s="4">
        <v>31543.649999999998</v>
      </c>
      <c r="Q81" s="4"/>
      <c r="R81" s="12">
        <f>IF(P$12=0,0,P81/P$12)</f>
        <v>0.10589325107335436</v>
      </c>
      <c r="S81" s="4"/>
      <c r="T81" s="4">
        <v>30383.919999999998</v>
      </c>
      <c r="U81" s="4"/>
      <c r="V81" s="12">
        <f>IF(T$12=0,0,T81/T$12)</f>
        <v>0.10522240273412739</v>
      </c>
      <c r="W81" s="4"/>
      <c r="X81" s="4">
        <f>+P81-T81</f>
        <v>1159.7299999999996</v>
      </c>
      <c r="Y81" s="4"/>
      <c r="Z81" s="12">
        <f>IF(T81=0,0,X81/T81)</f>
        <v>3.8169202657194978E-2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4</v>
      </c>
      <c r="C83" s="29"/>
      <c r="D83" s="31">
        <f>+D79-D81</f>
        <v>6044.6299999999956</v>
      </c>
      <c r="E83" s="14"/>
      <c r="F83" s="32">
        <f>IF(D$12=0,0,D83/D$12)</f>
        <v>0.10298255390900207</v>
      </c>
      <c r="G83" s="14"/>
      <c r="H83" s="31">
        <f>+H79-H81</f>
        <v>-1785.9299999999894</v>
      </c>
      <c r="I83" s="14"/>
      <c r="J83" s="32">
        <f>IF(H$12=0,0,H83/H$12)</f>
        <v>-3.5896257758900131E-2</v>
      </c>
      <c r="K83" s="15"/>
      <c r="L83" s="31">
        <f>D83-H83</f>
        <v>7830.5599999999849</v>
      </c>
      <c r="M83" s="15"/>
      <c r="N83" s="32">
        <f>IF(H83=0,0,L83/H83)</f>
        <v>-4.384583942259793</v>
      </c>
      <c r="O83" s="28"/>
      <c r="P83" s="31">
        <f>+P79-P81</f>
        <v>27308.709999999959</v>
      </c>
      <c r="Q83" s="14"/>
      <c r="R83" s="32">
        <f>IF(P$12=0,0,P83/P$12)</f>
        <v>9.1676393965803529E-2</v>
      </c>
      <c r="S83" s="14"/>
      <c r="T83" s="31">
        <f>+T79-T81</f>
        <v>17567.76999999999</v>
      </c>
      <c r="U83" s="14"/>
      <c r="V83" s="32">
        <f>IF(T$12=0,0,T83/T$12)</f>
        <v>6.0838857200799637E-2</v>
      </c>
      <c r="W83" s="15"/>
      <c r="X83" s="31">
        <f>P83-T83</f>
        <v>9740.9399999999696</v>
      </c>
      <c r="Y83" s="15"/>
      <c r="Z83" s="32">
        <f>IF(T83=0,0,X83/T83)</f>
        <v>0.55447788763172423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5</v>
      </c>
      <c r="C86" s="29"/>
      <c r="D86" s="34">
        <f>SUM(D83:D85)</f>
        <v>6044.6299999999956</v>
      </c>
      <c r="E86" s="14"/>
      <c r="F86" s="30">
        <f>IF(D$12=0,0,D86/D$12)</f>
        <v>0.10298255390900207</v>
      </c>
      <c r="G86" s="14"/>
      <c r="H86" s="34">
        <f>SUM(H83:H85)</f>
        <v>-1785.9299999999894</v>
      </c>
      <c r="I86" s="14"/>
      <c r="J86" s="30">
        <f>IF(H$12=0,0,H86/H$12)</f>
        <v>-3.5896257758900131E-2</v>
      </c>
      <c r="K86" s="15"/>
      <c r="L86" s="34">
        <f>+D86-H86</f>
        <v>7830.5599999999849</v>
      </c>
      <c r="M86" s="15"/>
      <c r="N86" s="30">
        <f>IF(H86=0,0,L86/H86)</f>
        <v>-4.384583942259793</v>
      </c>
      <c r="O86" s="28"/>
      <c r="P86" s="34">
        <f>SUM(P83:P85)</f>
        <v>27308.709999999959</v>
      </c>
      <c r="Q86" s="14"/>
      <c r="R86" s="30">
        <f>IF(P$12=0,0,P86/P$12)</f>
        <v>9.1676393965803529E-2</v>
      </c>
      <c r="S86" s="14"/>
      <c r="T86" s="34">
        <f>SUM(T83:T85)</f>
        <v>17567.76999999999</v>
      </c>
      <c r="U86" s="14"/>
      <c r="V86" s="30">
        <f>IF(T$12=0,0,T86/T$12)</f>
        <v>6.0838857200799637E-2</v>
      </c>
      <c r="W86" s="15"/>
      <c r="X86" s="34">
        <f>+P86-T86</f>
        <v>9740.9399999999696</v>
      </c>
      <c r="Y86" s="15"/>
      <c r="Z86" s="30">
        <f>IF(T86=0,0,X86/T86)</f>
        <v>0.55447788763172423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9">
        <v>43815.491774733797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62" t="s">
        <v>313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61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297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","321", " - ", "Student Union C-Store")</f>
        <v>Department 321 - Student Union C-Store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33948.630000000005</v>
      </c>
      <c r="E12" s="4"/>
      <c r="F12" s="12"/>
      <c r="G12" s="4"/>
      <c r="H12" s="4">
        <f>SUM(OSRRefH13x_0)</f>
        <v>24034.12</v>
      </c>
      <c r="I12" s="4"/>
      <c r="J12" s="12"/>
      <c r="K12" s="4"/>
      <c r="L12" s="4">
        <f t="shared" ref="L12:L14" si="0">+D12-H12</f>
        <v>9914.5100000000057</v>
      </c>
      <c r="M12" s="4"/>
      <c r="N12" s="12">
        <f t="shared" ref="N12:N14" si="1">IF(H12=0,0,L12/H12)</f>
        <v>0.41251812007263033</v>
      </c>
      <c r="O12" s="10"/>
      <c r="P12" s="4">
        <f>SUM(OSRRefP13x_0)</f>
        <v>168134.68</v>
      </c>
      <c r="Q12" s="4"/>
      <c r="R12" s="12"/>
      <c r="S12" s="4"/>
      <c r="T12" s="4">
        <f>SUM(OSRRefT13x_0)</f>
        <v>143587.79999999999</v>
      </c>
      <c r="U12" s="4"/>
      <c r="V12" s="12"/>
      <c r="W12" s="4"/>
      <c r="X12" s="4">
        <f t="shared" ref="X12:X14" si="2">+P12-T12</f>
        <v>24546.880000000005</v>
      </c>
      <c r="Y12" s="4"/>
      <c r="Z12" s="12">
        <f t="shared" ref="Z12:Z14" si="3">IF(T12=0,0,X12/T12)</f>
        <v>0.17095379969607449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--6560.59</f>
        <v>6560.59</v>
      </c>
      <c r="E13" s="2"/>
      <c r="F13" s="19"/>
      <c r="G13" s="2"/>
      <c r="H13" s="2">
        <f>--5557.37</f>
        <v>5557.37</v>
      </c>
      <c r="I13" s="2"/>
      <c r="J13" s="19"/>
      <c r="K13" s="2"/>
      <c r="L13" s="2">
        <f t="shared" si="0"/>
        <v>1003.2200000000003</v>
      </c>
      <c r="M13" s="2"/>
      <c r="N13" s="19">
        <f t="shared" si="1"/>
        <v>0.18052064195833645</v>
      </c>
      <c r="O13" s="11"/>
      <c r="P13" s="2">
        <f>--37750.31</f>
        <v>37750.31</v>
      </c>
      <c r="Q13" s="2"/>
      <c r="R13" s="19"/>
      <c r="S13" s="2"/>
      <c r="T13" s="2">
        <f>--35209.12</f>
        <v>35209.120000000003</v>
      </c>
      <c r="U13" s="2"/>
      <c r="V13" s="19"/>
      <c r="W13" s="2"/>
      <c r="X13" s="2">
        <f t="shared" si="2"/>
        <v>2541.1899999999951</v>
      </c>
      <c r="Y13" s="2"/>
      <c r="Z13" s="19">
        <f t="shared" si="3"/>
        <v>7.2174198048687244E-2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>--27388.04</f>
        <v>27388.04</v>
      </c>
      <c r="E14" s="2"/>
      <c r="F14" s="19"/>
      <c r="G14" s="2"/>
      <c r="H14" s="2">
        <f>--18476.75</f>
        <v>18476.75</v>
      </c>
      <c r="I14" s="2"/>
      <c r="J14" s="19"/>
      <c r="K14" s="2"/>
      <c r="L14" s="2">
        <f t="shared" si="0"/>
        <v>8911.2900000000009</v>
      </c>
      <c r="M14" s="2"/>
      <c r="N14" s="19">
        <f t="shared" si="1"/>
        <v>0.4822974819705847</v>
      </c>
      <c r="O14" s="11"/>
      <c r="P14" s="2">
        <f>--130384.37</f>
        <v>130384.37</v>
      </c>
      <c r="Q14" s="2"/>
      <c r="R14" s="19"/>
      <c r="S14" s="2"/>
      <c r="T14" s="2">
        <f>--108378.68</f>
        <v>108378.68</v>
      </c>
      <c r="U14" s="2"/>
      <c r="V14" s="19"/>
      <c r="W14" s="2"/>
      <c r="X14" s="2">
        <f t="shared" si="2"/>
        <v>22005.690000000002</v>
      </c>
      <c r="Y14" s="2"/>
      <c r="Z14" s="19">
        <f t="shared" si="3"/>
        <v>0.20304445486879896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15688.05</v>
      </c>
      <c r="E16" s="4"/>
      <c r="F16" s="12">
        <f t="shared" ref="F16:F18" si="4">IF(D$12=0,0,D16/D$12)</f>
        <v>0.46211143130076227</v>
      </c>
      <c r="G16" s="4"/>
      <c r="H16" s="4">
        <f>SUM(OSRRefH16x_0)</f>
        <v>11681.86</v>
      </c>
      <c r="I16" s="4"/>
      <c r="J16" s="12">
        <f t="shared" ref="J16:J18" si="5">IF(H$12=0,0,H16/H$12)</f>
        <v>0.48605316108931806</v>
      </c>
      <c r="K16" s="4"/>
      <c r="L16" s="4">
        <f t="shared" ref="L16:L18" si="6">+D16-H16</f>
        <v>4006.1899999999987</v>
      </c>
      <c r="M16" s="4"/>
      <c r="N16" s="12">
        <f t="shared" ref="N16:N18" si="7">IF(H16=0,0,L16/H16)</f>
        <v>0.34294110698125113</v>
      </c>
      <c r="O16" s="10"/>
      <c r="P16" s="4">
        <f>SUM(OSRRefP16x_0)</f>
        <v>81382.259999999995</v>
      </c>
      <c r="Q16" s="4"/>
      <c r="R16" s="12">
        <f t="shared" ref="R16:R18" si="8">IF(P$12=0,0,P16/P$12)</f>
        <v>0.48403018342200432</v>
      </c>
      <c r="S16" s="4"/>
      <c r="T16" s="4">
        <f>SUM(OSRRefT16x_0)</f>
        <v>69112.33</v>
      </c>
      <c r="U16" s="4"/>
      <c r="V16" s="12">
        <f t="shared" ref="V16:V18" si="9">IF(T$12=0,0,T16/T$12)</f>
        <v>0.48132452757128397</v>
      </c>
      <c r="W16" s="4"/>
      <c r="X16" s="4">
        <f t="shared" ref="X16:X18" si="10">+P16-T16</f>
        <v>12269.929999999993</v>
      </c>
      <c r="Y16" s="4"/>
      <c r="Z16" s="12">
        <f t="shared" ref="Z16:Z18" si="11">IF(T16=0,0,X16/T16)</f>
        <v>0.17753604892209526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12632.5</v>
      </c>
      <c r="E17" s="2"/>
      <c r="F17" s="19">
        <f t="shared" si="4"/>
        <v>0.37210632652922954</v>
      </c>
      <c r="G17" s="2"/>
      <c r="H17" s="2">
        <v>8021.61</v>
      </c>
      <c r="I17" s="2"/>
      <c r="J17" s="19">
        <f t="shared" si="5"/>
        <v>0.33375925559163389</v>
      </c>
      <c r="K17" s="2"/>
      <c r="L17" s="2">
        <f t="shared" si="6"/>
        <v>4610.8900000000003</v>
      </c>
      <c r="M17" s="2"/>
      <c r="N17" s="19">
        <f t="shared" si="7"/>
        <v>0.57480854840861129</v>
      </c>
      <c r="O17" s="11"/>
      <c r="P17" s="2">
        <v>79329.7</v>
      </c>
      <c r="Q17" s="2"/>
      <c r="R17" s="19">
        <f t="shared" si="8"/>
        <v>0.47182235098672087</v>
      </c>
      <c r="S17" s="2"/>
      <c r="T17" s="2">
        <v>64636.57</v>
      </c>
      <c r="U17" s="2"/>
      <c r="V17" s="19">
        <f t="shared" si="9"/>
        <v>0.45015363422240612</v>
      </c>
      <c r="W17" s="2"/>
      <c r="X17" s="2">
        <f t="shared" si="10"/>
        <v>14693.129999999997</v>
      </c>
      <c r="Y17" s="2"/>
      <c r="Z17" s="19">
        <f t="shared" si="11"/>
        <v>0.22731914765898001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3055.55</v>
      </c>
      <c r="E18" s="2"/>
      <c r="F18" s="19">
        <f t="shared" si="4"/>
        <v>9.0005104771532743E-2</v>
      </c>
      <c r="G18" s="2"/>
      <c r="H18" s="2">
        <v>3660.25</v>
      </c>
      <c r="I18" s="2"/>
      <c r="J18" s="19">
        <f t="shared" si="5"/>
        <v>0.15229390549768412</v>
      </c>
      <c r="K18" s="2"/>
      <c r="L18" s="2">
        <f t="shared" si="6"/>
        <v>-604.69999999999982</v>
      </c>
      <c r="M18" s="2"/>
      <c r="N18" s="19">
        <f t="shared" si="7"/>
        <v>-0.16520729458370326</v>
      </c>
      <c r="O18" s="11"/>
      <c r="P18" s="2">
        <v>2052.56</v>
      </c>
      <c r="Q18" s="2"/>
      <c r="R18" s="19">
        <f t="shared" si="8"/>
        <v>1.2207832435283429E-2</v>
      </c>
      <c r="S18" s="2"/>
      <c r="T18" s="2">
        <v>4475.76</v>
      </c>
      <c r="U18" s="2"/>
      <c r="V18" s="19">
        <f t="shared" si="9"/>
        <v>3.1170893348877834E-2</v>
      </c>
      <c r="W18" s="2"/>
      <c r="X18" s="2">
        <f t="shared" si="10"/>
        <v>-2423.2000000000003</v>
      </c>
      <c r="Y18" s="2"/>
      <c r="Z18" s="19">
        <f t="shared" si="11"/>
        <v>-0.54140525854826893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18260.580000000005</v>
      </c>
      <c r="E20" s="14"/>
      <c r="F20" s="20">
        <f>IF(D$12=0,0,D20/D$12)</f>
        <v>0.53788856869923773</v>
      </c>
      <c r="G20" s="14"/>
      <c r="H20" s="21">
        <f>H12-H16</f>
        <v>12352.259999999998</v>
      </c>
      <c r="I20" s="14"/>
      <c r="J20" s="20">
        <f>IF(H$12=0,0,H20/H$12)</f>
        <v>0.51394683891068194</v>
      </c>
      <c r="K20" s="15"/>
      <c r="L20" s="21">
        <f>+D20-H20</f>
        <v>5908.320000000007</v>
      </c>
      <c r="M20" s="15"/>
      <c r="N20" s="20">
        <f>IF(H20=0,0,L20/H20)</f>
        <v>0.47831894730195185</v>
      </c>
      <c r="O20" s="28"/>
      <c r="P20" s="21">
        <f>P12-P16</f>
        <v>86752.42</v>
      </c>
      <c r="Q20" s="14"/>
      <c r="R20" s="20">
        <f>IF(P$12=0,0,P20/P$12)</f>
        <v>0.51596981657799568</v>
      </c>
      <c r="S20" s="14"/>
      <c r="T20" s="21">
        <f>T12-T16</f>
        <v>74475.469999999987</v>
      </c>
      <c r="U20" s="14"/>
      <c r="V20" s="20">
        <f>IF(T$12=0,0,T20/T$12)</f>
        <v>0.51867547242871603</v>
      </c>
      <c r="W20" s="15"/>
      <c r="X20" s="21">
        <f>+P20-T20</f>
        <v>12276.950000000012</v>
      </c>
      <c r="Y20" s="15"/>
      <c r="Z20" s="20">
        <f>IF(T20=0,0,X20/T20)</f>
        <v>0.16484555250205221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11635.26</v>
      </c>
      <c r="E22" s="22"/>
      <c r="F22" s="33">
        <f t="shared" ref="F22:F30" si="12">IF(D$12=0,0,D22/D$12)</f>
        <v>0.34273135616960093</v>
      </c>
      <c r="G22" s="22"/>
      <c r="H22" s="22">
        <f>SUM(OSRRefH22x_0)</f>
        <v>5682.6299999999992</v>
      </c>
      <c r="I22" s="22"/>
      <c r="J22" s="33">
        <f t="shared" ref="J22:J30" si="13">IF(H$12=0,0,H22/H$12)</f>
        <v>0.23644011097556306</v>
      </c>
      <c r="K22" s="4"/>
      <c r="L22" s="22">
        <f t="shared" ref="L22:L30" si="14">+D22-H22</f>
        <v>5952.630000000001</v>
      </c>
      <c r="M22" s="4"/>
      <c r="N22" s="33">
        <f t="shared" ref="N22:N30" si="15">IF(H22=0,0,L22/H22)</f>
        <v>1.047513211312368</v>
      </c>
      <c r="O22" s="10"/>
      <c r="P22" s="22">
        <f>SUM(OSRRefP22x_0)</f>
        <v>64883.139999999992</v>
      </c>
      <c r="Q22" s="22"/>
      <c r="R22" s="33">
        <f t="shared" ref="R22:R30" si="16">IF(P$12=0,0,P22/P$12)</f>
        <v>0.38589980365740129</v>
      </c>
      <c r="S22" s="22"/>
      <c r="T22" s="22">
        <f>SUM(OSRRefT22x_0)</f>
        <v>35625.350000000006</v>
      </c>
      <c r="U22" s="22"/>
      <c r="V22" s="33">
        <f t="shared" ref="V22:V30" si="17">IF(T$12=0,0,T22/T$12)</f>
        <v>0.24810847439684994</v>
      </c>
      <c r="W22" s="4"/>
      <c r="X22" s="22">
        <f t="shared" ref="X22:X30" si="18">+P22-T22</f>
        <v>29257.789999999986</v>
      </c>
      <c r="Y22" s="4"/>
      <c r="Z22" s="33">
        <f t="shared" ref="Z22:Z30" si="19">IF(T22=0,0,X22/T22)</f>
        <v>0.82126322969458498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2384.19</v>
      </c>
      <c r="E23" s="1"/>
      <c r="F23" s="5">
        <f t="shared" si="12"/>
        <v>7.0229343569976163E-2</v>
      </c>
      <c r="G23" s="1"/>
      <c r="H23" s="1">
        <f>SUM(OSRRefH22_0x_0)</f>
        <v>49.449999999999996</v>
      </c>
      <c r="I23" s="1"/>
      <c r="J23" s="5">
        <f t="shared" si="13"/>
        <v>2.0574915994427921E-3</v>
      </c>
      <c r="K23" s="1"/>
      <c r="L23" s="1">
        <f t="shared" si="14"/>
        <v>2334.7400000000002</v>
      </c>
      <c r="M23" s="1"/>
      <c r="N23" s="5">
        <f t="shared" si="15"/>
        <v>47.214155712841261</v>
      </c>
      <c r="O23" s="13"/>
      <c r="P23" s="1">
        <f>SUM(OSRRefP22_0x_0)</f>
        <v>8893.92</v>
      </c>
      <c r="Q23" s="1"/>
      <c r="R23" s="5">
        <f t="shared" si="16"/>
        <v>5.2897593762333862E-2</v>
      </c>
      <c r="S23" s="1"/>
      <c r="T23" s="1">
        <f>SUM(OSRRefT22_0x_0)</f>
        <v>382.14</v>
      </c>
      <c r="U23" s="1"/>
      <c r="V23" s="5">
        <f t="shared" si="17"/>
        <v>2.6613681663762521E-3</v>
      </c>
      <c r="W23" s="1"/>
      <c r="X23" s="1">
        <f t="shared" si="18"/>
        <v>8511.7800000000007</v>
      </c>
      <c r="Y23" s="1"/>
      <c r="Z23" s="5">
        <f t="shared" si="19"/>
        <v>22.273983356884912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236.25</v>
      </c>
      <c r="E24" s="2"/>
      <c r="F24" s="7">
        <f t="shared" si="12"/>
        <v>6.9590437080966142E-3</v>
      </c>
      <c r="G24" s="2"/>
      <c r="H24" s="6"/>
      <c r="I24" s="2"/>
      <c r="J24" s="7">
        <f t="shared" si="13"/>
        <v>0</v>
      </c>
      <c r="K24" s="2"/>
      <c r="L24" s="6">
        <f t="shared" si="14"/>
        <v>236.25</v>
      </c>
      <c r="M24" s="2"/>
      <c r="N24" s="7">
        <f t="shared" si="15"/>
        <v>0</v>
      </c>
      <c r="O24" s="11"/>
      <c r="P24" s="6">
        <v>1481.21</v>
      </c>
      <c r="Q24" s="2"/>
      <c r="R24" s="7">
        <f t="shared" si="16"/>
        <v>8.8096637766818843E-3</v>
      </c>
      <c r="S24" s="2"/>
      <c r="T24" s="6">
        <v>181.73</v>
      </c>
      <c r="U24" s="2"/>
      <c r="V24" s="7">
        <f t="shared" si="17"/>
        <v>1.2656367741549074E-3</v>
      </c>
      <c r="W24" s="2"/>
      <c r="X24" s="6">
        <f t="shared" si="18"/>
        <v>1299.48</v>
      </c>
      <c r="Y24" s="2"/>
      <c r="Z24" s="7">
        <f t="shared" si="19"/>
        <v>7.1506080449017775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131.85</v>
      </c>
      <c r="E25" s="2"/>
      <c r="F25" s="7">
        <f t="shared" si="12"/>
        <v>3.8838091551853483E-3</v>
      </c>
      <c r="G25" s="2"/>
      <c r="H25" s="6">
        <v>40.58</v>
      </c>
      <c r="I25" s="2"/>
      <c r="J25" s="7">
        <f t="shared" si="13"/>
        <v>1.6884329444972397E-3</v>
      </c>
      <c r="K25" s="2"/>
      <c r="L25" s="6">
        <f t="shared" si="14"/>
        <v>91.27</v>
      </c>
      <c r="M25" s="2"/>
      <c r="N25" s="7">
        <f t="shared" si="15"/>
        <v>2.2491375061606704</v>
      </c>
      <c r="O25" s="11"/>
      <c r="P25" s="6">
        <v>492.47</v>
      </c>
      <c r="Q25" s="2"/>
      <c r="R25" s="7">
        <f t="shared" si="16"/>
        <v>2.9290209491581393E-3</v>
      </c>
      <c r="S25" s="2"/>
      <c r="T25" s="6">
        <v>164.47</v>
      </c>
      <c r="U25" s="2"/>
      <c r="V25" s="7">
        <f t="shared" si="17"/>
        <v>1.1454315756631135E-3</v>
      </c>
      <c r="W25" s="2"/>
      <c r="X25" s="6">
        <f t="shared" si="18"/>
        <v>328</v>
      </c>
      <c r="Y25" s="2"/>
      <c r="Z25" s="7">
        <f t="shared" si="19"/>
        <v>1.9942846719766523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935.3</v>
      </c>
      <c r="E26" s="2"/>
      <c r="F26" s="7">
        <f t="shared" si="12"/>
        <v>2.7550449016646616E-2</v>
      </c>
      <c r="G26" s="2"/>
      <c r="H26" s="6"/>
      <c r="I26" s="2"/>
      <c r="J26" s="7">
        <f t="shared" si="13"/>
        <v>0</v>
      </c>
      <c r="K26" s="2"/>
      <c r="L26" s="6">
        <f t="shared" si="14"/>
        <v>935.3</v>
      </c>
      <c r="M26" s="2"/>
      <c r="N26" s="7">
        <f t="shared" si="15"/>
        <v>0</v>
      </c>
      <c r="O26" s="11"/>
      <c r="P26" s="6">
        <v>4676.5</v>
      </c>
      <c r="Q26" s="2"/>
      <c r="R26" s="7">
        <f t="shared" si="16"/>
        <v>2.7814011957556884E-2</v>
      </c>
      <c r="S26" s="2"/>
      <c r="T26" s="6"/>
      <c r="U26" s="2"/>
      <c r="V26" s="7">
        <f t="shared" si="17"/>
        <v>0</v>
      </c>
      <c r="W26" s="2"/>
      <c r="X26" s="6">
        <f t="shared" si="18"/>
        <v>4676.5</v>
      </c>
      <c r="Y26" s="2"/>
      <c r="Z26" s="7">
        <f t="shared" si="19"/>
        <v>0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18.04</v>
      </c>
      <c r="E27" s="2"/>
      <c r="F27" s="7">
        <f t="shared" si="12"/>
        <v>5.3139110473677425E-4</v>
      </c>
      <c r="G27" s="2"/>
      <c r="H27" s="6">
        <v>8.8699999999999992</v>
      </c>
      <c r="I27" s="2"/>
      <c r="J27" s="7">
        <f t="shared" si="13"/>
        <v>3.690586549455524E-4</v>
      </c>
      <c r="K27" s="2"/>
      <c r="L27" s="6">
        <f t="shared" si="14"/>
        <v>9.17</v>
      </c>
      <c r="M27" s="2"/>
      <c r="N27" s="7">
        <f t="shared" si="15"/>
        <v>1.0338218714768885</v>
      </c>
      <c r="O27" s="11"/>
      <c r="P27" s="6">
        <v>75.87</v>
      </c>
      <c r="Q27" s="2"/>
      <c r="R27" s="7">
        <f t="shared" si="16"/>
        <v>4.5124539446591275E-4</v>
      </c>
      <c r="S27" s="2"/>
      <c r="T27" s="6">
        <v>35.94</v>
      </c>
      <c r="U27" s="2"/>
      <c r="V27" s="7">
        <f t="shared" si="17"/>
        <v>2.5029981655823129E-4</v>
      </c>
      <c r="W27" s="2"/>
      <c r="X27" s="6">
        <f t="shared" si="18"/>
        <v>39.930000000000007</v>
      </c>
      <c r="Y27" s="2"/>
      <c r="Z27" s="7">
        <f t="shared" si="19"/>
        <v>1.1110183639399001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134.11000000000001</v>
      </c>
      <c r="E28" s="2"/>
      <c r="F28" s="7">
        <f t="shared" si="12"/>
        <v>3.9503803246257654E-3</v>
      </c>
      <c r="G28" s="2"/>
      <c r="H28" s="6"/>
      <c r="I28" s="2"/>
      <c r="J28" s="7">
        <f t="shared" si="13"/>
        <v>0</v>
      </c>
      <c r="K28" s="2"/>
      <c r="L28" s="6">
        <f t="shared" si="14"/>
        <v>134.11000000000001</v>
      </c>
      <c r="M28" s="2"/>
      <c r="N28" s="7">
        <f t="shared" si="15"/>
        <v>0</v>
      </c>
      <c r="O28" s="11"/>
      <c r="P28" s="6">
        <v>670.55</v>
      </c>
      <c r="Q28" s="2"/>
      <c r="R28" s="7">
        <f t="shared" si="16"/>
        <v>3.9881718631754022E-3</v>
      </c>
      <c r="S28" s="2"/>
      <c r="T28" s="6"/>
      <c r="U28" s="2"/>
      <c r="V28" s="7">
        <f t="shared" si="17"/>
        <v>0</v>
      </c>
      <c r="W28" s="2"/>
      <c r="X28" s="6">
        <f t="shared" si="18"/>
        <v>670.55</v>
      </c>
      <c r="Y28" s="2"/>
      <c r="Z28" s="7">
        <f t="shared" si="19"/>
        <v>0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840.08</v>
      </c>
      <c r="E29" s="2"/>
      <c r="F29" s="7">
        <f t="shared" si="12"/>
        <v>2.4745623019249964E-2</v>
      </c>
      <c r="G29" s="2"/>
      <c r="H29" s="6"/>
      <c r="I29" s="2"/>
      <c r="J29" s="7">
        <f t="shared" si="13"/>
        <v>0</v>
      </c>
      <c r="K29" s="2"/>
      <c r="L29" s="6">
        <f t="shared" si="14"/>
        <v>840.08</v>
      </c>
      <c r="M29" s="2"/>
      <c r="N29" s="7">
        <f t="shared" si="15"/>
        <v>0</v>
      </c>
      <c r="O29" s="11"/>
      <c r="P29" s="6">
        <v>1098.8</v>
      </c>
      <c r="Q29" s="2"/>
      <c r="R29" s="7">
        <f t="shared" si="16"/>
        <v>6.5352371087273606E-3</v>
      </c>
      <c r="S29" s="2"/>
      <c r="T29" s="6"/>
      <c r="U29" s="2"/>
      <c r="V29" s="7">
        <f t="shared" si="17"/>
        <v>0</v>
      </c>
      <c r="W29" s="2"/>
      <c r="X29" s="6">
        <f t="shared" si="18"/>
        <v>1098.8</v>
      </c>
      <c r="Y29" s="2"/>
      <c r="Z29" s="7">
        <f t="shared" si="19"/>
        <v>0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88.56</v>
      </c>
      <c r="E30" s="2"/>
      <c r="F30" s="7">
        <f t="shared" si="12"/>
        <v>2.6086472414350737E-3</v>
      </c>
      <c r="G30" s="2"/>
      <c r="H30" s="6"/>
      <c r="I30" s="2"/>
      <c r="J30" s="7">
        <f t="shared" si="13"/>
        <v>0</v>
      </c>
      <c r="K30" s="2"/>
      <c r="L30" s="6">
        <f t="shared" si="14"/>
        <v>88.56</v>
      </c>
      <c r="M30" s="2"/>
      <c r="N30" s="7">
        <f t="shared" si="15"/>
        <v>0</v>
      </c>
      <c r="O30" s="11"/>
      <c r="P30" s="6">
        <v>398.52</v>
      </c>
      <c r="Q30" s="2"/>
      <c r="R30" s="7">
        <f t="shared" si="16"/>
        <v>2.3702427125682816E-3</v>
      </c>
      <c r="S30" s="2"/>
      <c r="T30" s="6"/>
      <c r="U30" s="2"/>
      <c r="V30" s="7">
        <f t="shared" si="17"/>
        <v>0</v>
      </c>
      <c r="W30" s="2"/>
      <c r="X30" s="6">
        <f t="shared" si="18"/>
        <v>398.52</v>
      </c>
      <c r="Y30" s="2"/>
      <c r="Z30" s="7">
        <f t="shared" si="19"/>
        <v>0</v>
      </c>
    </row>
    <row r="31" spans="1:26" s="25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6001.04</v>
      </c>
      <c r="E31" s="1"/>
      <c r="F31" s="5">
        <f t="shared" ref="F31:F36" si="20">IF(D$12=0,0,D31/D$12)</f>
        <v>0.17676825250385653</v>
      </c>
      <c r="G31" s="1"/>
      <c r="H31" s="1">
        <f>SUM(OSRRefH22_1x_0)</f>
        <v>2977.87</v>
      </c>
      <c r="I31" s="1"/>
      <c r="J31" s="5">
        <f t="shared" ref="J31:J36" si="21">IF(H$12=0,0,H31/H$12)</f>
        <v>0.12390176965081309</v>
      </c>
      <c r="K31" s="1"/>
      <c r="L31" s="1">
        <f t="shared" ref="L31:L36" si="22">+D31-H31</f>
        <v>3023.17</v>
      </c>
      <c r="M31" s="1"/>
      <c r="N31" s="5">
        <f t="shared" ref="N31:N36" si="23">IF(H31=0,0,L31/H31)</f>
        <v>1.0152122154425816</v>
      </c>
      <c r="O31" s="13"/>
      <c r="P31" s="1">
        <f>SUM(OSRRefP22_1x_0)</f>
        <v>31639.910000000003</v>
      </c>
      <c r="Q31" s="1"/>
      <c r="R31" s="5">
        <f t="shared" ref="R31:R36" si="24">IF(P$12=0,0,P31/P$12)</f>
        <v>0.18818193843173819</v>
      </c>
      <c r="S31" s="1"/>
      <c r="T31" s="1">
        <f>SUM(OSRRefT22_1x_0)</f>
        <v>15350.94</v>
      </c>
      <c r="U31" s="1"/>
      <c r="V31" s="5">
        <f t="shared" ref="V31:V36" si="25">IF(T$12=0,0,T31/T$12)</f>
        <v>0.10690977924308334</v>
      </c>
      <c r="W31" s="1"/>
      <c r="X31" s="1">
        <f t="shared" ref="X31:X36" si="26">+P31-T31</f>
        <v>16288.970000000003</v>
      </c>
      <c r="Y31" s="1"/>
      <c r="Z31" s="5">
        <f t="shared" ref="Z31:Z36" si="27">IF(T31=0,0,X31/T31)</f>
        <v>1.0611057042760901</v>
      </c>
    </row>
    <row r="32" spans="1:26" s="24" customFormat="1" hidden="1" outlineLevel="2" x14ac:dyDescent="0.25">
      <c r="A32" s="26"/>
      <c r="B32" s="11" t="str">
        <f>CONCATENATE("          ", "6002", " - ", "STAFF SALARIES")</f>
        <v xml:space="preserve">          6002 - STAFF SALARIES</v>
      </c>
      <c r="C32" s="11"/>
      <c r="D32" s="6">
        <v>1824</v>
      </c>
      <c r="E32" s="2"/>
      <c r="F32" s="7">
        <f t="shared" si="20"/>
        <v>5.3728235866955451E-2</v>
      </c>
      <c r="G32" s="2"/>
      <c r="H32" s="6"/>
      <c r="I32" s="2"/>
      <c r="J32" s="7">
        <f t="shared" si="21"/>
        <v>0</v>
      </c>
      <c r="K32" s="2"/>
      <c r="L32" s="6">
        <f t="shared" si="22"/>
        <v>1824</v>
      </c>
      <c r="M32" s="2"/>
      <c r="N32" s="7">
        <f t="shared" si="23"/>
        <v>0</v>
      </c>
      <c r="O32" s="11"/>
      <c r="P32" s="6">
        <v>10272</v>
      </c>
      <c r="Q32" s="2"/>
      <c r="R32" s="7">
        <f t="shared" si="24"/>
        <v>6.1093880215551011E-2</v>
      </c>
      <c r="S32" s="2"/>
      <c r="T32" s="6"/>
      <c r="U32" s="2"/>
      <c r="V32" s="7">
        <f t="shared" si="25"/>
        <v>0</v>
      </c>
      <c r="W32" s="2"/>
      <c r="X32" s="6">
        <f t="shared" si="26"/>
        <v>10272</v>
      </c>
      <c r="Y32" s="2"/>
      <c r="Z32" s="7">
        <f t="shared" si="27"/>
        <v>0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20"/>
        <v>0</v>
      </c>
      <c r="G33" s="2"/>
      <c r="H33" s="6"/>
      <c r="I33" s="2"/>
      <c r="J33" s="7">
        <f t="shared" si="21"/>
        <v>0</v>
      </c>
      <c r="K33" s="2"/>
      <c r="L33" s="6">
        <f t="shared" si="22"/>
        <v>0</v>
      </c>
      <c r="M33" s="2"/>
      <c r="N33" s="7">
        <f t="shared" si="23"/>
        <v>0</v>
      </c>
      <c r="O33" s="11"/>
      <c r="P33" s="6">
        <v>1708.78</v>
      </c>
      <c r="Q33" s="2"/>
      <c r="R33" s="7">
        <f t="shared" si="24"/>
        <v>1.0163162055561649E-2</v>
      </c>
      <c r="S33" s="2"/>
      <c r="T33" s="6"/>
      <c r="U33" s="2"/>
      <c r="V33" s="7">
        <f t="shared" si="25"/>
        <v>0</v>
      </c>
      <c r="W33" s="2"/>
      <c r="X33" s="6">
        <f t="shared" si="26"/>
        <v>1708.78</v>
      </c>
      <c r="Y33" s="2"/>
      <c r="Z33" s="7">
        <f t="shared" si="27"/>
        <v>0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6">
        <v>1168.23</v>
      </c>
      <c r="E34" s="2"/>
      <c r="F34" s="7">
        <f t="shared" si="20"/>
        <v>3.4411697909459082E-2</v>
      </c>
      <c r="G34" s="2"/>
      <c r="H34" s="6"/>
      <c r="I34" s="2"/>
      <c r="J34" s="7">
        <f t="shared" si="21"/>
        <v>0</v>
      </c>
      <c r="K34" s="2"/>
      <c r="L34" s="6">
        <f t="shared" si="22"/>
        <v>1168.23</v>
      </c>
      <c r="M34" s="2"/>
      <c r="N34" s="7">
        <f t="shared" si="23"/>
        <v>0</v>
      </c>
      <c r="O34" s="11"/>
      <c r="P34" s="6">
        <v>5694.48</v>
      </c>
      <c r="Q34" s="2"/>
      <c r="R34" s="7">
        <f t="shared" si="24"/>
        <v>3.3868562987719127E-2</v>
      </c>
      <c r="S34" s="2"/>
      <c r="T34" s="6">
        <v>625.26</v>
      </c>
      <c r="U34" s="2"/>
      <c r="V34" s="7">
        <f t="shared" si="25"/>
        <v>4.3545482276349384E-3</v>
      </c>
      <c r="W34" s="2"/>
      <c r="X34" s="6">
        <f t="shared" si="26"/>
        <v>5069.2199999999993</v>
      </c>
      <c r="Y34" s="2"/>
      <c r="Z34" s="7">
        <f t="shared" si="27"/>
        <v>8.1073793301986363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>
        <v>2903.81</v>
      </c>
      <c r="E35" s="2"/>
      <c r="F35" s="7">
        <f t="shared" si="20"/>
        <v>8.5535410412732396E-2</v>
      </c>
      <c r="G35" s="2"/>
      <c r="H35" s="6">
        <v>2977.87</v>
      </c>
      <c r="I35" s="2"/>
      <c r="J35" s="7">
        <f t="shared" si="21"/>
        <v>0.12390176965081309</v>
      </c>
      <c r="K35" s="2"/>
      <c r="L35" s="6">
        <f t="shared" si="22"/>
        <v>-74.059999999999945</v>
      </c>
      <c r="M35" s="2"/>
      <c r="N35" s="7">
        <f t="shared" si="23"/>
        <v>-2.4870125290895825E-2</v>
      </c>
      <c r="O35" s="11"/>
      <c r="P35" s="6">
        <v>13276.34</v>
      </c>
      <c r="Q35" s="2"/>
      <c r="R35" s="7">
        <f t="shared" si="24"/>
        <v>7.8962531703750824E-2</v>
      </c>
      <c r="S35" s="2"/>
      <c r="T35" s="6">
        <v>14725.68</v>
      </c>
      <c r="U35" s="2"/>
      <c r="V35" s="7">
        <f t="shared" si="25"/>
        <v>0.1025552310154484</v>
      </c>
      <c r="W35" s="2"/>
      <c r="X35" s="6">
        <f t="shared" si="26"/>
        <v>-1449.3400000000001</v>
      </c>
      <c r="Y35" s="2"/>
      <c r="Z35" s="7">
        <f t="shared" si="27"/>
        <v>-9.8422619532680333E-2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6">
        <v>105</v>
      </c>
      <c r="E36" s="2"/>
      <c r="F36" s="7">
        <f t="shared" si="20"/>
        <v>3.0929083147096066E-3</v>
      </c>
      <c r="G36" s="2"/>
      <c r="H36" s="6"/>
      <c r="I36" s="2"/>
      <c r="J36" s="7">
        <f t="shared" si="21"/>
        <v>0</v>
      </c>
      <c r="K36" s="2"/>
      <c r="L36" s="6">
        <f t="shared" si="22"/>
        <v>105</v>
      </c>
      <c r="M36" s="2"/>
      <c r="N36" s="7">
        <f t="shared" si="23"/>
        <v>0</v>
      </c>
      <c r="O36" s="11"/>
      <c r="P36" s="6">
        <v>688.31</v>
      </c>
      <c r="Q36" s="2"/>
      <c r="R36" s="7">
        <f t="shared" si="24"/>
        <v>4.0938014691555601E-3</v>
      </c>
      <c r="S36" s="2"/>
      <c r="T36" s="6"/>
      <c r="U36" s="2"/>
      <c r="V36" s="7">
        <f t="shared" si="25"/>
        <v>0</v>
      </c>
      <c r="W36" s="2"/>
      <c r="X36" s="6">
        <f t="shared" si="26"/>
        <v>688.31</v>
      </c>
      <c r="Y36" s="2"/>
      <c r="Z36" s="7">
        <f t="shared" si="27"/>
        <v>0</v>
      </c>
    </row>
    <row r="37" spans="1:26" s="25" customFormat="1" outlineLevel="1" collapsed="1" x14ac:dyDescent="0.25">
      <c r="A37" s="27"/>
      <c r="B37" s="13" t="str">
        <f>CONCATENATE("     ","Bad Debts/Over/Short                              ")</f>
        <v xml:space="preserve">     Bad Debts/Over/Short                              </v>
      </c>
      <c r="C37" s="13"/>
      <c r="D37" s="1">
        <f>SUM(OSRRefD22_2x_0)</f>
        <v>-11.75</v>
      </c>
      <c r="E37" s="1"/>
      <c r="F37" s="5">
        <f t="shared" ref="F37:F48" si="28">IF(D$12=0,0,D37/D$12)</f>
        <v>-3.4611116855083688E-4</v>
      </c>
      <c r="G37" s="1"/>
      <c r="H37" s="1">
        <f>SUM(OSRRefH22_2x_0)</f>
        <v>-7.59</v>
      </c>
      <c r="I37" s="1"/>
      <c r="J37" s="5">
        <f t="shared" ref="J37:J48" si="29">IF(H$12=0,0,H37/H$12)</f>
        <v>-3.1580103619354485E-4</v>
      </c>
      <c r="K37" s="1"/>
      <c r="L37" s="1">
        <f t="shared" ref="L37:L48" si="30">+D37-H37</f>
        <v>-4.16</v>
      </c>
      <c r="M37" s="1"/>
      <c r="N37" s="5">
        <f t="shared" ref="N37:N48" si="31">IF(H37=0,0,L37/H37)</f>
        <v>0.54808959156785242</v>
      </c>
      <c r="O37" s="13"/>
      <c r="P37" s="1">
        <f>SUM(OSRRefP22_2x_0)</f>
        <v>-51.52</v>
      </c>
      <c r="Q37" s="1"/>
      <c r="R37" s="5">
        <f t="shared" ref="R37:R48" si="32">IF(P$12=0,0,P37/P$12)</f>
        <v>-3.0642101914964842E-4</v>
      </c>
      <c r="S37" s="1"/>
      <c r="T37" s="1">
        <f>SUM(OSRRefT22_2x_0)</f>
        <v>-55.99</v>
      </c>
      <c r="U37" s="1"/>
      <c r="V37" s="5">
        <f t="shared" ref="V37:V48" si="33">IF(T$12=0,0,T37/T$12)</f>
        <v>-3.899356352002051E-4</v>
      </c>
      <c r="W37" s="1"/>
      <c r="X37" s="1">
        <f t="shared" ref="X37:X48" si="34">+P37-T37</f>
        <v>4.4699999999999989</v>
      </c>
      <c r="Y37" s="1"/>
      <c r="Z37" s="5">
        <f t="shared" ref="Z37:Z48" si="35">IF(T37=0,0,X37/T37)</f>
        <v>-7.9835684943739924E-2</v>
      </c>
    </row>
    <row r="38" spans="1:26" s="24" customFormat="1" hidden="1" outlineLevel="2" x14ac:dyDescent="0.25">
      <c r="A38" s="26"/>
      <c r="B38" s="11" t="str">
        <f>CONCATENATE("          ", "6272", " - ", "CASH (OVER/SHORT)")</f>
        <v xml:space="preserve">          6272 - CASH (OVER/SHORT)</v>
      </c>
      <c r="C38" s="11"/>
      <c r="D38" s="6">
        <v>-11.75</v>
      </c>
      <c r="E38" s="2"/>
      <c r="F38" s="7">
        <f t="shared" si="28"/>
        <v>-3.4611116855083688E-4</v>
      </c>
      <c r="G38" s="2"/>
      <c r="H38" s="6">
        <v>-7.59</v>
      </c>
      <c r="I38" s="2"/>
      <c r="J38" s="7">
        <f t="shared" si="29"/>
        <v>-3.1580103619354485E-4</v>
      </c>
      <c r="K38" s="2"/>
      <c r="L38" s="6">
        <f t="shared" si="30"/>
        <v>-4.16</v>
      </c>
      <c r="M38" s="2"/>
      <c r="N38" s="7">
        <f t="shared" si="31"/>
        <v>0.54808959156785242</v>
      </c>
      <c r="O38" s="11"/>
      <c r="P38" s="6">
        <v>-51.52</v>
      </c>
      <c r="Q38" s="2"/>
      <c r="R38" s="7">
        <f t="shared" si="32"/>
        <v>-3.0642101914964842E-4</v>
      </c>
      <c r="S38" s="2"/>
      <c r="T38" s="6">
        <v>-55.99</v>
      </c>
      <c r="U38" s="2"/>
      <c r="V38" s="7">
        <f t="shared" si="33"/>
        <v>-3.899356352002051E-4</v>
      </c>
      <c r="W38" s="2"/>
      <c r="X38" s="6">
        <f t="shared" si="34"/>
        <v>4.4699999999999989</v>
      </c>
      <c r="Y38" s="2"/>
      <c r="Z38" s="7">
        <f t="shared" si="35"/>
        <v>-7.9835684943739924E-2</v>
      </c>
    </row>
    <row r="39" spans="1:26" s="25" customFormat="1" outlineLevel="1" collapsed="1" x14ac:dyDescent="0.25">
      <c r="A39" s="27"/>
      <c r="B39" s="13" t="str">
        <f>CONCATENATE("     ","Bank/card Fees                                    ")</f>
        <v xml:space="preserve">     Bank/card Fees                                    </v>
      </c>
      <c r="C39" s="13"/>
      <c r="D39" s="1">
        <f>SUM(OSRRefD22_3x_0)</f>
        <v>1325.39</v>
      </c>
      <c r="E39" s="1"/>
      <c r="F39" s="5">
        <f t="shared" si="28"/>
        <v>3.9041045249837765E-2</v>
      </c>
      <c r="G39" s="1"/>
      <c r="H39" s="1">
        <f>SUM(OSRRefH22_3x_0)</f>
        <v>927.96</v>
      </c>
      <c r="I39" s="1"/>
      <c r="J39" s="5">
        <f t="shared" si="29"/>
        <v>3.8610109294619485E-2</v>
      </c>
      <c r="K39" s="1"/>
      <c r="L39" s="1">
        <f t="shared" si="30"/>
        <v>397.43000000000006</v>
      </c>
      <c r="M39" s="1"/>
      <c r="N39" s="5">
        <f t="shared" si="31"/>
        <v>0.42828354670459939</v>
      </c>
      <c r="O39" s="13"/>
      <c r="P39" s="1">
        <f>SUM(OSRRefP22_3x_0)</f>
        <v>5870.95</v>
      </c>
      <c r="Q39" s="1"/>
      <c r="R39" s="5">
        <f t="shared" si="32"/>
        <v>3.4918138244887965E-2</v>
      </c>
      <c r="S39" s="1"/>
      <c r="T39" s="1">
        <f>SUM(OSRRefT22_3x_0)</f>
        <v>4543.3500000000004</v>
      </c>
      <c r="U39" s="1"/>
      <c r="V39" s="5">
        <f t="shared" si="33"/>
        <v>3.16416157918709E-2</v>
      </c>
      <c r="W39" s="1"/>
      <c r="X39" s="1">
        <f t="shared" si="34"/>
        <v>1327.5999999999995</v>
      </c>
      <c r="Y39" s="1"/>
      <c r="Z39" s="5">
        <f t="shared" si="35"/>
        <v>0.29220729197618484</v>
      </c>
    </row>
    <row r="40" spans="1:26" s="24" customFormat="1" hidden="1" outlineLevel="2" x14ac:dyDescent="0.25">
      <c r="A40" s="26"/>
      <c r="B40" s="11" t="str">
        <f>CONCATENATE("          ", "6381", " - ", "BANK/CREDIT CARD FEES")</f>
        <v xml:space="preserve">          6381 - BANK/CREDIT CARD FEES</v>
      </c>
      <c r="C40" s="11"/>
      <c r="D40" s="6">
        <v>1325.39</v>
      </c>
      <c r="E40" s="2"/>
      <c r="F40" s="7">
        <f t="shared" si="28"/>
        <v>3.9041045249837765E-2</v>
      </c>
      <c r="G40" s="2"/>
      <c r="H40" s="6">
        <v>927.96</v>
      </c>
      <c r="I40" s="2"/>
      <c r="J40" s="7">
        <f t="shared" si="29"/>
        <v>3.8610109294619485E-2</v>
      </c>
      <c r="K40" s="2"/>
      <c r="L40" s="6">
        <f t="shared" si="30"/>
        <v>397.43000000000006</v>
      </c>
      <c r="M40" s="2"/>
      <c r="N40" s="7">
        <f t="shared" si="31"/>
        <v>0.42828354670459939</v>
      </c>
      <c r="O40" s="11"/>
      <c r="P40" s="6">
        <v>5870.95</v>
      </c>
      <c r="Q40" s="2"/>
      <c r="R40" s="7">
        <f t="shared" si="32"/>
        <v>3.4918138244887965E-2</v>
      </c>
      <c r="S40" s="2"/>
      <c r="T40" s="6">
        <v>4543.3500000000004</v>
      </c>
      <c r="U40" s="2"/>
      <c r="V40" s="7">
        <f t="shared" si="33"/>
        <v>3.16416157918709E-2</v>
      </c>
      <c r="W40" s="2"/>
      <c r="X40" s="6">
        <f t="shared" si="34"/>
        <v>1327.5999999999995</v>
      </c>
      <c r="Y40" s="2"/>
      <c r="Z40" s="7">
        <f t="shared" si="35"/>
        <v>0.29220729197618484</v>
      </c>
    </row>
    <row r="41" spans="1:26" s="25" customFormat="1" outlineLevel="1" collapsed="1" x14ac:dyDescent="0.25">
      <c r="A41" s="27"/>
      <c r="B41" s="13" t="str">
        <f>CONCATENATE("     ","Depreciation                                      ")</f>
        <v xml:space="preserve">     Depreciation                                      </v>
      </c>
      <c r="C41" s="13"/>
      <c r="D41" s="1">
        <f>SUM(OSRRefD22_4x_0)</f>
        <v>968.86</v>
      </c>
      <c r="E41" s="1"/>
      <c r="F41" s="5">
        <f t="shared" si="28"/>
        <v>2.8539001426567137E-2</v>
      </c>
      <c r="G41" s="1"/>
      <c r="H41" s="1">
        <f>SUM(OSRRefH22_4x_0)</f>
        <v>968.86</v>
      </c>
      <c r="I41" s="1"/>
      <c r="J41" s="5">
        <f t="shared" si="29"/>
        <v>4.0311856643804725E-2</v>
      </c>
      <c r="K41" s="1"/>
      <c r="L41" s="1">
        <f t="shared" si="30"/>
        <v>0</v>
      </c>
      <c r="M41" s="1"/>
      <c r="N41" s="5">
        <f t="shared" si="31"/>
        <v>0</v>
      </c>
      <c r="O41" s="13"/>
      <c r="P41" s="1">
        <f>SUM(OSRRefP22_4x_0)</f>
        <v>4844.3</v>
      </c>
      <c r="Q41" s="1"/>
      <c r="R41" s="5">
        <f t="shared" si="32"/>
        <v>2.8812021410455003E-2</v>
      </c>
      <c r="S41" s="1"/>
      <c r="T41" s="1">
        <f>SUM(OSRRefT22_4x_0)</f>
        <v>4844.3</v>
      </c>
      <c r="U41" s="1"/>
      <c r="V41" s="5">
        <f t="shared" si="33"/>
        <v>3.3737545947496936E-2</v>
      </c>
      <c r="W41" s="1"/>
      <c r="X41" s="1">
        <f t="shared" si="34"/>
        <v>0</v>
      </c>
      <c r="Y41" s="1"/>
      <c r="Z41" s="5">
        <f t="shared" si="35"/>
        <v>0</v>
      </c>
    </row>
    <row r="42" spans="1:26" s="24" customFormat="1" hidden="1" outlineLevel="2" x14ac:dyDescent="0.25">
      <c r="A42" s="26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968.86</v>
      </c>
      <c r="E42" s="2"/>
      <c r="F42" s="7">
        <f t="shared" si="28"/>
        <v>2.8539001426567137E-2</v>
      </c>
      <c r="G42" s="2"/>
      <c r="H42" s="6">
        <v>968.86</v>
      </c>
      <c r="I42" s="2"/>
      <c r="J42" s="7">
        <f t="shared" si="29"/>
        <v>4.0311856643804725E-2</v>
      </c>
      <c r="K42" s="2"/>
      <c r="L42" s="6">
        <f t="shared" si="30"/>
        <v>0</v>
      </c>
      <c r="M42" s="2"/>
      <c r="N42" s="7">
        <f t="shared" si="31"/>
        <v>0</v>
      </c>
      <c r="O42" s="11"/>
      <c r="P42" s="6">
        <v>4844.3</v>
      </c>
      <c r="Q42" s="2"/>
      <c r="R42" s="7">
        <f t="shared" si="32"/>
        <v>2.8812021410455003E-2</v>
      </c>
      <c r="S42" s="2"/>
      <c r="T42" s="6">
        <v>4844.3</v>
      </c>
      <c r="U42" s="2"/>
      <c r="V42" s="7">
        <f t="shared" si="33"/>
        <v>3.3737545947496936E-2</v>
      </c>
      <c r="W42" s="2"/>
      <c r="X42" s="6">
        <f t="shared" si="34"/>
        <v>0</v>
      </c>
      <c r="Y42" s="2"/>
      <c r="Z42" s="7">
        <f t="shared" si="35"/>
        <v>0</v>
      </c>
    </row>
    <row r="43" spans="1:26" s="25" customFormat="1" outlineLevel="1" collapsed="1" x14ac:dyDescent="0.25">
      <c r="A43" s="27"/>
      <c r="B43" s="13" t="str">
        <f>CONCATENATE("     ","General                                           ")</f>
        <v xml:space="preserve">     General                                           </v>
      </c>
      <c r="C43" s="13"/>
      <c r="D43" s="1">
        <f>SUM(OSRRefD22_5x_0)</f>
        <v>0</v>
      </c>
      <c r="E43" s="1"/>
      <c r="F43" s="5">
        <f t="shared" si="28"/>
        <v>0</v>
      </c>
      <c r="G43" s="1"/>
      <c r="H43" s="1">
        <f>SUM(OSRRefH22_5x_0)</f>
        <v>-17.47</v>
      </c>
      <c r="I43" s="1"/>
      <c r="J43" s="5">
        <f t="shared" si="29"/>
        <v>-7.2688328093560323E-4</v>
      </c>
      <c r="K43" s="1"/>
      <c r="L43" s="1">
        <f t="shared" si="30"/>
        <v>17.47</v>
      </c>
      <c r="M43" s="1"/>
      <c r="N43" s="5">
        <f t="shared" si="31"/>
        <v>-1</v>
      </c>
      <c r="O43" s="13"/>
      <c r="P43" s="1">
        <f>SUM(OSRRefP22_5x_0)</f>
        <v>1031.19</v>
      </c>
      <c r="Q43" s="1"/>
      <c r="R43" s="5">
        <f t="shared" si="32"/>
        <v>6.1331189972229413E-3</v>
      </c>
      <c r="S43" s="1"/>
      <c r="T43" s="1">
        <f>SUM(OSRRefT22_5x_0)</f>
        <v>998.32</v>
      </c>
      <c r="U43" s="1"/>
      <c r="V43" s="5">
        <f t="shared" si="33"/>
        <v>6.9526798237733297E-3</v>
      </c>
      <c r="W43" s="1"/>
      <c r="X43" s="1">
        <f t="shared" si="34"/>
        <v>32.870000000000005</v>
      </c>
      <c r="Y43" s="1"/>
      <c r="Z43" s="5">
        <f t="shared" si="35"/>
        <v>3.2925314528407724E-2</v>
      </c>
    </row>
    <row r="44" spans="1:26" s="24" customFormat="1" hidden="1" outlineLevel="2" x14ac:dyDescent="0.25">
      <c r="A44" s="26"/>
      <c r="B44" s="11" t="str">
        <f>CONCATENATE("          ", "6279", " - ", "GENERAL EXPENSE")</f>
        <v xml:space="preserve">          6279 - GENERAL EXPENSE</v>
      </c>
      <c r="C44" s="11"/>
      <c r="D44" s="6"/>
      <c r="E44" s="2"/>
      <c r="F44" s="7">
        <f t="shared" si="28"/>
        <v>0</v>
      </c>
      <c r="G44" s="2"/>
      <c r="H44" s="6">
        <v>-17.47</v>
      </c>
      <c r="I44" s="2"/>
      <c r="J44" s="7">
        <f t="shared" si="29"/>
        <v>-7.2688328093560323E-4</v>
      </c>
      <c r="K44" s="2"/>
      <c r="L44" s="6">
        <f t="shared" si="30"/>
        <v>17.47</v>
      </c>
      <c r="M44" s="2"/>
      <c r="N44" s="7">
        <f t="shared" si="31"/>
        <v>-1</v>
      </c>
      <c r="O44" s="11"/>
      <c r="P44" s="6">
        <v>1031.19</v>
      </c>
      <c r="Q44" s="2"/>
      <c r="R44" s="7">
        <f t="shared" si="32"/>
        <v>6.1331189972229413E-3</v>
      </c>
      <c r="S44" s="2"/>
      <c r="T44" s="6">
        <v>998.32</v>
      </c>
      <c r="U44" s="2"/>
      <c r="V44" s="7">
        <f t="shared" si="33"/>
        <v>6.9526798237733297E-3</v>
      </c>
      <c r="W44" s="2"/>
      <c r="X44" s="6">
        <f t="shared" si="34"/>
        <v>32.870000000000005</v>
      </c>
      <c r="Y44" s="2"/>
      <c r="Z44" s="7">
        <f t="shared" si="35"/>
        <v>3.2925314528407724E-2</v>
      </c>
    </row>
    <row r="45" spans="1:26" s="25" customFormat="1" outlineLevel="1" collapsed="1" x14ac:dyDescent="0.25">
      <c r="A45" s="27"/>
      <c r="B45" s="13" t="str">
        <f>CONCATENATE("     ","Repair and Maintenance                            ")</f>
        <v xml:space="preserve">     Repair and Maintenance                            </v>
      </c>
      <c r="C45" s="13"/>
      <c r="D45" s="1">
        <f>SUM(OSRRefD22_6x_0)</f>
        <v>0</v>
      </c>
      <c r="E45" s="1"/>
      <c r="F45" s="5">
        <f t="shared" si="28"/>
        <v>0</v>
      </c>
      <c r="G45" s="1"/>
      <c r="H45" s="1">
        <f>SUM(OSRRefH22_6x_0)</f>
        <v>0</v>
      </c>
      <c r="I45" s="1"/>
      <c r="J45" s="5">
        <f t="shared" si="29"/>
        <v>0</v>
      </c>
      <c r="K45" s="1"/>
      <c r="L45" s="1">
        <f t="shared" si="30"/>
        <v>0</v>
      </c>
      <c r="M45" s="1"/>
      <c r="N45" s="5">
        <f t="shared" si="31"/>
        <v>0</v>
      </c>
      <c r="O45" s="13"/>
      <c r="P45" s="1">
        <f>SUM(OSRRefP22_6x_0)</f>
        <v>839.91</v>
      </c>
      <c r="Q45" s="1"/>
      <c r="R45" s="5">
        <f t="shared" si="32"/>
        <v>4.9954595922744793E-3</v>
      </c>
      <c r="S45" s="1"/>
      <c r="T45" s="1">
        <f>SUM(OSRRefT22_6x_0)</f>
        <v>89.52</v>
      </c>
      <c r="U45" s="1"/>
      <c r="V45" s="5">
        <f t="shared" si="33"/>
        <v>6.2345129600147086E-4</v>
      </c>
      <c r="W45" s="1"/>
      <c r="X45" s="1">
        <f t="shared" si="34"/>
        <v>750.39</v>
      </c>
      <c r="Y45" s="1"/>
      <c r="Z45" s="5">
        <f t="shared" si="35"/>
        <v>8.3823726541554961</v>
      </c>
    </row>
    <row r="46" spans="1:26" s="24" customFormat="1" hidden="1" outlineLevel="2" x14ac:dyDescent="0.25">
      <c r="A46" s="26"/>
      <c r="B46" s="11" t="str">
        <f>CONCATENATE("          ", "6371", " - ", "COMPUTER SOFTWARE MAINTENANCE")</f>
        <v xml:space="preserve">          6371 - COMPUTER SOFTWARE MAINTENANCE</v>
      </c>
      <c r="C46" s="11"/>
      <c r="D46" s="6"/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437.31</v>
      </c>
      <c r="Q46" s="2"/>
      <c r="R46" s="7">
        <f t="shared" si="32"/>
        <v>2.6009506188729181E-3</v>
      </c>
      <c r="S46" s="2"/>
      <c r="T46" s="6"/>
      <c r="U46" s="2"/>
      <c r="V46" s="7">
        <f t="shared" si="33"/>
        <v>0</v>
      </c>
      <c r="W46" s="2"/>
      <c r="X46" s="6">
        <f t="shared" si="34"/>
        <v>437.31</v>
      </c>
      <c r="Y46" s="2"/>
      <c r="Z46" s="7">
        <f t="shared" si="35"/>
        <v>0</v>
      </c>
    </row>
    <row r="47" spans="1:26" s="24" customFormat="1" hidden="1" outlineLevel="2" x14ac:dyDescent="0.25">
      <c r="A47" s="26"/>
      <c r="B47" s="11" t="str">
        <f>CONCATENATE("          ", "6373", " - ", "MAINTENANCE CONTRACTS")</f>
        <v xml:space="preserve">          6373 - MAINTENANCE CONTRACTS</v>
      </c>
      <c r="C47" s="11"/>
      <c r="D47" s="6"/>
      <c r="E47" s="2"/>
      <c r="F47" s="7">
        <f t="shared" si="28"/>
        <v>0</v>
      </c>
      <c r="G47" s="2"/>
      <c r="H47" s="6"/>
      <c r="I47" s="2"/>
      <c r="J47" s="7">
        <f t="shared" si="29"/>
        <v>0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>
        <v>45.65</v>
      </c>
      <c r="Q47" s="2"/>
      <c r="R47" s="7">
        <f t="shared" si="32"/>
        <v>2.7150853113706229E-4</v>
      </c>
      <c r="S47" s="2"/>
      <c r="T47" s="6">
        <v>44.98</v>
      </c>
      <c r="U47" s="2"/>
      <c r="V47" s="7">
        <f t="shared" si="33"/>
        <v>3.1325781159680696E-4</v>
      </c>
      <c r="W47" s="2"/>
      <c r="X47" s="6">
        <f t="shared" si="34"/>
        <v>0.67000000000000171</v>
      </c>
      <c r="Y47" s="2"/>
      <c r="Z47" s="7">
        <f t="shared" si="35"/>
        <v>1.4895509115162334E-2</v>
      </c>
    </row>
    <row r="48" spans="1:26" s="24" customFormat="1" hidden="1" outlineLevel="2" x14ac:dyDescent="0.25">
      <c r="A48" s="26"/>
      <c r="B48" s="11" t="str">
        <f>CONCATENATE("          ", "6375", " - ", "OUTSIDE REPAIRS &amp; MAINTENANCE")</f>
        <v xml:space="preserve">          6375 - OUTSIDE REPAIRS &amp; MAINTENANCE</v>
      </c>
      <c r="C48" s="11"/>
      <c r="D48" s="6"/>
      <c r="E48" s="2"/>
      <c r="F48" s="7">
        <f t="shared" si="28"/>
        <v>0</v>
      </c>
      <c r="G48" s="2"/>
      <c r="H48" s="6"/>
      <c r="I48" s="2"/>
      <c r="J48" s="7">
        <f t="shared" si="29"/>
        <v>0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356.95</v>
      </c>
      <c r="Q48" s="2"/>
      <c r="R48" s="7">
        <f t="shared" si="32"/>
        <v>2.1230004422644988E-3</v>
      </c>
      <c r="S48" s="2"/>
      <c r="T48" s="6">
        <v>44.54</v>
      </c>
      <c r="U48" s="2"/>
      <c r="V48" s="7">
        <f t="shared" si="33"/>
        <v>3.101934844046639E-4</v>
      </c>
      <c r="W48" s="2"/>
      <c r="X48" s="6">
        <f t="shared" si="34"/>
        <v>312.40999999999997</v>
      </c>
      <c r="Y48" s="2"/>
      <c r="Z48" s="7">
        <f t="shared" si="35"/>
        <v>7.0141445891333625</v>
      </c>
    </row>
    <row r="49" spans="1:26" s="25" customFormat="1" outlineLevel="1" collapsed="1" x14ac:dyDescent="0.25">
      <c r="A49" s="27"/>
      <c r="B49" s="13" t="str">
        <f>CONCATENATE("     ","Royalty &amp; Commissions                             ")</f>
        <v xml:space="preserve">     Royalty &amp; Commissions                             </v>
      </c>
      <c r="C49" s="13"/>
      <c r="D49" s="1">
        <f>SUM(OSRRefD22_7x_0)</f>
        <v>0</v>
      </c>
      <c r="E49" s="1"/>
      <c r="F49" s="5">
        <f t="shared" ref="F49:F54" si="36">IF(D$12=0,0,D49/D$12)</f>
        <v>0</v>
      </c>
      <c r="G49" s="1"/>
      <c r="H49" s="1">
        <f>SUM(OSRRefH22_7x_0)</f>
        <v>0</v>
      </c>
      <c r="I49" s="1"/>
      <c r="J49" s="5">
        <f t="shared" ref="J49:J54" si="37">IF(H$12=0,0,H49/H$12)</f>
        <v>0</v>
      </c>
      <c r="K49" s="1"/>
      <c r="L49" s="1">
        <f t="shared" ref="L49:L54" si="38">+D49-H49</f>
        <v>0</v>
      </c>
      <c r="M49" s="1"/>
      <c r="N49" s="5">
        <f t="shared" ref="N49:N54" si="39">IF(H49=0,0,L49/H49)</f>
        <v>0</v>
      </c>
      <c r="O49" s="13"/>
      <c r="P49" s="1">
        <f>SUM(OSRRefP22_7x_0)</f>
        <v>5673.45</v>
      </c>
      <c r="Q49" s="1"/>
      <c r="R49" s="5">
        <f t="shared" ref="R49:R54" si="40">IF(P$12=0,0,P49/P$12)</f>
        <v>3.3743484687394652E-2</v>
      </c>
      <c r="S49" s="1"/>
      <c r="T49" s="1">
        <f>SUM(OSRRefT22_7x_0)</f>
        <v>5350.8</v>
      </c>
      <c r="U49" s="1"/>
      <c r="V49" s="5">
        <f t="shared" ref="V49:V54" si="41">IF(T$12=0,0,T49/T$12)</f>
        <v>3.7265004408452533E-2</v>
      </c>
      <c r="W49" s="1"/>
      <c r="X49" s="1">
        <f t="shared" ref="X49:X54" si="42">+P49-T49</f>
        <v>322.64999999999964</v>
      </c>
      <c r="Y49" s="1"/>
      <c r="Z49" s="5">
        <f t="shared" ref="Z49:Z54" si="43">IF(T49=0,0,X49/T49)</f>
        <v>6.0299394483067884E-2</v>
      </c>
    </row>
    <row r="50" spans="1:26" s="24" customFormat="1" hidden="1" outlineLevel="2" x14ac:dyDescent="0.25">
      <c r="A50" s="26"/>
      <c r="B50" s="11" t="str">
        <f>CONCATENATE("          ", "6254", " - ", "ROYALTY &amp; COMMISSIONS")</f>
        <v xml:space="preserve">          6254 - ROYALTY &amp; COMMISSIONS</v>
      </c>
      <c r="C50" s="11"/>
      <c r="D50" s="6"/>
      <c r="E50" s="2"/>
      <c r="F50" s="7">
        <f t="shared" si="36"/>
        <v>0</v>
      </c>
      <c r="G50" s="2"/>
      <c r="H50" s="6"/>
      <c r="I50" s="2"/>
      <c r="J50" s="7">
        <f t="shared" si="37"/>
        <v>0</v>
      </c>
      <c r="K50" s="2"/>
      <c r="L50" s="6">
        <f t="shared" si="38"/>
        <v>0</v>
      </c>
      <c r="M50" s="2"/>
      <c r="N50" s="7">
        <f t="shared" si="39"/>
        <v>0</v>
      </c>
      <c r="O50" s="11"/>
      <c r="P50" s="6">
        <v>5673.45</v>
      </c>
      <c r="Q50" s="2"/>
      <c r="R50" s="7">
        <f t="shared" si="40"/>
        <v>3.3743484687394652E-2</v>
      </c>
      <c r="S50" s="2"/>
      <c r="T50" s="6">
        <v>5350.8</v>
      </c>
      <c r="U50" s="2"/>
      <c r="V50" s="7">
        <f t="shared" si="41"/>
        <v>3.7265004408452533E-2</v>
      </c>
      <c r="W50" s="2"/>
      <c r="X50" s="6">
        <f t="shared" si="42"/>
        <v>322.64999999999964</v>
      </c>
      <c r="Y50" s="2"/>
      <c r="Z50" s="7">
        <f t="shared" si="43"/>
        <v>6.0299394483067884E-2</v>
      </c>
    </row>
    <row r="51" spans="1:26" s="25" customFormat="1" outlineLevel="1" collapsed="1" x14ac:dyDescent="0.25">
      <c r="A51" s="27"/>
      <c r="B51" s="13" t="str">
        <f>CONCATENATE("     ","Services                                          ")</f>
        <v xml:space="preserve">     Services                                          </v>
      </c>
      <c r="C51" s="13"/>
      <c r="D51" s="1">
        <f>SUM(OSRRefD22_8x_0)</f>
        <v>196.58</v>
      </c>
      <c r="E51" s="1"/>
      <c r="F51" s="5">
        <f t="shared" si="36"/>
        <v>5.7905134905296618E-3</v>
      </c>
      <c r="G51" s="1"/>
      <c r="H51" s="1">
        <f>SUM(OSRRefH22_8x_0)</f>
        <v>185.34</v>
      </c>
      <c r="I51" s="1"/>
      <c r="J51" s="5">
        <f t="shared" si="37"/>
        <v>7.7115367652320953E-3</v>
      </c>
      <c r="K51" s="1"/>
      <c r="L51" s="1">
        <f t="shared" si="38"/>
        <v>11.240000000000009</v>
      </c>
      <c r="M51" s="1"/>
      <c r="N51" s="5">
        <f t="shared" si="39"/>
        <v>6.0645300528758009E-2</v>
      </c>
      <c r="O51" s="13"/>
      <c r="P51" s="1">
        <f>SUM(OSRRefP22_8x_0)</f>
        <v>1004.34</v>
      </c>
      <c r="Q51" s="1"/>
      <c r="R51" s="5">
        <f t="shared" si="40"/>
        <v>5.9734255895333432E-3</v>
      </c>
      <c r="S51" s="1"/>
      <c r="T51" s="1">
        <f>SUM(OSRRefT22_8x_0)</f>
        <v>806.72</v>
      </c>
      <c r="U51" s="1"/>
      <c r="V51" s="5">
        <f t="shared" si="41"/>
        <v>5.6183046191946679E-3</v>
      </c>
      <c r="W51" s="1"/>
      <c r="X51" s="1">
        <f t="shared" si="42"/>
        <v>197.62</v>
      </c>
      <c r="Y51" s="1"/>
      <c r="Z51" s="5">
        <f t="shared" si="43"/>
        <v>0.2449672748909163</v>
      </c>
    </row>
    <row r="52" spans="1:26" s="24" customFormat="1" hidden="1" outlineLevel="2" x14ac:dyDescent="0.25">
      <c r="A52" s="26"/>
      <c r="B52" s="11" t="str">
        <f>CONCATENATE("          ", "6282", " - ", "JANITORIAL/EXTERMINATOR EXPENS")</f>
        <v xml:space="preserve">          6282 - JANITORIAL/EXTERMINATOR EXPENS</v>
      </c>
      <c r="C52" s="11"/>
      <c r="D52" s="6">
        <v>41</v>
      </c>
      <c r="E52" s="2"/>
      <c r="F52" s="7">
        <f t="shared" si="36"/>
        <v>1.2077070562199416E-3</v>
      </c>
      <c r="G52" s="2"/>
      <c r="H52" s="6">
        <v>38.5</v>
      </c>
      <c r="I52" s="2"/>
      <c r="J52" s="7">
        <f t="shared" si="37"/>
        <v>1.6018893140252275E-3</v>
      </c>
      <c r="K52" s="2"/>
      <c r="L52" s="6">
        <f t="shared" si="38"/>
        <v>2.5</v>
      </c>
      <c r="M52" s="2"/>
      <c r="N52" s="7">
        <f t="shared" si="39"/>
        <v>6.4935064935064929E-2</v>
      </c>
      <c r="O52" s="11"/>
      <c r="P52" s="6">
        <v>82</v>
      </c>
      <c r="Q52" s="2"/>
      <c r="R52" s="7">
        <f t="shared" si="40"/>
        <v>4.8770426184532547E-4</v>
      </c>
      <c r="S52" s="2"/>
      <c r="T52" s="6">
        <v>115.5</v>
      </c>
      <c r="U52" s="2"/>
      <c r="V52" s="7">
        <f t="shared" si="41"/>
        <v>8.0438588793755466E-4</v>
      </c>
      <c r="W52" s="2"/>
      <c r="X52" s="6">
        <f t="shared" si="42"/>
        <v>-33.5</v>
      </c>
      <c r="Y52" s="2"/>
      <c r="Z52" s="7">
        <f t="shared" si="43"/>
        <v>-0.29004329004329005</v>
      </c>
    </row>
    <row r="53" spans="1:26" s="24" customFormat="1" hidden="1" outlineLevel="2" x14ac:dyDescent="0.25">
      <c r="A53" s="26"/>
      <c r="B53" s="11" t="str">
        <f>CONCATENATE("          ", "6285", " - ", "JANITORIAL SERVICES")</f>
        <v xml:space="preserve">          6285 - JANITORIAL SERVICES</v>
      </c>
      <c r="C53" s="11"/>
      <c r="D53" s="6">
        <v>22.62</v>
      </c>
      <c r="E53" s="2"/>
      <c r="F53" s="7">
        <f t="shared" si="36"/>
        <v>6.6630081979744096E-4</v>
      </c>
      <c r="G53" s="2"/>
      <c r="H53" s="6">
        <v>21</v>
      </c>
      <c r="I53" s="2"/>
      <c r="J53" s="7">
        <f t="shared" si="37"/>
        <v>8.7375780765012415E-4</v>
      </c>
      <c r="K53" s="2"/>
      <c r="L53" s="6">
        <f t="shared" si="38"/>
        <v>1.620000000000001</v>
      </c>
      <c r="M53" s="2"/>
      <c r="N53" s="7">
        <f t="shared" si="39"/>
        <v>7.7142857142857194E-2</v>
      </c>
      <c r="O53" s="11"/>
      <c r="P53" s="6">
        <v>113.1</v>
      </c>
      <c r="Q53" s="2"/>
      <c r="R53" s="7">
        <f t="shared" si="40"/>
        <v>6.7267502456958906E-4</v>
      </c>
      <c r="S53" s="2"/>
      <c r="T53" s="6">
        <v>105</v>
      </c>
      <c r="U53" s="2"/>
      <c r="V53" s="7">
        <f t="shared" si="41"/>
        <v>7.3125989812504965E-4</v>
      </c>
      <c r="W53" s="2"/>
      <c r="X53" s="6">
        <f t="shared" si="42"/>
        <v>8.0999999999999943</v>
      </c>
      <c r="Y53" s="2"/>
      <c r="Z53" s="7">
        <f t="shared" si="43"/>
        <v>7.7142857142857083E-2</v>
      </c>
    </row>
    <row r="54" spans="1:26" s="24" customFormat="1" hidden="1" outlineLevel="2" x14ac:dyDescent="0.25">
      <c r="A54" s="26"/>
      <c r="B54" s="11" t="str">
        <f>CONCATENATE("          ", "6286", " - ", "LAUNDRY EXPENSE")</f>
        <v xml:space="preserve">          6286 - LAUNDRY EXPENSE</v>
      </c>
      <c r="C54" s="11"/>
      <c r="D54" s="6">
        <v>132.96</v>
      </c>
      <c r="E54" s="2"/>
      <c r="F54" s="7">
        <f t="shared" si="36"/>
        <v>3.9165056145122794E-3</v>
      </c>
      <c r="G54" s="2"/>
      <c r="H54" s="6">
        <v>125.84</v>
      </c>
      <c r="I54" s="2"/>
      <c r="J54" s="7">
        <f t="shared" si="37"/>
        <v>5.235889643556744E-3</v>
      </c>
      <c r="K54" s="2"/>
      <c r="L54" s="6">
        <f t="shared" si="38"/>
        <v>7.1200000000000045</v>
      </c>
      <c r="M54" s="2"/>
      <c r="N54" s="7">
        <f t="shared" si="39"/>
        <v>5.657978385251116E-2</v>
      </c>
      <c r="O54" s="11"/>
      <c r="P54" s="6">
        <v>809.24</v>
      </c>
      <c r="Q54" s="2"/>
      <c r="R54" s="7">
        <f t="shared" si="40"/>
        <v>4.8130463031184293E-3</v>
      </c>
      <c r="S54" s="2"/>
      <c r="T54" s="6">
        <v>586.22</v>
      </c>
      <c r="U54" s="2"/>
      <c r="V54" s="7">
        <f t="shared" si="41"/>
        <v>4.0826588331320636E-3</v>
      </c>
      <c r="W54" s="2"/>
      <c r="X54" s="6">
        <f t="shared" si="42"/>
        <v>223.01999999999998</v>
      </c>
      <c r="Y54" s="2"/>
      <c r="Z54" s="7">
        <f t="shared" si="43"/>
        <v>0.3804373784585991</v>
      </c>
    </row>
    <row r="55" spans="1:26" s="25" customFormat="1" outlineLevel="1" collapsed="1" x14ac:dyDescent="0.25">
      <c r="A55" s="27"/>
      <c r="B55" s="13" t="str">
        <f>CONCATENATE("     ","Supplies                                          ")</f>
        <v xml:space="preserve">     Supplies                                          </v>
      </c>
      <c r="C55" s="13"/>
      <c r="D55" s="1">
        <f>SUM(OSRRefD22_9x_0)</f>
        <v>693.45</v>
      </c>
      <c r="E55" s="1"/>
      <c r="F55" s="5">
        <f t="shared" ref="F55:F60" si="44">IF(D$12=0,0,D55/D$12)</f>
        <v>2.0426450198432158E-2</v>
      </c>
      <c r="G55" s="1"/>
      <c r="H55" s="1">
        <f>SUM(OSRRefH22_9x_0)</f>
        <v>689.82</v>
      </c>
      <c r="I55" s="1"/>
      <c r="J55" s="5">
        <f t="shared" ref="J55:J60" si="45">IF(H$12=0,0,H55/H$12)</f>
        <v>2.870169575586708E-2</v>
      </c>
      <c r="K55" s="1"/>
      <c r="L55" s="1">
        <f t="shared" ref="L55:L60" si="46">+D55-H55</f>
        <v>3.6299999999999955</v>
      </c>
      <c r="M55" s="1"/>
      <c r="N55" s="5">
        <f t="shared" ref="N55:N60" si="47">IF(H55=0,0,L55/H55)</f>
        <v>5.2622423240845364E-3</v>
      </c>
      <c r="O55" s="13"/>
      <c r="P55" s="1">
        <f>SUM(OSRRefP22_9x_0)</f>
        <v>5633.0700000000006</v>
      </c>
      <c r="Q55" s="1"/>
      <c r="R55" s="5">
        <f t="shared" ref="R55:R60" si="48">IF(P$12=0,0,P55/P$12)</f>
        <v>3.350332007650058E-2</v>
      </c>
      <c r="S55" s="1"/>
      <c r="T55" s="1">
        <f>SUM(OSRRefT22_9x_0)</f>
        <v>3031.64</v>
      </c>
      <c r="U55" s="1"/>
      <c r="V55" s="5">
        <f t="shared" ref="V55:V60" si="49">IF(T$12=0,0,T55/T$12)</f>
        <v>2.1113492929065007E-2</v>
      </c>
      <c r="W55" s="1"/>
      <c r="X55" s="1">
        <f t="shared" ref="X55:X60" si="50">+P55-T55</f>
        <v>2601.4300000000007</v>
      </c>
      <c r="Y55" s="1"/>
      <c r="Z55" s="5">
        <f t="shared" ref="Z55:Z60" si="51">IF(T55=0,0,X55/T55)</f>
        <v>0.85809330923196714</v>
      </c>
    </row>
    <row r="56" spans="1:26" s="24" customFormat="1" hidden="1" outlineLevel="2" x14ac:dyDescent="0.25">
      <c r="A56" s="26"/>
      <c r="B56" s="11" t="str">
        <f>CONCATENATE("          ", "6234", " - ", "EXPENDABLE SUPPLIES &amp; EQUIPMEN")</f>
        <v xml:space="preserve">          6234 - EXPENDABLE SUPPLIES &amp; EQUIPMEN</v>
      </c>
      <c r="C56" s="11"/>
      <c r="D56" s="6"/>
      <c r="E56" s="2"/>
      <c r="F56" s="7">
        <f t="shared" si="44"/>
        <v>0</v>
      </c>
      <c r="G56" s="2"/>
      <c r="H56" s="6"/>
      <c r="I56" s="2"/>
      <c r="J56" s="7">
        <f t="shared" si="45"/>
        <v>0</v>
      </c>
      <c r="K56" s="2"/>
      <c r="L56" s="6">
        <f t="shared" si="46"/>
        <v>0</v>
      </c>
      <c r="M56" s="2"/>
      <c r="N56" s="7">
        <f t="shared" si="47"/>
        <v>0</v>
      </c>
      <c r="O56" s="11"/>
      <c r="P56" s="6">
        <v>354.71</v>
      </c>
      <c r="Q56" s="2"/>
      <c r="R56" s="7">
        <f t="shared" si="48"/>
        <v>2.1096777892579926E-3</v>
      </c>
      <c r="S56" s="2"/>
      <c r="T56" s="6"/>
      <c r="U56" s="2"/>
      <c r="V56" s="7">
        <f t="shared" si="49"/>
        <v>0</v>
      </c>
      <c r="W56" s="2"/>
      <c r="X56" s="6">
        <f t="shared" si="50"/>
        <v>354.71</v>
      </c>
      <c r="Y56" s="2"/>
      <c r="Z56" s="7">
        <f t="shared" si="51"/>
        <v>0</v>
      </c>
    </row>
    <row r="57" spans="1:26" s="24" customFormat="1" hidden="1" outlineLevel="2" x14ac:dyDescent="0.25">
      <c r="A57" s="26"/>
      <c r="B57" s="11" t="str">
        <f>CONCATENATE("          ", "6237", " - ", "JANITORIAL SUPPLIES")</f>
        <v xml:space="preserve">          6237 - JANITORIAL SUPPLIES</v>
      </c>
      <c r="C57" s="11"/>
      <c r="D57" s="6"/>
      <c r="E57" s="2"/>
      <c r="F57" s="7">
        <f t="shared" si="44"/>
        <v>0</v>
      </c>
      <c r="G57" s="2"/>
      <c r="H57" s="6">
        <v>342.16</v>
      </c>
      <c r="I57" s="2"/>
      <c r="J57" s="7">
        <f t="shared" si="45"/>
        <v>1.4236427212646023E-2</v>
      </c>
      <c r="K57" s="2"/>
      <c r="L57" s="6">
        <f t="shared" si="46"/>
        <v>-342.16</v>
      </c>
      <c r="M57" s="2"/>
      <c r="N57" s="7">
        <f t="shared" si="47"/>
        <v>-1</v>
      </c>
      <c r="O57" s="11"/>
      <c r="P57" s="6">
        <v>20.93</v>
      </c>
      <c r="Q57" s="2"/>
      <c r="R57" s="7">
        <f t="shared" si="48"/>
        <v>1.2448353902954465E-4</v>
      </c>
      <c r="S57" s="2"/>
      <c r="T57" s="6">
        <v>361.04</v>
      </c>
      <c r="U57" s="2"/>
      <c r="V57" s="7">
        <f t="shared" si="49"/>
        <v>2.5144197487530283E-3</v>
      </c>
      <c r="W57" s="2"/>
      <c r="X57" s="6">
        <f t="shared" si="50"/>
        <v>-340.11</v>
      </c>
      <c r="Y57" s="2"/>
      <c r="Z57" s="7">
        <f t="shared" si="51"/>
        <v>-0.94202858409040546</v>
      </c>
    </row>
    <row r="58" spans="1:26" s="24" customFormat="1" hidden="1" outlineLevel="2" x14ac:dyDescent="0.25">
      <c r="A58" s="26"/>
      <c r="B58" s="11" t="str">
        <f>CONCATENATE("          ", "6243", " - ", "PAPER SUPPLIES")</f>
        <v xml:space="preserve">          6243 - PAPER SUPPLIES</v>
      </c>
      <c r="C58" s="11"/>
      <c r="D58" s="6"/>
      <c r="E58" s="2"/>
      <c r="F58" s="7">
        <f t="shared" si="44"/>
        <v>0</v>
      </c>
      <c r="G58" s="2"/>
      <c r="H58" s="6"/>
      <c r="I58" s="2"/>
      <c r="J58" s="7">
        <f t="shared" si="45"/>
        <v>0</v>
      </c>
      <c r="K58" s="2"/>
      <c r="L58" s="6">
        <f t="shared" si="46"/>
        <v>0</v>
      </c>
      <c r="M58" s="2"/>
      <c r="N58" s="7">
        <f t="shared" si="47"/>
        <v>0</v>
      </c>
      <c r="O58" s="11"/>
      <c r="P58" s="6"/>
      <c r="Q58" s="2"/>
      <c r="R58" s="7">
        <f t="shared" si="48"/>
        <v>0</v>
      </c>
      <c r="S58" s="2"/>
      <c r="T58" s="6">
        <v>45.85</v>
      </c>
      <c r="U58" s="2"/>
      <c r="V58" s="7">
        <f t="shared" si="49"/>
        <v>3.1931682218127168E-4</v>
      </c>
      <c r="W58" s="2"/>
      <c r="X58" s="6">
        <f t="shared" si="50"/>
        <v>-45.85</v>
      </c>
      <c r="Y58" s="2"/>
      <c r="Z58" s="7">
        <f t="shared" si="51"/>
        <v>-1</v>
      </c>
    </row>
    <row r="59" spans="1:26" s="24" customFormat="1" hidden="1" outlineLevel="2" x14ac:dyDescent="0.25">
      <c r="A59" s="26"/>
      <c r="B59" s="11" t="str">
        <f>CONCATENATE("          ", "6247", " - ", "STORE SUPPLIES")</f>
        <v xml:space="preserve">          6247 - STORE SUPPLIES</v>
      </c>
      <c r="C59" s="11"/>
      <c r="D59" s="6">
        <v>693.45</v>
      </c>
      <c r="E59" s="2"/>
      <c r="F59" s="7">
        <f t="shared" si="44"/>
        <v>2.0426450198432158E-2</v>
      </c>
      <c r="G59" s="2"/>
      <c r="H59" s="6">
        <v>347.66</v>
      </c>
      <c r="I59" s="2"/>
      <c r="J59" s="7">
        <f t="shared" si="45"/>
        <v>1.4465268543221057E-2</v>
      </c>
      <c r="K59" s="2"/>
      <c r="L59" s="6">
        <f t="shared" si="46"/>
        <v>345.79</v>
      </c>
      <c r="M59" s="2"/>
      <c r="N59" s="7">
        <f t="shared" si="47"/>
        <v>0.99462118161422075</v>
      </c>
      <c r="O59" s="11"/>
      <c r="P59" s="6">
        <v>5257.43</v>
      </c>
      <c r="Q59" s="2"/>
      <c r="R59" s="7">
        <f t="shared" si="48"/>
        <v>3.1269158748213045E-2</v>
      </c>
      <c r="S59" s="2"/>
      <c r="T59" s="6">
        <v>2436.88</v>
      </c>
      <c r="U59" s="2"/>
      <c r="V59" s="7">
        <f t="shared" si="49"/>
        <v>1.697135829088544E-2</v>
      </c>
      <c r="W59" s="2"/>
      <c r="X59" s="6">
        <f t="shared" si="50"/>
        <v>2820.55</v>
      </c>
      <c r="Y59" s="2"/>
      <c r="Z59" s="7">
        <f t="shared" si="51"/>
        <v>1.1574431239946161</v>
      </c>
    </row>
    <row r="60" spans="1:26" s="24" customFormat="1" hidden="1" outlineLevel="2" x14ac:dyDescent="0.25">
      <c r="A60" s="26"/>
      <c r="B60" s="11" t="str">
        <f>CONCATENATE("          ", "6248", " - ", "UNIFORMS")</f>
        <v xml:space="preserve">          6248 - UNIFORMS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187.87</v>
      </c>
      <c r="U60" s="2"/>
      <c r="V60" s="7">
        <f t="shared" si="49"/>
        <v>1.3083980672452674E-3</v>
      </c>
      <c r="W60" s="2"/>
      <c r="X60" s="6">
        <f t="shared" si="50"/>
        <v>-187.87</v>
      </c>
      <c r="Y60" s="2"/>
      <c r="Z60" s="7">
        <f t="shared" si="51"/>
        <v>-1</v>
      </c>
    </row>
    <row r="61" spans="1:26" s="25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52.5</v>
      </c>
      <c r="E61" s="1"/>
      <c r="F61" s="5">
        <f t="shared" ref="F61:F66" si="52">IF(D$12=0,0,D61/D$12)</f>
        <v>1.5464541573548033E-3</v>
      </c>
      <c r="G61" s="1"/>
      <c r="H61" s="1">
        <f>SUM(OSRRefH22_10x_0)</f>
        <v>52.5</v>
      </c>
      <c r="I61" s="1"/>
      <c r="J61" s="5">
        <f t="shared" ref="J61:J66" si="53">IF(H$12=0,0,H61/H$12)</f>
        <v>2.1843945191253101E-3</v>
      </c>
      <c r="K61" s="1"/>
      <c r="L61" s="1">
        <f t="shared" ref="L61:L66" si="54">+D61-H61</f>
        <v>0</v>
      </c>
      <c r="M61" s="1"/>
      <c r="N61" s="5">
        <f t="shared" ref="N61:N66" si="55">IF(H61=0,0,L61/H61)</f>
        <v>0</v>
      </c>
      <c r="O61" s="13"/>
      <c r="P61" s="1">
        <f>SUM(OSRRefP22_10x_0)</f>
        <v>277.5</v>
      </c>
      <c r="Q61" s="1"/>
      <c r="R61" s="5">
        <f t="shared" ref="R61:R66" si="56">IF(P$12=0,0,P61/P$12)</f>
        <v>1.6504625934399733E-3</v>
      </c>
      <c r="S61" s="1"/>
      <c r="T61" s="1">
        <f>SUM(OSRRefT22_10x_0)</f>
        <v>262.5</v>
      </c>
      <c r="U61" s="1"/>
      <c r="V61" s="5">
        <f t="shared" ref="V61:V66" si="57">IF(T$12=0,0,T61/T$12)</f>
        <v>1.8281497453126242E-3</v>
      </c>
      <c r="W61" s="1"/>
      <c r="X61" s="1">
        <f t="shared" ref="X61:X66" si="58">+P61-T61</f>
        <v>15</v>
      </c>
      <c r="Y61" s="1"/>
      <c r="Z61" s="5">
        <f t="shared" ref="Z61:Z66" si="59">IF(T61=0,0,X61/T61)</f>
        <v>5.7142857142857141E-2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6">
        <v>52.5</v>
      </c>
      <c r="E62" s="2"/>
      <c r="F62" s="7">
        <f t="shared" si="52"/>
        <v>1.5464541573548033E-3</v>
      </c>
      <c r="G62" s="2"/>
      <c r="H62" s="6">
        <v>52.5</v>
      </c>
      <c r="I62" s="2"/>
      <c r="J62" s="7">
        <f t="shared" si="53"/>
        <v>2.1843945191253101E-3</v>
      </c>
      <c r="K62" s="2"/>
      <c r="L62" s="6">
        <f t="shared" si="54"/>
        <v>0</v>
      </c>
      <c r="M62" s="2"/>
      <c r="N62" s="7">
        <f t="shared" si="55"/>
        <v>0</v>
      </c>
      <c r="O62" s="11"/>
      <c r="P62" s="6">
        <v>277.5</v>
      </c>
      <c r="Q62" s="2"/>
      <c r="R62" s="7">
        <f t="shared" si="56"/>
        <v>1.6504625934399733E-3</v>
      </c>
      <c r="S62" s="2"/>
      <c r="T62" s="6">
        <v>262.5</v>
      </c>
      <c r="U62" s="2"/>
      <c r="V62" s="7">
        <f t="shared" si="57"/>
        <v>1.8281497453126242E-3</v>
      </c>
      <c r="W62" s="2"/>
      <c r="X62" s="6">
        <f t="shared" si="58"/>
        <v>15</v>
      </c>
      <c r="Y62" s="2"/>
      <c r="Z62" s="7">
        <f t="shared" si="59"/>
        <v>5.7142857142857141E-2</v>
      </c>
    </row>
    <row r="63" spans="1:26" s="25" customFormat="1" outlineLevel="1" collapsed="1" x14ac:dyDescent="0.25">
      <c r="A63" s="27"/>
      <c r="B63" s="13" t="str">
        <f>CONCATENATE("     ","Training                                          ")</f>
        <v xml:space="preserve">     Training                                          </v>
      </c>
      <c r="C63" s="13"/>
      <c r="D63" s="1">
        <f>SUM(OSRRefD22_11x_0)</f>
        <v>0</v>
      </c>
      <c r="E63" s="1"/>
      <c r="F63" s="5">
        <f t="shared" si="52"/>
        <v>0</v>
      </c>
      <c r="G63" s="1"/>
      <c r="H63" s="1">
        <f>SUM(OSRRefH22_11x_0)</f>
        <v>60</v>
      </c>
      <c r="I63" s="1"/>
      <c r="J63" s="5">
        <f t="shared" si="53"/>
        <v>2.4964508790003546E-3</v>
      </c>
      <c r="K63" s="1"/>
      <c r="L63" s="1">
        <f t="shared" si="54"/>
        <v>-60</v>
      </c>
      <c r="M63" s="1"/>
      <c r="N63" s="5">
        <f t="shared" si="55"/>
        <v>-1</v>
      </c>
      <c r="O63" s="13"/>
      <c r="P63" s="1">
        <f>SUM(OSRRefP22_11x_0)</f>
        <v>0</v>
      </c>
      <c r="Q63" s="1"/>
      <c r="R63" s="5">
        <f t="shared" si="56"/>
        <v>0</v>
      </c>
      <c r="S63" s="1"/>
      <c r="T63" s="1">
        <f>SUM(OSRRefT22_11x_0)</f>
        <v>60</v>
      </c>
      <c r="U63" s="1"/>
      <c r="V63" s="5">
        <f t="shared" si="57"/>
        <v>4.1786279892859984E-4</v>
      </c>
      <c r="W63" s="1"/>
      <c r="X63" s="1">
        <f t="shared" si="58"/>
        <v>-60</v>
      </c>
      <c r="Y63" s="1"/>
      <c r="Z63" s="5">
        <f t="shared" si="59"/>
        <v>-1</v>
      </c>
    </row>
    <row r="64" spans="1:26" s="24" customFormat="1" hidden="1" outlineLevel="2" x14ac:dyDescent="0.25">
      <c r="A64" s="26"/>
      <c r="B64" s="11" t="str">
        <f>CONCATENATE("          ", "6376", " - ", "TRAINING")</f>
        <v xml:space="preserve">          6376 - TRAINING</v>
      </c>
      <c r="C64" s="11"/>
      <c r="D64" s="6"/>
      <c r="E64" s="2"/>
      <c r="F64" s="7">
        <f t="shared" si="52"/>
        <v>0</v>
      </c>
      <c r="G64" s="2"/>
      <c r="H64" s="6">
        <v>60</v>
      </c>
      <c r="I64" s="2"/>
      <c r="J64" s="7">
        <f t="shared" si="53"/>
        <v>2.4964508790003546E-3</v>
      </c>
      <c r="K64" s="2"/>
      <c r="L64" s="6">
        <f t="shared" si="54"/>
        <v>-60</v>
      </c>
      <c r="M64" s="2"/>
      <c r="N64" s="7">
        <f t="shared" si="55"/>
        <v>-1</v>
      </c>
      <c r="O64" s="11"/>
      <c r="P64" s="6"/>
      <c r="Q64" s="2"/>
      <c r="R64" s="7">
        <f t="shared" si="56"/>
        <v>0</v>
      </c>
      <c r="S64" s="2"/>
      <c r="T64" s="6">
        <v>60</v>
      </c>
      <c r="U64" s="2"/>
      <c r="V64" s="7">
        <f t="shared" si="57"/>
        <v>4.1786279892859984E-4</v>
      </c>
      <c r="W64" s="2"/>
      <c r="X64" s="6">
        <f t="shared" si="58"/>
        <v>-60</v>
      </c>
      <c r="Y64" s="2"/>
      <c r="Z64" s="7">
        <f t="shared" si="59"/>
        <v>-1</v>
      </c>
    </row>
    <row r="65" spans="1:26" s="25" customFormat="1" outlineLevel="1" collapsed="1" x14ac:dyDescent="0.25">
      <c r="A65" s="27"/>
      <c r="B65" s="13" t="str">
        <f>CONCATENATE("     ","Utilities                                         ")</f>
        <v xml:space="preserve">     Utilities                                         </v>
      </c>
      <c r="C65" s="13"/>
      <c r="D65" s="1">
        <f>SUM(OSRRefD22_12x_0)</f>
        <v>25</v>
      </c>
      <c r="E65" s="1"/>
      <c r="F65" s="5">
        <f t="shared" si="52"/>
        <v>7.3640674159752536E-4</v>
      </c>
      <c r="G65" s="1"/>
      <c r="H65" s="1">
        <f>SUM(OSRRefH22_12x_0)</f>
        <v>-204.11</v>
      </c>
      <c r="I65" s="1"/>
      <c r="J65" s="5">
        <f t="shared" si="53"/>
        <v>-8.4925098152127069E-3</v>
      </c>
      <c r="K65" s="1"/>
      <c r="L65" s="1">
        <f t="shared" si="54"/>
        <v>229.11</v>
      </c>
      <c r="M65" s="1"/>
      <c r="N65" s="5">
        <f t="shared" si="55"/>
        <v>-1.1224829748664935</v>
      </c>
      <c r="O65" s="13"/>
      <c r="P65" s="1">
        <f>SUM(OSRRefP22_12x_0)</f>
        <v>-773.88</v>
      </c>
      <c r="Q65" s="1"/>
      <c r="R65" s="5">
        <f t="shared" si="56"/>
        <v>-4.6027387092300058E-3</v>
      </c>
      <c r="S65" s="1"/>
      <c r="T65" s="1">
        <f>SUM(OSRRefT22_12x_0)</f>
        <v>-38.89</v>
      </c>
      <c r="U65" s="1"/>
      <c r="V65" s="5">
        <f t="shared" si="57"/>
        <v>-2.7084473750555414E-4</v>
      </c>
      <c r="W65" s="1"/>
      <c r="X65" s="1">
        <f t="shared" si="58"/>
        <v>-734.99</v>
      </c>
      <c r="Y65" s="1"/>
      <c r="Z65" s="5">
        <f t="shared" si="59"/>
        <v>18.899202879917716</v>
      </c>
    </row>
    <row r="66" spans="1:26" s="24" customFormat="1" hidden="1" outlineLevel="2" x14ac:dyDescent="0.25">
      <c r="A66" s="26"/>
      <c r="B66" s="11" t="str">
        <f>CONCATENATE("          ", "6274", " - ", "UTILITIES")</f>
        <v xml:space="preserve">          6274 - UTILITIES</v>
      </c>
      <c r="C66" s="11"/>
      <c r="D66" s="6">
        <v>25</v>
      </c>
      <c r="E66" s="2"/>
      <c r="F66" s="7">
        <f t="shared" si="52"/>
        <v>7.3640674159752536E-4</v>
      </c>
      <c r="G66" s="2"/>
      <c r="H66" s="6">
        <v>-204.11</v>
      </c>
      <c r="I66" s="2"/>
      <c r="J66" s="7">
        <f t="shared" si="53"/>
        <v>-8.4925098152127069E-3</v>
      </c>
      <c r="K66" s="2"/>
      <c r="L66" s="6">
        <f t="shared" si="54"/>
        <v>229.11</v>
      </c>
      <c r="M66" s="2"/>
      <c r="N66" s="7">
        <f t="shared" si="55"/>
        <v>-1.1224829748664935</v>
      </c>
      <c r="O66" s="11"/>
      <c r="P66" s="6">
        <v>-773.88</v>
      </c>
      <c r="Q66" s="2"/>
      <c r="R66" s="7">
        <f t="shared" si="56"/>
        <v>-4.6027387092300058E-3</v>
      </c>
      <c r="S66" s="2"/>
      <c r="T66" s="6">
        <v>-38.89</v>
      </c>
      <c r="U66" s="2"/>
      <c r="V66" s="7">
        <f t="shared" si="57"/>
        <v>-2.7084473750555414E-4</v>
      </c>
      <c r="W66" s="2"/>
      <c r="X66" s="6">
        <f t="shared" si="58"/>
        <v>-734.99</v>
      </c>
      <c r="Y66" s="2"/>
      <c r="Z66" s="7">
        <f t="shared" si="59"/>
        <v>18.899202879917716</v>
      </c>
    </row>
    <row r="67" spans="1:26" s="53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8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9" t="s">
        <v>3</v>
      </c>
      <c r="C70" s="29"/>
      <c r="D70" s="21">
        <f>+D20-D22+D68</f>
        <v>6625.3200000000052</v>
      </c>
      <c r="E70" s="14"/>
      <c r="F70" s="20">
        <f>IF(D$12=0,0,D70/D$12)</f>
        <v>0.1951572125296368</v>
      </c>
      <c r="G70" s="14"/>
      <c r="H70" s="21">
        <f>+H20-H22+H68</f>
        <v>6669.6299999999992</v>
      </c>
      <c r="I70" s="14"/>
      <c r="J70" s="20">
        <f>IF(H$12=0,0,H70/H$12)</f>
        <v>0.27750672793511888</v>
      </c>
      <c r="K70" s="15"/>
      <c r="L70" s="21">
        <f>+D70-H70</f>
        <v>-44.309999999994034</v>
      </c>
      <c r="M70" s="15"/>
      <c r="N70" s="20">
        <f>IF(H70=0,0,L70/H70)</f>
        <v>-6.6435469433827722E-3</v>
      </c>
      <c r="O70" s="28"/>
      <c r="P70" s="21">
        <f>+P20-P22+P68</f>
        <v>21869.280000000006</v>
      </c>
      <c r="Q70" s="14"/>
      <c r="R70" s="20">
        <f>IF(P$12=0,0,P70/P$12)</f>
        <v>0.13007001292059442</v>
      </c>
      <c r="S70" s="14"/>
      <c r="T70" s="21">
        <f>+T20-T22+T68</f>
        <v>38850.119999999981</v>
      </c>
      <c r="U70" s="14"/>
      <c r="V70" s="20">
        <f>IF(T$12=0,0,T70/T$12)</f>
        <v>0.27056699803186612</v>
      </c>
      <c r="W70" s="15"/>
      <c r="X70" s="21">
        <f>+P70-T70</f>
        <v>-16980.839999999975</v>
      </c>
      <c r="Y70" s="15"/>
      <c r="Z70" s="20">
        <f>IF(T70=0,0,X70/T70)</f>
        <v>-0.43708590861495367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>
        <v>4296.82</v>
      </c>
      <c r="E72" s="4"/>
      <c r="F72" s="12">
        <f>IF(D$12=0,0,D72/D$12)</f>
        <v>0.12656828861724315</v>
      </c>
      <c r="G72" s="4"/>
      <c r="H72" s="4">
        <v>4128.87</v>
      </c>
      <c r="I72" s="4"/>
      <c r="J72" s="12">
        <f>IF(H$12=0,0,H72/H$12)</f>
        <v>0.17179201901296989</v>
      </c>
      <c r="K72" s="4"/>
      <c r="L72" s="4">
        <f>+D72-H72</f>
        <v>167.94999999999982</v>
      </c>
      <c r="M72" s="4"/>
      <c r="N72" s="12">
        <f>IF(H72=0,0,L72/H72)</f>
        <v>4.0676989103556133E-2</v>
      </c>
      <c r="O72" s="10"/>
      <c r="P72" s="4">
        <v>17804.329999999998</v>
      </c>
      <c r="Q72" s="4"/>
      <c r="R72" s="12">
        <f>IF(P$12=0,0,P72/P$12)</f>
        <v>0.10589326366220222</v>
      </c>
      <c r="S72" s="4"/>
      <c r="T72" s="4">
        <v>15108.649999999998</v>
      </c>
      <c r="U72" s="4"/>
      <c r="V72" s="12">
        <f>IF(T$12=0,0,T72/T$12)</f>
        <v>0.10522237961720982</v>
      </c>
      <c r="W72" s="4"/>
      <c r="X72" s="4">
        <f>+P72-T72</f>
        <v>2695.6800000000003</v>
      </c>
      <c r="Y72" s="4"/>
      <c r="Z72" s="12">
        <f>IF(T72=0,0,X72/T72)</f>
        <v>0.17841964702339394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4</v>
      </c>
      <c r="C74" s="29"/>
      <c r="D74" s="31">
        <f>+D70-D72</f>
        <v>2328.5000000000055</v>
      </c>
      <c r="E74" s="14"/>
      <c r="F74" s="32">
        <f>IF(D$12=0,0,D74/D$12)</f>
        <v>6.8588923912393671E-2</v>
      </c>
      <c r="G74" s="14"/>
      <c r="H74" s="31">
        <f>+H70-H72</f>
        <v>2540.7599999999993</v>
      </c>
      <c r="I74" s="14"/>
      <c r="J74" s="32">
        <f>IF(H$12=0,0,H74/H$12)</f>
        <v>0.10571470892214899</v>
      </c>
      <c r="K74" s="15"/>
      <c r="L74" s="31">
        <f>D74-H74</f>
        <v>-212.25999999999385</v>
      </c>
      <c r="M74" s="15"/>
      <c r="N74" s="32">
        <f>IF(H74=0,0,L74/H74)</f>
        <v>-8.3541932335204391E-2</v>
      </c>
      <c r="O74" s="28"/>
      <c r="P74" s="31">
        <f>+P70-P72</f>
        <v>4064.950000000008</v>
      </c>
      <c r="Q74" s="14"/>
      <c r="R74" s="32">
        <f>IF(P$12=0,0,P74/P$12)</f>
        <v>2.417674925839219E-2</v>
      </c>
      <c r="S74" s="14"/>
      <c r="T74" s="31">
        <f>+T70-T72</f>
        <v>23741.469999999983</v>
      </c>
      <c r="U74" s="14"/>
      <c r="V74" s="32">
        <f>IF(T$12=0,0,T74/T$12)</f>
        <v>0.16534461841465628</v>
      </c>
      <c r="W74" s="15"/>
      <c r="X74" s="31">
        <f>P74-T74</f>
        <v>-19676.519999999975</v>
      </c>
      <c r="Y74" s="15"/>
      <c r="Z74" s="32">
        <f>IF(T74=0,0,X74/T74)</f>
        <v>-0.82878271648722635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5</v>
      </c>
      <c r="C77" s="29"/>
      <c r="D77" s="34">
        <f>SUM(D74:D76)</f>
        <v>2328.5000000000055</v>
      </c>
      <c r="E77" s="14"/>
      <c r="F77" s="30">
        <f>IF(D$12=0,0,D77/D$12)</f>
        <v>6.8588923912393671E-2</v>
      </c>
      <c r="G77" s="14"/>
      <c r="H77" s="34">
        <f>SUM(H74:H76)</f>
        <v>2540.7599999999993</v>
      </c>
      <c r="I77" s="14"/>
      <c r="J77" s="30">
        <f>IF(H$12=0,0,H77/H$12)</f>
        <v>0.10571470892214899</v>
      </c>
      <c r="K77" s="15"/>
      <c r="L77" s="34">
        <f>+D77-H77</f>
        <v>-212.25999999999385</v>
      </c>
      <c r="M77" s="15"/>
      <c r="N77" s="30">
        <f>IF(H77=0,0,L77/H77)</f>
        <v>-8.3541932335204391E-2</v>
      </c>
      <c r="O77" s="28"/>
      <c r="P77" s="34">
        <f>SUM(P74:P76)</f>
        <v>4064.950000000008</v>
      </c>
      <c r="Q77" s="14"/>
      <c r="R77" s="30">
        <f>IF(P$12=0,0,P77/P$12)</f>
        <v>2.417674925839219E-2</v>
      </c>
      <c r="S77" s="14"/>
      <c r="T77" s="34">
        <f>SUM(T74:T76)</f>
        <v>23741.469999999983</v>
      </c>
      <c r="U77" s="14"/>
      <c r="V77" s="30">
        <f>IF(T$12=0,0,T77/T$12)</f>
        <v>0.16534461841465628</v>
      </c>
      <c r="W77" s="15"/>
      <c r="X77" s="34">
        <f>+P77-T77</f>
        <v>-19676.519999999975</v>
      </c>
      <c r="Y77" s="15"/>
      <c r="Z77" s="30">
        <f>IF(T77=0,0,X77/T77)</f>
        <v>-0.82878271648722635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9">
        <v>43815.491882326387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2" t="s">
        <v>313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61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","322", " - ", "Beach Hut")</f>
        <v>Department 322 - Beach Hut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92431.430000000008</v>
      </c>
      <c r="E12" s="4"/>
      <c r="F12" s="12"/>
      <c r="G12" s="4"/>
      <c r="H12" s="4">
        <f>SUM(OSRRefH13x_0)</f>
        <v>80804.09</v>
      </c>
      <c r="I12" s="4"/>
      <c r="J12" s="12"/>
      <c r="K12" s="4"/>
      <c r="L12" s="4">
        <f t="shared" ref="L12:L14" si="0">+D12-H12</f>
        <v>11627.340000000011</v>
      </c>
      <c r="M12" s="4"/>
      <c r="N12" s="12">
        <f t="shared" ref="N12:N14" si="1">IF(H12=0,0,L12/H12)</f>
        <v>0.14389543895612228</v>
      </c>
      <c r="O12" s="10"/>
      <c r="P12" s="4">
        <f>SUM(OSRRefP13x_0)</f>
        <v>415061.82</v>
      </c>
      <c r="Q12" s="4"/>
      <c r="R12" s="12"/>
      <c r="S12" s="4"/>
      <c r="T12" s="4">
        <f>SUM(OSRRefT13x_0)</f>
        <v>386794.87</v>
      </c>
      <c r="U12" s="4"/>
      <c r="V12" s="12"/>
      <c r="W12" s="4"/>
      <c r="X12" s="4">
        <f t="shared" ref="X12:X14" si="2">+P12-T12</f>
        <v>28266.950000000012</v>
      </c>
      <c r="Y12" s="4"/>
      <c r="Z12" s="12">
        <f t="shared" ref="Z12:Z14" si="3">IF(T12=0,0,X12/T12)</f>
        <v>7.3079950620854955E-2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--9811.97</f>
        <v>9811.9699999999993</v>
      </c>
      <c r="E13" s="2"/>
      <c r="F13" s="19"/>
      <c r="G13" s="2"/>
      <c r="H13" s="2">
        <f>--13182.72</f>
        <v>13182.72</v>
      </c>
      <c r="I13" s="2"/>
      <c r="J13" s="19"/>
      <c r="K13" s="2"/>
      <c r="L13" s="2">
        <f t="shared" si="0"/>
        <v>-3370.75</v>
      </c>
      <c r="M13" s="2"/>
      <c r="N13" s="19">
        <f t="shared" si="1"/>
        <v>-0.25569457592970191</v>
      </c>
      <c r="O13" s="11"/>
      <c r="P13" s="2">
        <f>--53058.08</f>
        <v>53058.080000000002</v>
      </c>
      <c r="Q13" s="2"/>
      <c r="R13" s="19"/>
      <c r="S13" s="2"/>
      <c r="T13" s="2">
        <f>--68075.52</f>
        <v>68075.520000000004</v>
      </c>
      <c r="U13" s="2"/>
      <c r="V13" s="19"/>
      <c r="W13" s="2"/>
      <c r="X13" s="2">
        <f t="shared" si="2"/>
        <v>-15017.440000000002</v>
      </c>
      <c r="Y13" s="2"/>
      <c r="Z13" s="19">
        <f t="shared" si="3"/>
        <v>-0.22059971043922985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--82619.46</f>
        <v>82619.460000000006</v>
      </c>
      <c r="E14" s="2"/>
      <c r="F14" s="19"/>
      <c r="G14" s="2"/>
      <c r="H14" s="2">
        <f>--67621.37</f>
        <v>67621.37</v>
      </c>
      <c r="I14" s="2"/>
      <c r="J14" s="19"/>
      <c r="K14" s="2"/>
      <c r="L14" s="2">
        <f t="shared" si="0"/>
        <v>14998.090000000011</v>
      </c>
      <c r="M14" s="2"/>
      <c r="N14" s="19">
        <f t="shared" si="1"/>
        <v>0.22179512186753997</v>
      </c>
      <c r="O14" s="11"/>
      <c r="P14" s="2">
        <f>--362003.74</f>
        <v>362003.74</v>
      </c>
      <c r="Q14" s="2"/>
      <c r="R14" s="19"/>
      <c r="S14" s="2"/>
      <c r="T14" s="2">
        <f>--318719.35</f>
        <v>318719.34999999998</v>
      </c>
      <c r="U14" s="2"/>
      <c r="V14" s="19"/>
      <c r="W14" s="2"/>
      <c r="X14" s="2">
        <f t="shared" si="2"/>
        <v>43284.390000000014</v>
      </c>
      <c r="Y14" s="2"/>
      <c r="Z14" s="19">
        <f t="shared" si="3"/>
        <v>0.13580722350243252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46877.009999999995</v>
      </c>
      <c r="E16" s="4"/>
      <c r="F16" s="12">
        <f t="shared" ref="F16:F18" si="4">IF(D$12=0,0,D16/D$12)</f>
        <v>0.50715443870120791</v>
      </c>
      <c r="G16" s="4"/>
      <c r="H16" s="4">
        <f>SUM(OSRRefH16x_0)</f>
        <v>39665.279999999999</v>
      </c>
      <c r="I16" s="4"/>
      <c r="J16" s="12">
        <f t="shared" ref="J16:J18" si="5">IF(H$12=0,0,H16/H$12)</f>
        <v>0.49088208282526291</v>
      </c>
      <c r="K16" s="4"/>
      <c r="L16" s="4">
        <f t="shared" ref="L16:L18" si="6">+D16-H16</f>
        <v>7211.7299999999959</v>
      </c>
      <c r="M16" s="4"/>
      <c r="N16" s="12">
        <f t="shared" ref="N16:N18" si="7">IF(H16=0,0,L16/H16)</f>
        <v>0.18181467520209099</v>
      </c>
      <c r="O16" s="10"/>
      <c r="P16" s="4">
        <f>SUM(OSRRefP16x_0)</f>
        <v>211359.16999999998</v>
      </c>
      <c r="Q16" s="4"/>
      <c r="R16" s="12">
        <f t="shared" ref="R16:R18" si="8">IF(P$12=0,0,P16/P$12)</f>
        <v>0.50922334894594734</v>
      </c>
      <c r="S16" s="4"/>
      <c r="T16" s="4">
        <f>SUM(OSRRefT16x_0)</f>
        <v>184821.35</v>
      </c>
      <c r="U16" s="4"/>
      <c r="V16" s="12">
        <f t="shared" ref="V16:V18" si="9">IF(T$12=0,0,T16/T$12)</f>
        <v>0.47782782124282053</v>
      </c>
      <c r="W16" s="4"/>
      <c r="X16" s="4">
        <f t="shared" ref="X16:X18" si="10">+P16-T16</f>
        <v>26537.819999999978</v>
      </c>
      <c r="Y16" s="4"/>
      <c r="Z16" s="12">
        <f t="shared" ref="Z16:Z18" si="11">IF(T16=0,0,X16/T16)</f>
        <v>0.14358633350530109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44509.7</v>
      </c>
      <c r="E17" s="2"/>
      <c r="F17" s="19">
        <f t="shared" si="4"/>
        <v>0.48154291240544472</v>
      </c>
      <c r="G17" s="2"/>
      <c r="H17" s="2">
        <v>36965.49</v>
      </c>
      <c r="I17" s="2"/>
      <c r="J17" s="19">
        <f t="shared" si="5"/>
        <v>0.45747053150403649</v>
      </c>
      <c r="K17" s="2"/>
      <c r="L17" s="2">
        <f t="shared" si="6"/>
        <v>7544.2099999999991</v>
      </c>
      <c r="M17" s="2"/>
      <c r="N17" s="19">
        <f t="shared" si="7"/>
        <v>0.2040879209230014</v>
      </c>
      <c r="O17" s="11"/>
      <c r="P17" s="2">
        <v>226149.84</v>
      </c>
      <c r="Q17" s="2"/>
      <c r="R17" s="19">
        <f t="shared" si="8"/>
        <v>0.54485820931445827</v>
      </c>
      <c r="S17" s="2"/>
      <c r="T17" s="2">
        <v>198749.26</v>
      </c>
      <c r="U17" s="2"/>
      <c r="V17" s="19">
        <f t="shared" si="9"/>
        <v>0.51383633914276061</v>
      </c>
      <c r="W17" s="2"/>
      <c r="X17" s="2">
        <f t="shared" si="10"/>
        <v>27400.579999999987</v>
      </c>
      <c r="Y17" s="2"/>
      <c r="Z17" s="19">
        <f t="shared" si="11"/>
        <v>0.13786506676804727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2367.31</v>
      </c>
      <c r="E18" s="2"/>
      <c r="F18" s="19">
        <f t="shared" si="4"/>
        <v>2.5611526295763246E-2</v>
      </c>
      <c r="G18" s="2"/>
      <c r="H18" s="2">
        <v>2699.79</v>
      </c>
      <c r="I18" s="2"/>
      <c r="J18" s="19">
        <f t="shared" si="5"/>
        <v>3.3411551321226439E-2</v>
      </c>
      <c r="K18" s="2"/>
      <c r="L18" s="2">
        <f t="shared" si="6"/>
        <v>-332.48</v>
      </c>
      <c r="M18" s="2"/>
      <c r="N18" s="19">
        <f t="shared" si="7"/>
        <v>-0.12315031909889289</v>
      </c>
      <c r="O18" s="11"/>
      <c r="P18" s="2">
        <v>-14790.670000000002</v>
      </c>
      <c r="Q18" s="2"/>
      <c r="R18" s="19">
        <f t="shared" si="8"/>
        <v>-3.5634860368510893E-2</v>
      </c>
      <c r="S18" s="2"/>
      <c r="T18" s="2">
        <v>-13927.91</v>
      </c>
      <c r="U18" s="2"/>
      <c r="V18" s="19">
        <f t="shared" si="9"/>
        <v>-3.6008517899940092E-2</v>
      </c>
      <c r="W18" s="2"/>
      <c r="X18" s="2">
        <f t="shared" si="10"/>
        <v>-862.76000000000204</v>
      </c>
      <c r="Y18" s="2"/>
      <c r="Z18" s="19">
        <f t="shared" si="11"/>
        <v>6.1944685168126595E-2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45554.420000000013</v>
      </c>
      <c r="E20" s="14"/>
      <c r="F20" s="20">
        <f>IF(D$12=0,0,D20/D$12)</f>
        <v>0.49284556129879209</v>
      </c>
      <c r="G20" s="14"/>
      <c r="H20" s="21">
        <f>H12-H16</f>
        <v>41138.81</v>
      </c>
      <c r="I20" s="14"/>
      <c r="J20" s="20">
        <f>IF(H$12=0,0,H20/H$12)</f>
        <v>0.50911791717473709</v>
      </c>
      <c r="K20" s="15"/>
      <c r="L20" s="21">
        <f>+D20-H20</f>
        <v>4415.6100000000151</v>
      </c>
      <c r="M20" s="15"/>
      <c r="N20" s="20">
        <f>IF(H20=0,0,L20/H20)</f>
        <v>0.10733441244411336</v>
      </c>
      <c r="O20" s="28"/>
      <c r="P20" s="21">
        <f>P12-P16</f>
        <v>203702.65000000002</v>
      </c>
      <c r="Q20" s="14"/>
      <c r="R20" s="20">
        <f>IF(P$12=0,0,P20/P$12)</f>
        <v>0.49077665105405266</v>
      </c>
      <c r="S20" s="14"/>
      <c r="T20" s="21">
        <f>T12-T16</f>
        <v>201973.52</v>
      </c>
      <c r="U20" s="14"/>
      <c r="V20" s="20">
        <f>IF(T$12=0,0,T20/T$12)</f>
        <v>0.52217217875717947</v>
      </c>
      <c r="W20" s="15"/>
      <c r="X20" s="21">
        <f>+P20-T20</f>
        <v>1729.1300000000338</v>
      </c>
      <c r="Y20" s="15"/>
      <c r="Z20" s="20">
        <f>IF(T20=0,0,X20/T20)</f>
        <v>8.5611717813307096E-3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28604.039999999997</v>
      </c>
      <c r="E22" s="22"/>
      <c r="F22" s="33">
        <f t="shared" ref="F22:F31" si="12">IF(D$12=0,0,D22/D$12)</f>
        <v>0.30946226840805119</v>
      </c>
      <c r="G22" s="22"/>
      <c r="H22" s="22">
        <f>SUM(OSRRefH22x_0)</f>
        <v>26044.030000000002</v>
      </c>
      <c r="I22" s="22"/>
      <c r="J22" s="33">
        <f t="shared" ref="J22:J31" si="13">IF(H$12=0,0,H22/H$12)</f>
        <v>0.32231078897120186</v>
      </c>
      <c r="K22" s="4"/>
      <c r="L22" s="22">
        <f t="shared" ref="L22:L31" si="14">+D22-H22</f>
        <v>2560.0099999999948</v>
      </c>
      <c r="M22" s="4"/>
      <c r="N22" s="33">
        <f t="shared" ref="N22:N31" si="15">IF(H22=0,0,L22/H22)</f>
        <v>9.8295463490097143E-2</v>
      </c>
      <c r="O22" s="10"/>
      <c r="P22" s="22">
        <f>SUM(OSRRefP22x_0)</f>
        <v>144939.41999999998</v>
      </c>
      <c r="Q22" s="22"/>
      <c r="R22" s="33">
        <f t="shared" ref="R22:R31" si="16">IF(P$12=0,0,P22/P$12)</f>
        <v>0.34919959633964881</v>
      </c>
      <c r="S22" s="22"/>
      <c r="T22" s="22">
        <f>SUM(OSRRefT22x_0)</f>
        <v>131081.36000000002</v>
      </c>
      <c r="U22" s="22"/>
      <c r="V22" s="33">
        <f t="shared" ref="V22:V31" si="17">IF(T$12=0,0,T22/T$12)</f>
        <v>0.3388911543733763</v>
      </c>
      <c r="W22" s="4"/>
      <c r="X22" s="22">
        <f t="shared" ref="X22:X31" si="18">+P22-T22</f>
        <v>13858.059999999969</v>
      </c>
      <c r="Y22" s="4"/>
      <c r="Z22" s="33">
        <f t="shared" ref="Z22:Z31" si="19">IF(T22=0,0,X22/T22)</f>
        <v>0.10572105751725468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2290</v>
      </c>
      <c r="E23" s="1"/>
      <c r="F23" s="5">
        <f t="shared" si="12"/>
        <v>2.4775122488097392E-2</v>
      </c>
      <c r="G23" s="1"/>
      <c r="H23" s="1">
        <f>SUM(OSRRefH22_0x_0)</f>
        <v>2190.63</v>
      </c>
      <c r="I23" s="1"/>
      <c r="J23" s="5">
        <f t="shared" si="13"/>
        <v>2.7110385130257642E-2</v>
      </c>
      <c r="K23" s="1"/>
      <c r="L23" s="1">
        <f t="shared" si="14"/>
        <v>99.369999999999891</v>
      </c>
      <c r="M23" s="1"/>
      <c r="N23" s="5">
        <f t="shared" si="15"/>
        <v>4.5361380059617498E-2</v>
      </c>
      <c r="O23" s="13"/>
      <c r="P23" s="1">
        <f>SUM(OSRRefP22_0x_0)</f>
        <v>12067.82</v>
      </c>
      <c r="Q23" s="1"/>
      <c r="R23" s="5">
        <f t="shared" si="16"/>
        <v>2.9074753250009841E-2</v>
      </c>
      <c r="S23" s="1"/>
      <c r="T23" s="1">
        <f>SUM(OSRRefT22_0x_0)</f>
        <v>11697.970000000001</v>
      </c>
      <c r="U23" s="1"/>
      <c r="V23" s="5">
        <f t="shared" si="17"/>
        <v>3.0243343196356253E-2</v>
      </c>
      <c r="W23" s="1"/>
      <c r="X23" s="1">
        <f t="shared" si="18"/>
        <v>369.84999999999854</v>
      </c>
      <c r="Y23" s="1"/>
      <c r="Z23" s="5">
        <f t="shared" si="19"/>
        <v>3.1616596725756563E-2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379.71</v>
      </c>
      <c r="E24" s="2"/>
      <c r="F24" s="7">
        <f t="shared" si="12"/>
        <v>4.1080182357884102E-3</v>
      </c>
      <c r="G24" s="2"/>
      <c r="H24" s="6">
        <v>471.35</v>
      </c>
      <c r="I24" s="2"/>
      <c r="J24" s="7">
        <f t="shared" si="13"/>
        <v>5.833244332062895E-3</v>
      </c>
      <c r="K24" s="2"/>
      <c r="L24" s="6">
        <f t="shared" si="14"/>
        <v>-91.640000000000043</v>
      </c>
      <c r="M24" s="2"/>
      <c r="N24" s="7">
        <f t="shared" si="15"/>
        <v>-0.19442028216824025</v>
      </c>
      <c r="O24" s="11"/>
      <c r="P24" s="6">
        <v>3187.82</v>
      </c>
      <c r="Q24" s="2"/>
      <c r="R24" s="7">
        <f t="shared" si="16"/>
        <v>7.6803498813742977E-3</v>
      </c>
      <c r="S24" s="2"/>
      <c r="T24" s="6">
        <v>3248.34</v>
      </c>
      <c r="U24" s="2"/>
      <c r="V24" s="7">
        <f t="shared" si="17"/>
        <v>8.3980948351253994E-3</v>
      </c>
      <c r="W24" s="2"/>
      <c r="X24" s="6">
        <f t="shared" si="18"/>
        <v>-60.519999999999982</v>
      </c>
      <c r="Y24" s="2"/>
      <c r="Z24" s="7">
        <f t="shared" si="19"/>
        <v>-1.8631054630980741E-2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384.28</v>
      </c>
      <c r="E25" s="2"/>
      <c r="F25" s="7">
        <f t="shared" si="12"/>
        <v>4.1574602924567966E-3</v>
      </c>
      <c r="G25" s="2"/>
      <c r="H25" s="6">
        <v>209.56</v>
      </c>
      <c r="I25" s="2"/>
      <c r="J25" s="7">
        <f t="shared" si="13"/>
        <v>2.5934330799344441E-3</v>
      </c>
      <c r="K25" s="2"/>
      <c r="L25" s="6">
        <f t="shared" si="14"/>
        <v>174.71999999999997</v>
      </c>
      <c r="M25" s="2"/>
      <c r="N25" s="7">
        <f t="shared" si="15"/>
        <v>0.83374689826302717</v>
      </c>
      <c r="O25" s="11"/>
      <c r="P25" s="6">
        <v>1274.5899999999999</v>
      </c>
      <c r="Q25" s="2"/>
      <c r="R25" s="7">
        <f t="shared" si="16"/>
        <v>3.0708437600933756E-3</v>
      </c>
      <c r="S25" s="2"/>
      <c r="T25" s="6">
        <v>951.66</v>
      </c>
      <c r="U25" s="2"/>
      <c r="V25" s="7">
        <f t="shared" si="17"/>
        <v>2.4603738927561269E-3</v>
      </c>
      <c r="W25" s="2"/>
      <c r="X25" s="6">
        <f t="shared" si="18"/>
        <v>322.92999999999995</v>
      </c>
      <c r="Y25" s="2"/>
      <c r="Z25" s="7">
        <f t="shared" si="19"/>
        <v>0.3393333753651514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641.14</v>
      </c>
      <c r="E26" s="2"/>
      <c r="F26" s="7">
        <f t="shared" si="12"/>
        <v>6.9363851668204192E-3</v>
      </c>
      <c r="G26" s="2"/>
      <c r="H26" s="6">
        <v>691.52</v>
      </c>
      <c r="I26" s="2"/>
      <c r="J26" s="7">
        <f t="shared" si="13"/>
        <v>8.557982646670485E-3</v>
      </c>
      <c r="K26" s="2"/>
      <c r="L26" s="6">
        <f t="shared" si="14"/>
        <v>-50.379999999999995</v>
      </c>
      <c r="M26" s="2"/>
      <c r="N26" s="7">
        <f t="shared" si="15"/>
        <v>-7.2854002776492358E-2</v>
      </c>
      <c r="O26" s="11"/>
      <c r="P26" s="6">
        <v>3205.7</v>
      </c>
      <c r="Q26" s="2"/>
      <c r="R26" s="7">
        <f t="shared" si="16"/>
        <v>7.7234278016706038E-3</v>
      </c>
      <c r="S26" s="2"/>
      <c r="T26" s="6">
        <v>3031.36</v>
      </c>
      <c r="U26" s="2"/>
      <c r="V26" s="7">
        <f t="shared" si="17"/>
        <v>7.8371256578454625E-3</v>
      </c>
      <c r="W26" s="2"/>
      <c r="X26" s="6">
        <f t="shared" si="18"/>
        <v>174.33999999999969</v>
      </c>
      <c r="Y26" s="2"/>
      <c r="Z26" s="7">
        <f t="shared" si="19"/>
        <v>5.7512139765649638E-2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52.59</v>
      </c>
      <c r="E27" s="2"/>
      <c r="F27" s="7">
        <f t="shared" si="12"/>
        <v>5.6896231076377377E-4</v>
      </c>
      <c r="G27" s="2"/>
      <c r="H27" s="6">
        <v>45.79</v>
      </c>
      <c r="I27" s="2"/>
      <c r="J27" s="7">
        <f t="shared" si="13"/>
        <v>5.6667923616242691E-4</v>
      </c>
      <c r="K27" s="2"/>
      <c r="L27" s="6">
        <f t="shared" si="14"/>
        <v>6.8000000000000043</v>
      </c>
      <c r="M27" s="2"/>
      <c r="N27" s="7">
        <f t="shared" si="15"/>
        <v>0.14850404018344626</v>
      </c>
      <c r="O27" s="11"/>
      <c r="P27" s="6">
        <v>219.59</v>
      </c>
      <c r="Q27" s="2"/>
      <c r="R27" s="7">
        <f t="shared" si="16"/>
        <v>5.2905372023859005E-4</v>
      </c>
      <c r="S27" s="2"/>
      <c r="T27" s="6">
        <v>207.91</v>
      </c>
      <c r="U27" s="2"/>
      <c r="V27" s="7">
        <f t="shared" si="17"/>
        <v>5.3752005552710667E-4</v>
      </c>
      <c r="W27" s="2"/>
      <c r="X27" s="6">
        <f t="shared" si="18"/>
        <v>11.680000000000007</v>
      </c>
      <c r="Y27" s="2"/>
      <c r="Z27" s="7">
        <f t="shared" si="19"/>
        <v>5.6178154008946213E-2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268.22000000000003</v>
      </c>
      <c r="E28" s="2"/>
      <c r="F28" s="7">
        <f t="shared" si="12"/>
        <v>2.9018267920338354E-3</v>
      </c>
      <c r="G28" s="2"/>
      <c r="H28" s="6">
        <v>248.06</v>
      </c>
      <c r="I28" s="2"/>
      <c r="J28" s="7">
        <f t="shared" si="13"/>
        <v>3.0698941105580177E-3</v>
      </c>
      <c r="K28" s="2"/>
      <c r="L28" s="6">
        <f t="shared" si="14"/>
        <v>20.160000000000025</v>
      </c>
      <c r="M28" s="2"/>
      <c r="N28" s="7">
        <f t="shared" si="15"/>
        <v>8.1270660324115229E-2</v>
      </c>
      <c r="O28" s="11"/>
      <c r="P28" s="6">
        <v>1206.99</v>
      </c>
      <c r="Q28" s="2"/>
      <c r="R28" s="7">
        <f t="shared" si="16"/>
        <v>2.907976455169979E-3</v>
      </c>
      <c r="S28" s="2"/>
      <c r="T28" s="6">
        <v>1360.72</v>
      </c>
      <c r="U28" s="2"/>
      <c r="V28" s="7">
        <f t="shared" si="17"/>
        <v>3.5179370398578454E-3</v>
      </c>
      <c r="W28" s="2"/>
      <c r="X28" s="6">
        <f t="shared" si="18"/>
        <v>-153.73000000000002</v>
      </c>
      <c r="Y28" s="2"/>
      <c r="Z28" s="7">
        <f t="shared" si="19"/>
        <v>-0.11297695337762362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221.28</v>
      </c>
      <c r="E29" s="2"/>
      <c r="F29" s="7">
        <f t="shared" si="12"/>
        <v>2.3939908751817425E-3</v>
      </c>
      <c r="G29" s="2"/>
      <c r="H29" s="6">
        <v>208.92</v>
      </c>
      <c r="I29" s="2"/>
      <c r="J29" s="7">
        <f t="shared" si="13"/>
        <v>2.5855126887760261E-3</v>
      </c>
      <c r="K29" s="2"/>
      <c r="L29" s="6">
        <f t="shared" si="14"/>
        <v>12.360000000000014</v>
      </c>
      <c r="M29" s="2"/>
      <c r="N29" s="7">
        <f t="shared" si="15"/>
        <v>5.9161401493394668E-2</v>
      </c>
      <c r="O29" s="11"/>
      <c r="P29" s="6">
        <v>1217.04</v>
      </c>
      <c r="Q29" s="2"/>
      <c r="R29" s="7">
        <f t="shared" si="16"/>
        <v>2.9321897157392118E-3</v>
      </c>
      <c r="S29" s="2"/>
      <c r="T29" s="6">
        <v>1182.69</v>
      </c>
      <c r="U29" s="2"/>
      <c r="V29" s="7">
        <f t="shared" si="17"/>
        <v>3.0576672332805243E-3</v>
      </c>
      <c r="W29" s="2"/>
      <c r="X29" s="6">
        <f t="shared" si="18"/>
        <v>34.349999999999909</v>
      </c>
      <c r="Y29" s="2"/>
      <c r="Z29" s="7">
        <f t="shared" si="19"/>
        <v>2.9043959110164039E-2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177.12</v>
      </c>
      <c r="E30" s="2"/>
      <c r="F30" s="7">
        <f t="shared" si="12"/>
        <v>1.9162313079003537E-3</v>
      </c>
      <c r="G30" s="2"/>
      <c r="H30" s="6">
        <v>167.24</v>
      </c>
      <c r="I30" s="2"/>
      <c r="J30" s="7">
        <f t="shared" si="13"/>
        <v>2.0696972145840637E-3</v>
      </c>
      <c r="K30" s="2"/>
      <c r="L30" s="6">
        <f t="shared" si="14"/>
        <v>9.8799999999999955</v>
      </c>
      <c r="M30" s="2"/>
      <c r="N30" s="7">
        <f t="shared" si="15"/>
        <v>5.907677589093515E-2</v>
      </c>
      <c r="O30" s="11"/>
      <c r="P30" s="6">
        <v>974.16</v>
      </c>
      <c r="Q30" s="2"/>
      <c r="R30" s="7">
        <f t="shared" si="16"/>
        <v>2.3470238722511261E-3</v>
      </c>
      <c r="S30" s="2"/>
      <c r="T30" s="6">
        <v>967.61</v>
      </c>
      <c r="U30" s="2"/>
      <c r="V30" s="7">
        <f t="shared" si="17"/>
        <v>2.5016102204251053E-3</v>
      </c>
      <c r="W30" s="2"/>
      <c r="X30" s="6">
        <f t="shared" si="18"/>
        <v>6.5499999999999545</v>
      </c>
      <c r="Y30" s="2"/>
      <c r="Z30" s="7">
        <f t="shared" si="19"/>
        <v>6.7692562085963914E-3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165.66</v>
      </c>
      <c r="E31" s="2"/>
      <c r="F31" s="7">
        <f t="shared" si="12"/>
        <v>1.7922475071520585E-3</v>
      </c>
      <c r="G31" s="2"/>
      <c r="H31" s="6">
        <v>148.19</v>
      </c>
      <c r="I31" s="2"/>
      <c r="J31" s="7">
        <f t="shared" si="13"/>
        <v>1.8339418215092826E-3</v>
      </c>
      <c r="K31" s="2"/>
      <c r="L31" s="6">
        <f t="shared" si="14"/>
        <v>17.47</v>
      </c>
      <c r="M31" s="2"/>
      <c r="N31" s="7">
        <f t="shared" si="15"/>
        <v>0.11788919630204467</v>
      </c>
      <c r="O31" s="11"/>
      <c r="P31" s="6">
        <v>781.93</v>
      </c>
      <c r="Q31" s="2"/>
      <c r="R31" s="7">
        <f t="shared" si="16"/>
        <v>1.8838880434726565E-3</v>
      </c>
      <c r="S31" s="2"/>
      <c r="T31" s="6">
        <v>747.68</v>
      </c>
      <c r="U31" s="2"/>
      <c r="V31" s="7">
        <f t="shared" si="17"/>
        <v>1.9330142615386805E-3</v>
      </c>
      <c r="W31" s="2"/>
      <c r="X31" s="6">
        <f t="shared" si="18"/>
        <v>34.25</v>
      </c>
      <c r="Y31" s="2"/>
      <c r="Z31" s="7">
        <f t="shared" si="19"/>
        <v>4.5808367215921256E-2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16264.53</v>
      </c>
      <c r="E32" s="1"/>
      <c r="F32" s="5">
        <f t="shared" ref="F32:F37" si="20">IF(D$12=0,0,D32/D$12)</f>
        <v>0.17596319779970945</v>
      </c>
      <c r="G32" s="1"/>
      <c r="H32" s="1">
        <f>SUM(OSRRefH22_1x_0)</f>
        <v>14208.529999999999</v>
      </c>
      <c r="I32" s="1"/>
      <c r="J32" s="5">
        <f t="shared" ref="J32:J37" si="21">IF(H$12=0,0,H32/H$12)</f>
        <v>0.17583924279080426</v>
      </c>
      <c r="K32" s="1"/>
      <c r="L32" s="1">
        <f t="shared" ref="L32:L37" si="22">+D32-H32</f>
        <v>2056.0000000000018</v>
      </c>
      <c r="M32" s="1"/>
      <c r="N32" s="5">
        <f t="shared" ref="N32:N37" si="23">IF(H32=0,0,L32/H32)</f>
        <v>0.14470180940604002</v>
      </c>
      <c r="O32" s="13"/>
      <c r="P32" s="1">
        <f>SUM(OSRRefP22_1x_0)</f>
        <v>85262.6</v>
      </c>
      <c r="Q32" s="1"/>
      <c r="R32" s="5">
        <f t="shared" ref="R32:R37" si="24">IF(P$12=0,0,P32/P$12)</f>
        <v>0.20542144782191724</v>
      </c>
      <c r="S32" s="1"/>
      <c r="T32" s="1">
        <f>SUM(OSRRefT22_1x_0)</f>
        <v>75132.41</v>
      </c>
      <c r="U32" s="1"/>
      <c r="V32" s="5">
        <f t="shared" ref="V32:V37" si="25">IF(T$12=0,0,T32/T$12)</f>
        <v>0.19424355343699362</v>
      </c>
      <c r="W32" s="1"/>
      <c r="X32" s="1">
        <f t="shared" ref="X32:X37" si="26">+P32-T32</f>
        <v>10130.190000000002</v>
      </c>
      <c r="Y32" s="1"/>
      <c r="Z32" s="5">
        <f t="shared" ref="Z32:Z37" si="27">IF(T32=0,0,X32/T32)</f>
        <v>0.1348311600812486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3264</v>
      </c>
      <c r="E33" s="2"/>
      <c r="F33" s="7">
        <f t="shared" si="20"/>
        <v>3.53126636686244E-2</v>
      </c>
      <c r="G33" s="2"/>
      <c r="H33" s="6">
        <v>3489.64</v>
      </c>
      <c r="I33" s="2"/>
      <c r="J33" s="7">
        <f t="shared" si="21"/>
        <v>4.3186427815720713E-2</v>
      </c>
      <c r="K33" s="2"/>
      <c r="L33" s="6">
        <f t="shared" si="22"/>
        <v>-225.63999999999987</v>
      </c>
      <c r="M33" s="2"/>
      <c r="N33" s="7">
        <f t="shared" si="23"/>
        <v>-6.4659964924748653E-2</v>
      </c>
      <c r="O33" s="11"/>
      <c r="P33" s="6">
        <v>18816</v>
      </c>
      <c r="Q33" s="2"/>
      <c r="R33" s="7">
        <f t="shared" si="24"/>
        <v>4.5333006056784503E-2</v>
      </c>
      <c r="S33" s="2"/>
      <c r="T33" s="6">
        <v>17629.48</v>
      </c>
      <c r="U33" s="2"/>
      <c r="V33" s="7">
        <f t="shared" si="25"/>
        <v>4.557837077828876E-2</v>
      </c>
      <c r="W33" s="2"/>
      <c r="X33" s="6">
        <f t="shared" si="26"/>
        <v>1186.5200000000004</v>
      </c>
      <c r="Y33" s="2"/>
      <c r="Z33" s="7">
        <f t="shared" si="27"/>
        <v>6.7303176270655768E-2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1123.5</v>
      </c>
      <c r="E34" s="2"/>
      <c r="F34" s="7">
        <f t="shared" si="20"/>
        <v>1.2154956382260881E-2</v>
      </c>
      <c r="G34" s="2"/>
      <c r="H34" s="6"/>
      <c r="I34" s="2"/>
      <c r="J34" s="7">
        <f t="shared" si="21"/>
        <v>0</v>
      </c>
      <c r="K34" s="2"/>
      <c r="L34" s="6">
        <f t="shared" si="22"/>
        <v>1123.5</v>
      </c>
      <c r="M34" s="2"/>
      <c r="N34" s="7">
        <f t="shared" si="23"/>
        <v>0</v>
      </c>
      <c r="O34" s="11"/>
      <c r="P34" s="6">
        <v>6954.5</v>
      </c>
      <c r="Q34" s="2"/>
      <c r="R34" s="7">
        <f t="shared" si="24"/>
        <v>1.6755335385943232E-2</v>
      </c>
      <c r="S34" s="2"/>
      <c r="T34" s="6"/>
      <c r="U34" s="2"/>
      <c r="V34" s="7">
        <f t="shared" si="25"/>
        <v>0</v>
      </c>
      <c r="W34" s="2"/>
      <c r="X34" s="6">
        <f t="shared" si="26"/>
        <v>6954.5</v>
      </c>
      <c r="Y34" s="2"/>
      <c r="Z34" s="7">
        <f t="shared" si="27"/>
        <v>0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>
        <v>2535.8200000000002</v>
      </c>
      <c r="I35" s="2"/>
      <c r="J35" s="7">
        <f t="shared" si="21"/>
        <v>3.1382322355217422E-2</v>
      </c>
      <c r="K35" s="2"/>
      <c r="L35" s="6">
        <f t="shared" si="22"/>
        <v>-2535.8200000000002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12731.49</v>
      </c>
      <c r="U35" s="2"/>
      <c r="V35" s="7">
        <f t="shared" si="25"/>
        <v>3.2915353815318182E-2</v>
      </c>
      <c r="W35" s="2"/>
      <c r="X35" s="6">
        <f t="shared" si="26"/>
        <v>-12731.49</v>
      </c>
      <c r="Y35" s="2"/>
      <c r="Z35" s="7">
        <f t="shared" si="27"/>
        <v>-1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11493.03</v>
      </c>
      <c r="E36" s="2"/>
      <c r="F36" s="7">
        <f t="shared" si="20"/>
        <v>0.12434114672898601</v>
      </c>
      <c r="G36" s="2"/>
      <c r="H36" s="6">
        <v>8183.07</v>
      </c>
      <c r="I36" s="2"/>
      <c r="J36" s="7">
        <f t="shared" si="21"/>
        <v>0.10127049261986615</v>
      </c>
      <c r="K36" s="2"/>
      <c r="L36" s="6">
        <f t="shared" si="22"/>
        <v>3309.9600000000009</v>
      </c>
      <c r="M36" s="2"/>
      <c r="N36" s="7">
        <f t="shared" si="23"/>
        <v>0.40448877988334464</v>
      </c>
      <c r="O36" s="11"/>
      <c r="P36" s="6">
        <v>58016.1</v>
      </c>
      <c r="Q36" s="2"/>
      <c r="R36" s="7">
        <f t="shared" si="24"/>
        <v>0.13977700960305142</v>
      </c>
      <c r="S36" s="2"/>
      <c r="T36" s="6">
        <v>44119.689999999995</v>
      </c>
      <c r="U36" s="2"/>
      <c r="V36" s="7">
        <f t="shared" si="25"/>
        <v>0.11406482717829219</v>
      </c>
      <c r="W36" s="2"/>
      <c r="X36" s="6">
        <f t="shared" si="26"/>
        <v>13896.410000000003</v>
      </c>
      <c r="Y36" s="2"/>
      <c r="Z36" s="7">
        <f t="shared" si="27"/>
        <v>0.31497070808974414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>
        <v>384</v>
      </c>
      <c r="E37" s="2"/>
      <c r="F37" s="7">
        <f t="shared" si="20"/>
        <v>4.1544310198381651E-3</v>
      </c>
      <c r="G37" s="2"/>
      <c r="H37" s="6"/>
      <c r="I37" s="2"/>
      <c r="J37" s="7">
        <f t="shared" si="21"/>
        <v>0</v>
      </c>
      <c r="K37" s="2"/>
      <c r="L37" s="6">
        <f t="shared" si="22"/>
        <v>384</v>
      </c>
      <c r="M37" s="2"/>
      <c r="N37" s="7">
        <f t="shared" si="23"/>
        <v>0</v>
      </c>
      <c r="O37" s="11"/>
      <c r="P37" s="6">
        <v>1476</v>
      </c>
      <c r="Q37" s="2"/>
      <c r="R37" s="7">
        <f t="shared" si="24"/>
        <v>3.55609677613807E-3</v>
      </c>
      <c r="S37" s="2"/>
      <c r="T37" s="6">
        <v>651.75</v>
      </c>
      <c r="U37" s="2"/>
      <c r="V37" s="7">
        <f t="shared" si="25"/>
        <v>1.6850016650944725E-3</v>
      </c>
      <c r="W37" s="2"/>
      <c r="X37" s="6">
        <f t="shared" si="26"/>
        <v>824.25</v>
      </c>
      <c r="Y37" s="2"/>
      <c r="Z37" s="7">
        <f t="shared" si="27"/>
        <v>1.2646720368239355</v>
      </c>
    </row>
    <row r="38" spans="1:26" s="25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0</v>
      </c>
      <c r="E38" s="1"/>
      <c r="F38" s="5">
        <f t="shared" ref="F38:F54" si="28">IF(D$12=0,0,D38/D$12)</f>
        <v>0</v>
      </c>
      <c r="G38" s="1"/>
      <c r="H38" s="1">
        <f>SUM(OSRRefH22_2x_0)</f>
        <v>18</v>
      </c>
      <c r="I38" s="1"/>
      <c r="J38" s="5">
        <f t="shared" ref="J38:J54" si="29">IF(H$12=0,0,H38/H$12)</f>
        <v>2.2276100133050196E-4</v>
      </c>
      <c r="K38" s="1"/>
      <c r="L38" s="1">
        <f t="shared" ref="L38:L54" si="30">+D38-H38</f>
        <v>-18</v>
      </c>
      <c r="M38" s="1"/>
      <c r="N38" s="5">
        <f t="shared" ref="N38:N54" si="31">IF(H38=0,0,L38/H38)</f>
        <v>-1</v>
      </c>
      <c r="O38" s="13"/>
      <c r="P38" s="1">
        <f>SUM(OSRRefP22_2x_0)</f>
        <v>150</v>
      </c>
      <c r="Q38" s="1"/>
      <c r="R38" s="5">
        <f t="shared" ref="R38:R54" si="32">IF(P$12=0,0,P38/P$12)</f>
        <v>3.6139194879451932E-4</v>
      </c>
      <c r="S38" s="1"/>
      <c r="T38" s="1">
        <f>SUM(OSRRefT22_2x_0)</f>
        <v>210</v>
      </c>
      <c r="U38" s="1"/>
      <c r="V38" s="5">
        <f t="shared" ref="V38:V54" si="33">IF(T$12=0,0,T38/T$12)</f>
        <v>5.4292343639407632E-4</v>
      </c>
      <c r="W38" s="1"/>
      <c r="X38" s="1">
        <f t="shared" ref="X38:X54" si="34">+P38-T38</f>
        <v>-60</v>
      </c>
      <c r="Y38" s="1"/>
      <c r="Z38" s="5">
        <f t="shared" ref="Z38:Z54" si="35">IF(T38=0,0,X38/T38)</f>
        <v>-0.2857142857142857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/>
      <c r="E39" s="2"/>
      <c r="F39" s="7">
        <f t="shared" si="28"/>
        <v>0</v>
      </c>
      <c r="G39" s="2"/>
      <c r="H39" s="6">
        <v>18</v>
      </c>
      <c r="I39" s="2"/>
      <c r="J39" s="7">
        <f t="shared" si="29"/>
        <v>2.2276100133050196E-4</v>
      </c>
      <c r="K39" s="2"/>
      <c r="L39" s="6">
        <f t="shared" si="30"/>
        <v>-18</v>
      </c>
      <c r="M39" s="2"/>
      <c r="N39" s="7">
        <f t="shared" si="31"/>
        <v>-1</v>
      </c>
      <c r="O39" s="11"/>
      <c r="P39" s="6">
        <v>150</v>
      </c>
      <c r="Q39" s="2"/>
      <c r="R39" s="7">
        <f t="shared" si="32"/>
        <v>3.6139194879451932E-4</v>
      </c>
      <c r="S39" s="2"/>
      <c r="T39" s="6">
        <v>210</v>
      </c>
      <c r="U39" s="2"/>
      <c r="V39" s="7">
        <f t="shared" si="33"/>
        <v>5.4292343639407632E-4</v>
      </c>
      <c r="W39" s="2"/>
      <c r="X39" s="6">
        <f t="shared" si="34"/>
        <v>-60</v>
      </c>
      <c r="Y39" s="2"/>
      <c r="Z39" s="7">
        <f t="shared" si="35"/>
        <v>-0.2857142857142857</v>
      </c>
    </row>
    <row r="40" spans="1:26" s="25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-6.27</v>
      </c>
      <c r="E40" s="1"/>
      <c r="F40" s="5">
        <f t="shared" si="28"/>
        <v>-6.7834068995795041E-5</v>
      </c>
      <c r="G40" s="1"/>
      <c r="H40" s="1">
        <f>SUM(OSRRefH22_3x_0)</f>
        <v>-40.53</v>
      </c>
      <c r="I40" s="1"/>
      <c r="J40" s="5">
        <f t="shared" si="29"/>
        <v>-5.0158352132918024E-4</v>
      </c>
      <c r="K40" s="1"/>
      <c r="L40" s="1">
        <f t="shared" si="30"/>
        <v>34.260000000000005</v>
      </c>
      <c r="M40" s="1"/>
      <c r="N40" s="5">
        <f t="shared" si="31"/>
        <v>-0.84529977794226507</v>
      </c>
      <c r="O40" s="13"/>
      <c r="P40" s="1">
        <f>SUM(OSRRefP22_3x_0)</f>
        <v>-38.08</v>
      </c>
      <c r="Q40" s="1"/>
      <c r="R40" s="5">
        <f t="shared" si="32"/>
        <v>-9.1745369400635308E-5</v>
      </c>
      <c r="S40" s="1"/>
      <c r="T40" s="1">
        <f>SUM(OSRRefT22_3x_0)</f>
        <v>-121.75</v>
      </c>
      <c r="U40" s="1"/>
      <c r="V40" s="5">
        <f t="shared" si="33"/>
        <v>-3.1476632562370851E-4</v>
      </c>
      <c r="W40" s="1"/>
      <c r="X40" s="1">
        <f t="shared" si="34"/>
        <v>83.67</v>
      </c>
      <c r="Y40" s="1"/>
      <c r="Z40" s="5">
        <f t="shared" si="35"/>
        <v>-0.68722792607802874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>
        <v>-6.27</v>
      </c>
      <c r="E41" s="2"/>
      <c r="F41" s="7">
        <f t="shared" si="28"/>
        <v>-6.7834068995795041E-5</v>
      </c>
      <c r="G41" s="2"/>
      <c r="H41" s="6">
        <v>-40.53</v>
      </c>
      <c r="I41" s="2"/>
      <c r="J41" s="7">
        <f t="shared" si="29"/>
        <v>-5.0158352132918024E-4</v>
      </c>
      <c r="K41" s="2"/>
      <c r="L41" s="6">
        <f t="shared" si="30"/>
        <v>34.260000000000005</v>
      </c>
      <c r="M41" s="2"/>
      <c r="N41" s="7">
        <f t="shared" si="31"/>
        <v>-0.84529977794226507</v>
      </c>
      <c r="O41" s="11"/>
      <c r="P41" s="6">
        <v>-38.08</v>
      </c>
      <c r="Q41" s="2"/>
      <c r="R41" s="7">
        <f t="shared" si="32"/>
        <v>-9.1745369400635308E-5</v>
      </c>
      <c r="S41" s="2"/>
      <c r="T41" s="6">
        <v>-121.75</v>
      </c>
      <c r="U41" s="2"/>
      <c r="V41" s="7">
        <f t="shared" si="33"/>
        <v>-3.1476632562370851E-4</v>
      </c>
      <c r="W41" s="2"/>
      <c r="X41" s="6">
        <f t="shared" si="34"/>
        <v>83.67</v>
      </c>
      <c r="Y41" s="2"/>
      <c r="Z41" s="7">
        <f t="shared" si="35"/>
        <v>-0.68722792607802874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3576.28</v>
      </c>
      <c r="E42" s="1"/>
      <c r="F42" s="5">
        <f t="shared" si="28"/>
        <v>3.8691168144861544E-2</v>
      </c>
      <c r="G42" s="1"/>
      <c r="H42" s="1">
        <f>SUM(OSRRefH22_4x_0)</f>
        <v>3213.89</v>
      </c>
      <c r="I42" s="1"/>
      <c r="J42" s="5">
        <f t="shared" si="29"/>
        <v>3.9773853031449272E-2</v>
      </c>
      <c r="K42" s="1"/>
      <c r="L42" s="1">
        <f t="shared" si="30"/>
        <v>362.39000000000033</v>
      </c>
      <c r="M42" s="1"/>
      <c r="N42" s="5">
        <f t="shared" si="31"/>
        <v>0.11275743724894143</v>
      </c>
      <c r="O42" s="13"/>
      <c r="P42" s="1">
        <f>SUM(OSRRefP22_4x_0)</f>
        <v>14336.24</v>
      </c>
      <c r="Q42" s="1"/>
      <c r="R42" s="5">
        <f t="shared" si="32"/>
        <v>3.4540011413239598E-2</v>
      </c>
      <c r="S42" s="1"/>
      <c r="T42" s="1">
        <f>SUM(OSRRefT22_4x_0)</f>
        <v>12878.01</v>
      </c>
      <c r="U42" s="1"/>
      <c r="V42" s="5">
        <f t="shared" si="33"/>
        <v>3.3294159252939423E-2</v>
      </c>
      <c r="W42" s="1"/>
      <c r="X42" s="1">
        <f t="shared" si="34"/>
        <v>1458.2299999999996</v>
      </c>
      <c r="Y42" s="1"/>
      <c r="Z42" s="5">
        <f t="shared" si="35"/>
        <v>0.11323410992847494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>
        <v>3576.28</v>
      </c>
      <c r="E43" s="2"/>
      <c r="F43" s="7">
        <f t="shared" si="28"/>
        <v>3.8691168144861544E-2</v>
      </c>
      <c r="G43" s="2"/>
      <c r="H43" s="6">
        <v>3213.89</v>
      </c>
      <c r="I43" s="2"/>
      <c r="J43" s="7">
        <f t="shared" si="29"/>
        <v>3.9773853031449272E-2</v>
      </c>
      <c r="K43" s="2"/>
      <c r="L43" s="6">
        <f t="shared" si="30"/>
        <v>362.39000000000033</v>
      </c>
      <c r="M43" s="2"/>
      <c r="N43" s="7">
        <f t="shared" si="31"/>
        <v>0.11275743724894143</v>
      </c>
      <c r="O43" s="11"/>
      <c r="P43" s="6">
        <v>14336.24</v>
      </c>
      <c r="Q43" s="2"/>
      <c r="R43" s="7">
        <f t="shared" si="32"/>
        <v>3.4540011413239598E-2</v>
      </c>
      <c r="S43" s="2"/>
      <c r="T43" s="6">
        <v>12878.01</v>
      </c>
      <c r="U43" s="2"/>
      <c r="V43" s="7">
        <f t="shared" si="33"/>
        <v>3.3294159252939423E-2</v>
      </c>
      <c r="W43" s="2"/>
      <c r="X43" s="6">
        <f t="shared" si="34"/>
        <v>1458.2299999999996</v>
      </c>
      <c r="Y43" s="2"/>
      <c r="Z43" s="7">
        <f t="shared" si="35"/>
        <v>0.11323410992847494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1857.58</v>
      </c>
      <c r="E44" s="1"/>
      <c r="F44" s="5">
        <f t="shared" si="28"/>
        <v>2.0096843681851505E-2</v>
      </c>
      <c r="G44" s="1"/>
      <c r="H44" s="1">
        <f>SUM(OSRRefH22_5x_0)</f>
        <v>2114.62</v>
      </c>
      <c r="I44" s="1"/>
      <c r="J44" s="5">
        <f t="shared" si="29"/>
        <v>2.6169714924083671E-2</v>
      </c>
      <c r="K44" s="1"/>
      <c r="L44" s="1">
        <f t="shared" si="30"/>
        <v>-257.03999999999996</v>
      </c>
      <c r="M44" s="1"/>
      <c r="N44" s="5">
        <f t="shared" si="31"/>
        <v>-0.12155375433884101</v>
      </c>
      <c r="O44" s="13"/>
      <c r="P44" s="1">
        <f>SUM(OSRRefP22_5x_0)</f>
        <v>9287.9</v>
      </c>
      <c r="Q44" s="1"/>
      <c r="R44" s="5">
        <f t="shared" si="32"/>
        <v>2.2377148541390772E-2</v>
      </c>
      <c r="S44" s="1"/>
      <c r="T44" s="1">
        <f>SUM(OSRRefT22_5x_0)</f>
        <v>10573.1</v>
      </c>
      <c r="U44" s="1"/>
      <c r="V44" s="5">
        <f t="shared" si="33"/>
        <v>2.7335160882562895E-2</v>
      </c>
      <c r="W44" s="1"/>
      <c r="X44" s="1">
        <f t="shared" si="34"/>
        <v>-1285.2000000000007</v>
      </c>
      <c r="Y44" s="1"/>
      <c r="Z44" s="5">
        <f t="shared" si="35"/>
        <v>-0.12155375433884108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1857.58</v>
      </c>
      <c r="E45" s="2"/>
      <c r="F45" s="7">
        <f t="shared" si="28"/>
        <v>2.0096843681851505E-2</v>
      </c>
      <c r="G45" s="2"/>
      <c r="H45" s="6">
        <v>2114.62</v>
      </c>
      <c r="I45" s="2"/>
      <c r="J45" s="7">
        <f t="shared" si="29"/>
        <v>2.6169714924083671E-2</v>
      </c>
      <c r="K45" s="2"/>
      <c r="L45" s="6">
        <f t="shared" si="30"/>
        <v>-257.03999999999996</v>
      </c>
      <c r="M45" s="2"/>
      <c r="N45" s="7">
        <f t="shared" si="31"/>
        <v>-0.12155375433884101</v>
      </c>
      <c r="O45" s="11"/>
      <c r="P45" s="6">
        <v>9287.9</v>
      </c>
      <c r="Q45" s="2"/>
      <c r="R45" s="7">
        <f t="shared" si="32"/>
        <v>2.2377148541390772E-2</v>
      </c>
      <c r="S45" s="2"/>
      <c r="T45" s="6">
        <v>10573.1</v>
      </c>
      <c r="U45" s="2"/>
      <c r="V45" s="7">
        <f t="shared" si="33"/>
        <v>2.7335160882562895E-2</v>
      </c>
      <c r="W45" s="2"/>
      <c r="X45" s="6">
        <f t="shared" si="34"/>
        <v>-1285.2000000000007</v>
      </c>
      <c r="Y45" s="2"/>
      <c r="Z45" s="7">
        <f t="shared" si="35"/>
        <v>-0.12155375433884108</v>
      </c>
    </row>
    <row r="46" spans="1:26" s="25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8"/>
        <v>0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0</v>
      </c>
      <c r="M46" s="1"/>
      <c r="N46" s="5">
        <f t="shared" si="31"/>
        <v>0</v>
      </c>
      <c r="O46" s="13"/>
      <c r="P46" s="1">
        <f>SUM(OSRRefP22_6x_0)</f>
        <v>0</v>
      </c>
      <c r="Q46" s="1"/>
      <c r="R46" s="5">
        <f t="shared" si="32"/>
        <v>0</v>
      </c>
      <c r="S46" s="1"/>
      <c r="T46" s="1">
        <f>SUM(OSRRefT22_6x_0)</f>
        <v>61.8</v>
      </c>
      <c r="U46" s="1"/>
      <c r="V46" s="5">
        <f t="shared" si="33"/>
        <v>1.597746112816853E-4</v>
      </c>
      <c r="W46" s="1"/>
      <c r="X46" s="1">
        <f t="shared" si="34"/>
        <v>-61.8</v>
      </c>
      <c r="Y46" s="1"/>
      <c r="Z46" s="5">
        <f t="shared" si="35"/>
        <v>-1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8"/>
        <v>0</v>
      </c>
      <c r="G47" s="2"/>
      <c r="H47" s="6"/>
      <c r="I47" s="2"/>
      <c r="J47" s="7">
        <f t="shared" si="29"/>
        <v>0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/>
      <c r="Q47" s="2"/>
      <c r="R47" s="7">
        <f t="shared" si="32"/>
        <v>0</v>
      </c>
      <c r="S47" s="2"/>
      <c r="T47" s="6">
        <v>61.8</v>
      </c>
      <c r="U47" s="2"/>
      <c r="V47" s="7">
        <f t="shared" si="33"/>
        <v>1.597746112816853E-4</v>
      </c>
      <c r="W47" s="2"/>
      <c r="X47" s="6">
        <f t="shared" si="34"/>
        <v>-61.8</v>
      </c>
      <c r="Y47" s="2"/>
      <c r="Z47" s="7">
        <f t="shared" si="35"/>
        <v>-1</v>
      </c>
    </row>
    <row r="48" spans="1:26" s="25" customFormat="1" outlineLevel="1" collapsed="1" x14ac:dyDescent="0.25">
      <c r="A48" s="27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SUM(OSRRefD22_7x_0)</f>
        <v>78.98</v>
      </c>
      <c r="E48" s="1"/>
      <c r="F48" s="5">
        <f t="shared" si="28"/>
        <v>8.5447125506983926E-4</v>
      </c>
      <c r="G48" s="1"/>
      <c r="H48" s="1">
        <f>SUM(OSRRefH22_7x_0)</f>
        <v>111.45</v>
      </c>
      <c r="I48" s="1"/>
      <c r="J48" s="5">
        <f t="shared" si="29"/>
        <v>1.379261866571358E-3</v>
      </c>
      <c r="K48" s="1"/>
      <c r="L48" s="1">
        <f t="shared" si="30"/>
        <v>-32.47</v>
      </c>
      <c r="M48" s="1"/>
      <c r="N48" s="5">
        <f t="shared" si="31"/>
        <v>-0.29134140870345443</v>
      </c>
      <c r="O48" s="13"/>
      <c r="P48" s="1">
        <f>SUM(OSRRefP22_7x_0)</f>
        <v>1006.53</v>
      </c>
      <c r="Q48" s="1"/>
      <c r="R48" s="5">
        <f t="shared" si="32"/>
        <v>2.4250122548009835E-3</v>
      </c>
      <c r="S48" s="1"/>
      <c r="T48" s="1">
        <f>SUM(OSRRefT22_7x_0)</f>
        <v>1088.3</v>
      </c>
      <c r="U48" s="1"/>
      <c r="V48" s="5">
        <f t="shared" si="33"/>
        <v>2.8136360753698722E-3</v>
      </c>
      <c r="W48" s="1"/>
      <c r="X48" s="1">
        <f t="shared" si="34"/>
        <v>-81.769999999999982</v>
      </c>
      <c r="Y48" s="1"/>
      <c r="Z48" s="5">
        <f t="shared" si="35"/>
        <v>-7.513553248185241E-2</v>
      </c>
    </row>
    <row r="49" spans="1:26" s="24" customFormat="1" hidden="1" outlineLevel="2" x14ac:dyDescent="0.25">
      <c r="A49" s="26"/>
      <c r="B49" s="11" t="str">
        <f>CONCATENATE("          ", "6279", " - ", "GENERAL EXPENSE")</f>
        <v xml:space="preserve">          6279 - GENERAL EXPENSE</v>
      </c>
      <c r="C49" s="11"/>
      <c r="D49" s="6">
        <v>78.98</v>
      </c>
      <c r="E49" s="2"/>
      <c r="F49" s="7">
        <f t="shared" si="28"/>
        <v>8.5447125506983926E-4</v>
      </c>
      <c r="G49" s="2"/>
      <c r="H49" s="6">
        <v>111.45</v>
      </c>
      <c r="I49" s="2"/>
      <c r="J49" s="7">
        <f t="shared" si="29"/>
        <v>1.379261866571358E-3</v>
      </c>
      <c r="K49" s="2"/>
      <c r="L49" s="6">
        <f t="shared" si="30"/>
        <v>-32.47</v>
      </c>
      <c r="M49" s="2"/>
      <c r="N49" s="7">
        <f t="shared" si="31"/>
        <v>-0.29134140870345443</v>
      </c>
      <c r="O49" s="11"/>
      <c r="P49" s="6">
        <v>1006.53</v>
      </c>
      <c r="Q49" s="2"/>
      <c r="R49" s="7">
        <f t="shared" si="32"/>
        <v>2.4250122548009835E-3</v>
      </c>
      <c r="S49" s="2"/>
      <c r="T49" s="6">
        <v>1088.3</v>
      </c>
      <c r="U49" s="2"/>
      <c r="V49" s="7">
        <f t="shared" si="33"/>
        <v>2.8136360753698722E-3</v>
      </c>
      <c r="W49" s="2"/>
      <c r="X49" s="6">
        <f t="shared" si="34"/>
        <v>-81.769999999999982</v>
      </c>
      <c r="Y49" s="2"/>
      <c r="Z49" s="7">
        <f t="shared" si="35"/>
        <v>-7.513553248185241E-2</v>
      </c>
    </row>
    <row r="50" spans="1:26" s="25" customFormat="1" outlineLevel="1" collapsed="1" x14ac:dyDescent="0.25">
      <c r="A50" s="27"/>
      <c r="B50" s="13" t="str">
        <f>CONCATENATE("     ","Rent                                              ")</f>
        <v xml:space="preserve">     Rent                                              </v>
      </c>
      <c r="C50" s="13"/>
      <c r="D50" s="1">
        <f>SUM(OSRRefD22_8x_0)</f>
        <v>1150</v>
      </c>
      <c r="E50" s="1"/>
      <c r="F50" s="5">
        <f t="shared" si="28"/>
        <v>1.2441655397952838E-2</v>
      </c>
      <c r="G50" s="1"/>
      <c r="H50" s="1">
        <f>SUM(OSRRefH22_8x_0)</f>
        <v>1150</v>
      </c>
      <c r="I50" s="1"/>
      <c r="J50" s="5">
        <f t="shared" si="29"/>
        <v>1.4231952862782071E-2</v>
      </c>
      <c r="K50" s="1"/>
      <c r="L50" s="1">
        <f t="shared" si="30"/>
        <v>0</v>
      </c>
      <c r="M50" s="1"/>
      <c r="N50" s="5">
        <f t="shared" si="31"/>
        <v>0</v>
      </c>
      <c r="O50" s="13"/>
      <c r="P50" s="1">
        <f>SUM(OSRRefP22_8x_0)</f>
        <v>5750</v>
      </c>
      <c r="Q50" s="1"/>
      <c r="R50" s="5">
        <f t="shared" si="32"/>
        <v>1.3853358037123242E-2</v>
      </c>
      <c r="S50" s="1"/>
      <c r="T50" s="1">
        <f>SUM(OSRRefT22_8x_0)</f>
        <v>5750</v>
      </c>
      <c r="U50" s="1"/>
      <c r="V50" s="5">
        <f t="shared" si="33"/>
        <v>1.4865760758409232E-2</v>
      </c>
      <c r="W50" s="1"/>
      <c r="X50" s="1">
        <f t="shared" si="34"/>
        <v>0</v>
      </c>
      <c r="Y50" s="1"/>
      <c r="Z50" s="5">
        <f t="shared" si="35"/>
        <v>0</v>
      </c>
    </row>
    <row r="51" spans="1:26" s="24" customFormat="1" hidden="1" outlineLevel="2" x14ac:dyDescent="0.25">
      <c r="A51" s="26"/>
      <c r="B51" s="11" t="str">
        <f>CONCATENATE("          ", "6273", " - ", "RENT")</f>
        <v xml:space="preserve">          6273 - RENT</v>
      </c>
      <c r="C51" s="11"/>
      <c r="D51" s="6">
        <v>1150</v>
      </c>
      <c r="E51" s="2"/>
      <c r="F51" s="7">
        <f t="shared" si="28"/>
        <v>1.2441655397952838E-2</v>
      </c>
      <c r="G51" s="2"/>
      <c r="H51" s="6">
        <v>1150</v>
      </c>
      <c r="I51" s="2"/>
      <c r="J51" s="7">
        <f t="shared" si="29"/>
        <v>1.4231952862782071E-2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>
        <v>5750</v>
      </c>
      <c r="Q51" s="2"/>
      <c r="R51" s="7">
        <f t="shared" si="32"/>
        <v>1.3853358037123242E-2</v>
      </c>
      <c r="S51" s="2"/>
      <c r="T51" s="6">
        <v>5750</v>
      </c>
      <c r="U51" s="2"/>
      <c r="V51" s="7">
        <f t="shared" si="33"/>
        <v>1.4865760758409232E-2</v>
      </c>
      <c r="W51" s="2"/>
      <c r="X51" s="6">
        <f t="shared" si="34"/>
        <v>0</v>
      </c>
      <c r="Y51" s="2"/>
      <c r="Z51" s="7">
        <f t="shared" si="35"/>
        <v>0</v>
      </c>
    </row>
    <row r="52" spans="1:26" s="25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1371.4</v>
      </c>
      <c r="E52" s="1"/>
      <c r="F52" s="5">
        <f t="shared" si="28"/>
        <v>1.4836944532828281E-2</v>
      </c>
      <c r="G52" s="1"/>
      <c r="H52" s="1">
        <f>SUM(OSRRefH22_9x_0)</f>
        <v>202.3</v>
      </c>
      <c r="I52" s="1"/>
      <c r="J52" s="5">
        <f t="shared" si="29"/>
        <v>2.5035861427311415E-3</v>
      </c>
      <c r="K52" s="1"/>
      <c r="L52" s="1">
        <f t="shared" si="30"/>
        <v>1169.1000000000001</v>
      </c>
      <c r="M52" s="1"/>
      <c r="N52" s="5">
        <f t="shared" si="31"/>
        <v>5.7790410281759765</v>
      </c>
      <c r="O52" s="13"/>
      <c r="P52" s="1">
        <f>SUM(OSRRefP22_9x_0)</f>
        <v>2909.68</v>
      </c>
      <c r="Q52" s="1"/>
      <c r="R52" s="5">
        <f t="shared" si="32"/>
        <v>7.0102328371229126E-3</v>
      </c>
      <c r="S52" s="1"/>
      <c r="T52" s="1">
        <f>SUM(OSRRefT22_9x_0)</f>
        <v>1467.59</v>
      </c>
      <c r="U52" s="1"/>
      <c r="V52" s="5">
        <f t="shared" si="33"/>
        <v>3.7942333619884875E-3</v>
      </c>
      <c r="W52" s="1"/>
      <c r="X52" s="1">
        <f t="shared" si="34"/>
        <v>1442.09</v>
      </c>
      <c r="Y52" s="1"/>
      <c r="Z52" s="5">
        <f t="shared" si="35"/>
        <v>0.98262457498347633</v>
      </c>
    </row>
    <row r="53" spans="1:26" s="24" customFormat="1" hidden="1" outlineLevel="2" x14ac:dyDescent="0.25">
      <c r="A53" s="26"/>
      <c r="B53" s="11" t="str">
        <f>CONCATENATE("          ", "6373", " - ", "MAINTENANCE CONTRACTS")</f>
        <v xml:space="preserve">          6373 - MAINTENANCE CONTRACTS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>
        <v>68.48</v>
      </c>
      <c r="Q53" s="2"/>
      <c r="R53" s="7">
        <f t="shared" si="32"/>
        <v>1.6498747102299124E-4</v>
      </c>
      <c r="S53" s="2"/>
      <c r="T53" s="6">
        <v>67.47</v>
      </c>
      <c r="U53" s="2"/>
      <c r="V53" s="7">
        <f t="shared" si="33"/>
        <v>1.7443354406432537E-4</v>
      </c>
      <c r="W53" s="2"/>
      <c r="X53" s="6">
        <f t="shared" si="34"/>
        <v>1.0100000000000051</v>
      </c>
      <c r="Y53" s="2"/>
      <c r="Z53" s="7">
        <f t="shared" si="35"/>
        <v>1.4969616125685566E-2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>
        <v>1371.4</v>
      </c>
      <c r="E54" s="2"/>
      <c r="F54" s="7">
        <f t="shared" si="28"/>
        <v>1.4836944532828281E-2</v>
      </c>
      <c r="G54" s="2"/>
      <c r="H54" s="6">
        <v>202.3</v>
      </c>
      <c r="I54" s="2"/>
      <c r="J54" s="7">
        <f t="shared" si="29"/>
        <v>2.5035861427311415E-3</v>
      </c>
      <c r="K54" s="2"/>
      <c r="L54" s="6">
        <f t="shared" si="30"/>
        <v>1169.1000000000001</v>
      </c>
      <c r="M54" s="2"/>
      <c r="N54" s="7">
        <f t="shared" si="31"/>
        <v>5.7790410281759765</v>
      </c>
      <c r="O54" s="11"/>
      <c r="P54" s="6">
        <v>2841.2</v>
      </c>
      <c r="Q54" s="2"/>
      <c r="R54" s="7">
        <f t="shared" si="32"/>
        <v>6.8452453660999219E-3</v>
      </c>
      <c r="S54" s="2"/>
      <c r="T54" s="6">
        <v>1400.12</v>
      </c>
      <c r="U54" s="2"/>
      <c r="V54" s="7">
        <f t="shared" si="33"/>
        <v>3.6197998179241619E-3</v>
      </c>
      <c r="W54" s="2"/>
      <c r="X54" s="6">
        <f t="shared" si="34"/>
        <v>1441.08</v>
      </c>
      <c r="Y54" s="2"/>
      <c r="Z54" s="7">
        <f t="shared" si="35"/>
        <v>1.0292546353169729</v>
      </c>
    </row>
    <row r="55" spans="1:26" s="25" customFormat="1" outlineLevel="1" collapsed="1" x14ac:dyDescent="0.25">
      <c r="A55" s="27"/>
      <c r="B55" s="13" t="str">
        <f>CONCATENATE("     ","Services                                          ")</f>
        <v xml:space="preserve">     Services                                          </v>
      </c>
      <c r="C55" s="13"/>
      <c r="D55" s="1">
        <f>SUM(OSRRefD22_10x_0)</f>
        <v>500.94000000000005</v>
      </c>
      <c r="E55" s="1"/>
      <c r="F55" s="5">
        <f t="shared" ref="F55:F58" si="36">IF(D$12=0,0,D55/D$12)</f>
        <v>5.4195850913482573E-3</v>
      </c>
      <c r="G55" s="1"/>
      <c r="H55" s="1">
        <f>SUM(OSRRefH22_10x_0)</f>
        <v>484.7</v>
      </c>
      <c r="I55" s="1"/>
      <c r="J55" s="5">
        <f t="shared" ref="J55:J58" si="37">IF(H$12=0,0,H55/H$12)</f>
        <v>5.9984587413830165E-3</v>
      </c>
      <c r="K55" s="1"/>
      <c r="L55" s="1">
        <f t="shared" ref="L55:L58" si="38">+D55-H55</f>
        <v>16.240000000000066</v>
      </c>
      <c r="M55" s="1"/>
      <c r="N55" s="5">
        <f t="shared" ref="N55:N58" si="39">IF(H55=0,0,L55/H55)</f>
        <v>3.3505260986177156E-2</v>
      </c>
      <c r="O55" s="13"/>
      <c r="P55" s="1">
        <f>SUM(OSRRefP22_10x_0)</f>
        <v>2502.6</v>
      </c>
      <c r="Q55" s="1"/>
      <c r="R55" s="5">
        <f t="shared" ref="R55:R58" si="40">IF(P$12=0,0,P55/P$12)</f>
        <v>6.0294632736877605E-3</v>
      </c>
      <c r="S55" s="1"/>
      <c r="T55" s="1">
        <f>SUM(OSRRefT22_10x_0)</f>
        <v>2545.9300000000003</v>
      </c>
      <c r="U55" s="1"/>
      <c r="V55" s="5">
        <f t="shared" ref="V55:V58" si="41">IF(T$12=0,0,T55/T$12)</f>
        <v>6.5821193543750987E-3</v>
      </c>
      <c r="W55" s="1"/>
      <c r="X55" s="1">
        <f t="shared" ref="X55:X58" si="42">+P55-T55</f>
        <v>-43.330000000000382</v>
      </c>
      <c r="Y55" s="1"/>
      <c r="Z55" s="5">
        <f t="shared" ref="Z55:Z58" si="43">IF(T55=0,0,X55/T55)</f>
        <v>-1.7019321033964162E-2</v>
      </c>
    </row>
    <row r="56" spans="1:26" s="24" customFormat="1" hidden="1" outlineLevel="2" x14ac:dyDescent="0.25">
      <c r="A56" s="26"/>
      <c r="B56" s="11" t="str">
        <f>CONCATENATE("          ", "6282", " - ", "JANITORIAL/EXTERMINATOR EXPENS")</f>
        <v xml:space="preserve">          6282 - JANITORIAL/EXTERMINATOR EXPENS</v>
      </c>
      <c r="C56" s="11"/>
      <c r="D56" s="6">
        <v>116.81</v>
      </c>
      <c r="E56" s="2"/>
      <c r="F56" s="7">
        <f t="shared" si="36"/>
        <v>1.2637476235085835E-3</v>
      </c>
      <c r="G56" s="2"/>
      <c r="H56" s="6">
        <v>116.81</v>
      </c>
      <c r="I56" s="2"/>
      <c r="J56" s="7">
        <f t="shared" si="37"/>
        <v>1.4455951425231075E-3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>
        <v>700.86</v>
      </c>
      <c r="Q56" s="2"/>
      <c r="R56" s="7">
        <f t="shared" si="40"/>
        <v>1.6885677415475122E-3</v>
      </c>
      <c r="S56" s="2"/>
      <c r="T56" s="6">
        <v>584.04999999999995</v>
      </c>
      <c r="U56" s="2"/>
      <c r="V56" s="7">
        <f t="shared" si="41"/>
        <v>1.5099734905998105E-3</v>
      </c>
      <c r="W56" s="2"/>
      <c r="X56" s="6">
        <f t="shared" si="42"/>
        <v>116.81000000000006</v>
      </c>
      <c r="Y56" s="2"/>
      <c r="Z56" s="7">
        <f t="shared" si="43"/>
        <v>0.20000000000000012</v>
      </c>
    </row>
    <row r="57" spans="1:26" s="24" customFormat="1" hidden="1" outlineLevel="2" x14ac:dyDescent="0.25">
      <c r="A57" s="26"/>
      <c r="B57" s="11" t="str">
        <f>CONCATENATE("          ", "6285", " - ", "JANITORIAL SERVICES")</f>
        <v xml:space="preserve">          6285 - JANITORIAL SERVICES</v>
      </c>
      <c r="C57" s="11"/>
      <c r="D57" s="6">
        <v>151.36000000000001</v>
      </c>
      <c r="E57" s="2"/>
      <c r="F57" s="7">
        <f t="shared" si="36"/>
        <v>1.6375382269862102E-3</v>
      </c>
      <c r="G57" s="2"/>
      <c r="H57" s="6">
        <v>70.25</v>
      </c>
      <c r="I57" s="2"/>
      <c r="J57" s="7">
        <f t="shared" si="37"/>
        <v>8.6938668574820907E-4</v>
      </c>
      <c r="K57" s="2"/>
      <c r="L57" s="6">
        <f t="shared" si="38"/>
        <v>81.110000000000014</v>
      </c>
      <c r="M57" s="2"/>
      <c r="N57" s="7">
        <f t="shared" si="39"/>
        <v>1.1545907473309611</v>
      </c>
      <c r="O57" s="11"/>
      <c r="P57" s="6">
        <v>278.39999999999998</v>
      </c>
      <c r="Q57" s="2"/>
      <c r="R57" s="7">
        <f t="shared" si="40"/>
        <v>6.707434569626278E-4</v>
      </c>
      <c r="S57" s="2"/>
      <c r="T57" s="6">
        <v>351.25</v>
      </c>
      <c r="U57" s="2"/>
      <c r="V57" s="7">
        <f t="shared" si="41"/>
        <v>9.0810408111152046E-4</v>
      </c>
      <c r="W57" s="2"/>
      <c r="X57" s="6">
        <f t="shared" si="42"/>
        <v>-72.850000000000023</v>
      </c>
      <c r="Y57" s="2"/>
      <c r="Z57" s="7">
        <f t="shared" si="43"/>
        <v>-0.20740213523131679</v>
      </c>
    </row>
    <row r="58" spans="1:26" s="24" customFormat="1" hidden="1" outlineLevel="2" x14ac:dyDescent="0.25">
      <c r="A58" s="26"/>
      <c r="B58" s="11" t="str">
        <f>CONCATENATE("          ", "6286", " - ", "LAUNDRY EXPENSE")</f>
        <v xml:space="preserve">          6286 - LAUNDRY EXPENSE</v>
      </c>
      <c r="C58" s="11"/>
      <c r="D58" s="6">
        <v>232.77</v>
      </c>
      <c r="E58" s="2"/>
      <c r="F58" s="7">
        <f t="shared" si="36"/>
        <v>2.5182992408534629E-3</v>
      </c>
      <c r="G58" s="2"/>
      <c r="H58" s="6">
        <v>297.64</v>
      </c>
      <c r="I58" s="2"/>
      <c r="J58" s="7">
        <f t="shared" si="37"/>
        <v>3.6834769131117002E-3</v>
      </c>
      <c r="K58" s="2"/>
      <c r="L58" s="6">
        <f t="shared" si="38"/>
        <v>-64.869999999999976</v>
      </c>
      <c r="M58" s="2"/>
      <c r="N58" s="7">
        <f t="shared" si="39"/>
        <v>-0.21794785647090437</v>
      </c>
      <c r="O58" s="11"/>
      <c r="P58" s="6">
        <v>1523.34</v>
      </c>
      <c r="Q58" s="2"/>
      <c r="R58" s="7">
        <f t="shared" si="40"/>
        <v>3.6701520751776201E-3</v>
      </c>
      <c r="S58" s="2"/>
      <c r="T58" s="6">
        <v>1610.63</v>
      </c>
      <c r="U58" s="2"/>
      <c r="V58" s="7">
        <f t="shared" si="41"/>
        <v>4.1640417826637674E-3</v>
      </c>
      <c r="W58" s="2"/>
      <c r="X58" s="6">
        <f t="shared" si="42"/>
        <v>-87.290000000000191</v>
      </c>
      <c r="Y58" s="2"/>
      <c r="Z58" s="7">
        <f t="shared" si="43"/>
        <v>-5.4196184101873296E-2</v>
      </c>
    </row>
    <row r="59" spans="1:26" s="25" customFormat="1" outlineLevel="1" collapsed="1" x14ac:dyDescent="0.25">
      <c r="A59" s="27"/>
      <c r="B59" s="13" t="str">
        <f>CONCATENATE("     ","Subscriptions &amp; Dues                              ")</f>
        <v xml:space="preserve">     Subscriptions &amp; Dues                              </v>
      </c>
      <c r="C59" s="13"/>
      <c r="D59" s="1">
        <f>SUM(OSRRefD22_11x_0)</f>
        <v>0</v>
      </c>
      <c r="E59" s="1"/>
      <c r="F59" s="5">
        <f t="shared" ref="F59:F67" si="44">IF(D$12=0,0,D59/D$12)</f>
        <v>0</v>
      </c>
      <c r="G59" s="1"/>
      <c r="H59" s="1">
        <f>SUM(OSRRefH22_11x_0)</f>
        <v>45</v>
      </c>
      <c r="I59" s="1"/>
      <c r="J59" s="5">
        <f t="shared" ref="J59:J67" si="45">IF(H$12=0,0,H59/H$12)</f>
        <v>5.5690250332625488E-4</v>
      </c>
      <c r="K59" s="1"/>
      <c r="L59" s="1">
        <f t="shared" ref="L59:L67" si="46">+D59-H59</f>
        <v>-45</v>
      </c>
      <c r="M59" s="1"/>
      <c r="N59" s="5">
        <f t="shared" ref="N59:N67" si="47">IF(H59=0,0,L59/H59)</f>
        <v>-1</v>
      </c>
      <c r="O59" s="13"/>
      <c r="P59" s="1">
        <f>SUM(OSRRefP22_11x_0)</f>
        <v>0</v>
      </c>
      <c r="Q59" s="1"/>
      <c r="R59" s="5">
        <f t="shared" ref="R59:R67" si="48">IF(P$12=0,0,P59/P$12)</f>
        <v>0</v>
      </c>
      <c r="S59" s="1"/>
      <c r="T59" s="1">
        <f>SUM(OSRRefT22_11x_0)</f>
        <v>45</v>
      </c>
      <c r="U59" s="1"/>
      <c r="V59" s="5">
        <f t="shared" ref="V59:V67" si="49">IF(T$12=0,0,T59/T$12)</f>
        <v>1.163407363701592E-4</v>
      </c>
      <c r="W59" s="1"/>
      <c r="X59" s="1">
        <f t="shared" ref="X59:X67" si="50">+P59-T59</f>
        <v>-45</v>
      </c>
      <c r="Y59" s="1"/>
      <c r="Z59" s="5">
        <f t="shared" ref="Z59:Z67" si="51">IF(T59=0,0,X59/T59)</f>
        <v>-1</v>
      </c>
    </row>
    <row r="60" spans="1:26" s="24" customFormat="1" hidden="1" outlineLevel="2" x14ac:dyDescent="0.25">
      <c r="A60" s="26"/>
      <c r="B60" s="11" t="str">
        <f>CONCATENATE("          ", "6258", " - ", "MEMBERSHIP DUES")</f>
        <v xml:space="preserve">          6258 - MEMBERSHIP DUES</v>
      </c>
      <c r="C60" s="11"/>
      <c r="D60" s="6"/>
      <c r="E60" s="2"/>
      <c r="F60" s="7">
        <f t="shared" si="44"/>
        <v>0</v>
      </c>
      <c r="G60" s="2"/>
      <c r="H60" s="6">
        <v>45</v>
      </c>
      <c r="I60" s="2"/>
      <c r="J60" s="7">
        <f t="shared" si="45"/>
        <v>5.5690250332625488E-4</v>
      </c>
      <c r="K60" s="2"/>
      <c r="L60" s="6">
        <f t="shared" si="46"/>
        <v>-45</v>
      </c>
      <c r="M60" s="2"/>
      <c r="N60" s="7">
        <f t="shared" si="47"/>
        <v>-1</v>
      </c>
      <c r="O60" s="11"/>
      <c r="P60" s="6"/>
      <c r="Q60" s="2"/>
      <c r="R60" s="7">
        <f t="shared" si="48"/>
        <v>0</v>
      </c>
      <c r="S60" s="2"/>
      <c r="T60" s="6">
        <v>45</v>
      </c>
      <c r="U60" s="2"/>
      <c r="V60" s="7">
        <f t="shared" si="49"/>
        <v>1.163407363701592E-4</v>
      </c>
      <c r="W60" s="2"/>
      <c r="X60" s="6">
        <f t="shared" si="50"/>
        <v>-45</v>
      </c>
      <c r="Y60" s="2"/>
      <c r="Z60" s="7">
        <f t="shared" si="51"/>
        <v>-1</v>
      </c>
    </row>
    <row r="61" spans="1:26" s="25" customFormat="1" outlineLevel="1" collapsed="1" x14ac:dyDescent="0.25">
      <c r="A61" s="27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SUM(OSRRefD22_12x_0)</f>
        <v>1302.5999999999999</v>
      </c>
      <c r="E61" s="1"/>
      <c r="F61" s="5">
        <f t="shared" si="44"/>
        <v>1.4092608975107274E-2</v>
      </c>
      <c r="G61" s="1"/>
      <c r="H61" s="1">
        <f>SUM(OSRRefH22_12x_0)</f>
        <v>2127.44</v>
      </c>
      <c r="I61" s="1"/>
      <c r="J61" s="5">
        <f t="shared" si="45"/>
        <v>2.6328370259475729E-2</v>
      </c>
      <c r="K61" s="1"/>
      <c r="L61" s="1">
        <f t="shared" si="46"/>
        <v>-824.84000000000015</v>
      </c>
      <c r="M61" s="1"/>
      <c r="N61" s="5">
        <f t="shared" si="47"/>
        <v>-0.38771481216861586</v>
      </c>
      <c r="O61" s="13"/>
      <c r="P61" s="1">
        <f>SUM(OSRRefP22_12x_0)</f>
        <v>10781.130000000001</v>
      </c>
      <c r="Q61" s="1"/>
      <c r="R61" s="5">
        <f t="shared" si="48"/>
        <v>2.5974757206047045E-2</v>
      </c>
      <c r="S61" s="1"/>
      <c r="T61" s="1">
        <f>SUM(OSRRefT22_12x_0)</f>
        <v>8988.32</v>
      </c>
      <c r="U61" s="1"/>
      <c r="V61" s="5">
        <f t="shared" si="49"/>
        <v>2.323795038956954E-2</v>
      </c>
      <c r="W61" s="1"/>
      <c r="X61" s="1">
        <f t="shared" si="50"/>
        <v>1792.8100000000013</v>
      </c>
      <c r="Y61" s="1"/>
      <c r="Z61" s="5">
        <f t="shared" si="51"/>
        <v>0.19945996582231176</v>
      </c>
    </row>
    <row r="62" spans="1:26" s="24" customFormat="1" hidden="1" outlineLevel="2" x14ac:dyDescent="0.25">
      <c r="A62" s="26"/>
      <c r="B62" s="11" t="str">
        <f>CONCATENATE("          ", "6234", " - ", "EXPENDABLE SUPPLIES &amp; EQUIPMEN")</f>
        <v xml:space="preserve">          6234 - EXPENDABLE SUPPLIES &amp; EQUIPMEN</v>
      </c>
      <c r="C62" s="11"/>
      <c r="D62" s="6"/>
      <c r="E62" s="2"/>
      <c r="F62" s="7">
        <f t="shared" si="44"/>
        <v>0</v>
      </c>
      <c r="G62" s="2"/>
      <c r="H62" s="6"/>
      <c r="I62" s="2"/>
      <c r="J62" s="7">
        <f t="shared" si="45"/>
        <v>0</v>
      </c>
      <c r="K62" s="2"/>
      <c r="L62" s="6">
        <f t="shared" si="46"/>
        <v>0</v>
      </c>
      <c r="M62" s="2"/>
      <c r="N62" s="7">
        <f t="shared" si="47"/>
        <v>0</v>
      </c>
      <c r="O62" s="11"/>
      <c r="P62" s="6">
        <v>354.71</v>
      </c>
      <c r="Q62" s="2"/>
      <c r="R62" s="7">
        <f t="shared" si="48"/>
        <v>8.5459558771269295E-4</v>
      </c>
      <c r="S62" s="2"/>
      <c r="T62" s="6"/>
      <c r="U62" s="2"/>
      <c r="V62" s="7">
        <f t="shared" si="49"/>
        <v>0</v>
      </c>
      <c r="W62" s="2"/>
      <c r="X62" s="6">
        <f t="shared" si="50"/>
        <v>354.71</v>
      </c>
      <c r="Y62" s="2"/>
      <c r="Z62" s="7">
        <f t="shared" si="51"/>
        <v>0</v>
      </c>
    </row>
    <row r="63" spans="1:26" s="24" customFormat="1" hidden="1" outlineLevel="2" x14ac:dyDescent="0.25">
      <c r="A63" s="26"/>
      <c r="B63" s="11" t="str">
        <f>CONCATENATE("          ", "6237", " - ", "JANITORIAL SUPPLIES")</f>
        <v xml:space="preserve">          6237 - JANITORIAL SUPPLIES</v>
      </c>
      <c r="C63" s="11"/>
      <c r="D63" s="6">
        <v>520.76</v>
      </c>
      <c r="E63" s="2"/>
      <c r="F63" s="7">
        <f t="shared" si="44"/>
        <v>5.6340143174242784E-3</v>
      </c>
      <c r="G63" s="2"/>
      <c r="H63" s="6">
        <v>425.87</v>
      </c>
      <c r="I63" s="2"/>
      <c r="J63" s="7">
        <f t="shared" si="45"/>
        <v>5.2704015353678265E-3</v>
      </c>
      <c r="K63" s="2"/>
      <c r="L63" s="6">
        <f t="shared" si="46"/>
        <v>94.889999999999986</v>
      </c>
      <c r="M63" s="2"/>
      <c r="N63" s="7">
        <f t="shared" si="47"/>
        <v>0.22281447390048603</v>
      </c>
      <c r="O63" s="11"/>
      <c r="P63" s="6">
        <v>1184.68</v>
      </c>
      <c r="Q63" s="2"/>
      <c r="R63" s="7">
        <f t="shared" si="48"/>
        <v>2.8542254259859411E-3</v>
      </c>
      <c r="S63" s="2"/>
      <c r="T63" s="6">
        <v>751.7</v>
      </c>
      <c r="U63" s="2"/>
      <c r="V63" s="7">
        <f t="shared" si="49"/>
        <v>1.9434073673210818E-3</v>
      </c>
      <c r="W63" s="2"/>
      <c r="X63" s="6">
        <f t="shared" si="50"/>
        <v>432.98</v>
      </c>
      <c r="Y63" s="2"/>
      <c r="Z63" s="7">
        <f t="shared" si="51"/>
        <v>0.57600106425435682</v>
      </c>
    </row>
    <row r="64" spans="1:26" s="24" customFormat="1" hidden="1" outlineLevel="2" x14ac:dyDescent="0.25">
      <c r="A64" s="26"/>
      <c r="B64" s="11" t="str">
        <f>CONCATENATE("          ", "6241", " - ", "OFFICE EXPENSE")</f>
        <v xml:space="preserve">          6241 - OFFICE EXPENSE</v>
      </c>
      <c r="C64" s="11"/>
      <c r="D64" s="6">
        <v>134.30000000000001</v>
      </c>
      <c r="E64" s="2"/>
      <c r="F64" s="7">
        <f t="shared" si="44"/>
        <v>1.4529689738652751E-3</v>
      </c>
      <c r="G64" s="2"/>
      <c r="H64" s="6">
        <v>173.84</v>
      </c>
      <c r="I64" s="2"/>
      <c r="J64" s="7">
        <f t="shared" si="45"/>
        <v>2.1513762484052477E-3</v>
      </c>
      <c r="K64" s="2"/>
      <c r="L64" s="6">
        <f t="shared" si="46"/>
        <v>-39.539999999999992</v>
      </c>
      <c r="M64" s="2"/>
      <c r="N64" s="7">
        <f t="shared" si="47"/>
        <v>-0.2274505292222733</v>
      </c>
      <c r="O64" s="11"/>
      <c r="P64" s="6">
        <v>1007.25</v>
      </c>
      <c r="Q64" s="2"/>
      <c r="R64" s="7">
        <f t="shared" si="48"/>
        <v>2.4267469361551972E-3</v>
      </c>
      <c r="S64" s="2"/>
      <c r="T64" s="6">
        <v>1775.84</v>
      </c>
      <c r="U64" s="2"/>
      <c r="V64" s="7">
        <f t="shared" si="49"/>
        <v>4.5911674061240781E-3</v>
      </c>
      <c r="W64" s="2"/>
      <c r="X64" s="6">
        <f t="shared" si="50"/>
        <v>-768.58999999999992</v>
      </c>
      <c r="Y64" s="2"/>
      <c r="Z64" s="7">
        <f t="shared" si="51"/>
        <v>-0.43280363095774393</v>
      </c>
    </row>
    <row r="65" spans="1:26" s="24" customFormat="1" hidden="1" outlineLevel="2" x14ac:dyDescent="0.25">
      <c r="A65" s="26"/>
      <c r="B65" s="11" t="str">
        <f>CONCATENATE("          ", "6243", " - ", "PAPER SUPPLIES")</f>
        <v xml:space="preserve">          6243 - PAPER SUPPLIES</v>
      </c>
      <c r="C65" s="11"/>
      <c r="D65" s="6">
        <v>44.56</v>
      </c>
      <c r="E65" s="2"/>
      <c r="F65" s="7">
        <f t="shared" si="44"/>
        <v>4.8208709959372044E-4</v>
      </c>
      <c r="G65" s="2"/>
      <c r="H65" s="6">
        <v>986.15</v>
      </c>
      <c r="I65" s="2"/>
      <c r="J65" s="7">
        <f t="shared" si="45"/>
        <v>1.2204208970115251E-2</v>
      </c>
      <c r="K65" s="2"/>
      <c r="L65" s="6">
        <f t="shared" si="46"/>
        <v>-941.58999999999992</v>
      </c>
      <c r="M65" s="2"/>
      <c r="N65" s="7">
        <f t="shared" si="47"/>
        <v>-0.95481417634234134</v>
      </c>
      <c r="O65" s="11"/>
      <c r="P65" s="6">
        <v>1636.54</v>
      </c>
      <c r="Q65" s="2"/>
      <c r="R65" s="7">
        <f t="shared" si="48"/>
        <v>3.9428825325345512E-3</v>
      </c>
      <c r="S65" s="2"/>
      <c r="T65" s="6">
        <v>3480.27</v>
      </c>
      <c r="U65" s="2"/>
      <c r="V65" s="7">
        <f t="shared" si="49"/>
        <v>8.9977149903771991E-3</v>
      </c>
      <c r="W65" s="2"/>
      <c r="X65" s="6">
        <f t="shared" si="50"/>
        <v>-1843.73</v>
      </c>
      <c r="Y65" s="2"/>
      <c r="Z65" s="7">
        <f t="shared" si="51"/>
        <v>-0.52976636870127891</v>
      </c>
    </row>
    <row r="66" spans="1:26" s="24" customFormat="1" hidden="1" outlineLevel="2" x14ac:dyDescent="0.25">
      <c r="A66" s="26"/>
      <c r="B66" s="11" t="str">
        <f>CONCATENATE("          ", "6247", " - ", "STORE SUPPLIES")</f>
        <v xml:space="preserve">          6247 - STORE SUPPLIES</v>
      </c>
      <c r="C66" s="11"/>
      <c r="D66" s="6">
        <v>602.98</v>
      </c>
      <c r="E66" s="2"/>
      <c r="F66" s="7">
        <f t="shared" si="44"/>
        <v>6.5235385842240022E-3</v>
      </c>
      <c r="G66" s="2"/>
      <c r="H66" s="6">
        <v>541.58000000000004</v>
      </c>
      <c r="I66" s="2"/>
      <c r="J66" s="7">
        <f t="shared" si="45"/>
        <v>6.7023835055874037E-3</v>
      </c>
      <c r="K66" s="2"/>
      <c r="L66" s="6">
        <f t="shared" si="46"/>
        <v>61.399999999999977</v>
      </c>
      <c r="M66" s="2"/>
      <c r="N66" s="7">
        <f t="shared" si="47"/>
        <v>0.11337198567155356</v>
      </c>
      <c r="O66" s="11"/>
      <c r="P66" s="6">
        <v>6597.95</v>
      </c>
      <c r="Q66" s="2"/>
      <c r="R66" s="7">
        <f t="shared" si="48"/>
        <v>1.589630672365866E-2</v>
      </c>
      <c r="S66" s="2"/>
      <c r="T66" s="6">
        <v>2792.64</v>
      </c>
      <c r="U66" s="2"/>
      <c r="V66" s="7">
        <f t="shared" si="49"/>
        <v>7.2199509781502528E-3</v>
      </c>
      <c r="W66" s="2"/>
      <c r="X66" s="6">
        <f t="shared" si="50"/>
        <v>3805.31</v>
      </c>
      <c r="Y66" s="2"/>
      <c r="Z66" s="7">
        <f t="shared" si="51"/>
        <v>1.3626210324280967</v>
      </c>
    </row>
    <row r="67" spans="1:26" s="24" customFormat="1" hidden="1" outlineLevel="2" x14ac:dyDescent="0.25">
      <c r="A67" s="26"/>
      <c r="B67" s="11" t="str">
        <f>CONCATENATE("          ", "6248", " - ", "UNIFORMS")</f>
        <v xml:space="preserve">          6248 - UNIFORMS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/>
      <c r="Q67" s="2"/>
      <c r="R67" s="7">
        <f t="shared" si="48"/>
        <v>0</v>
      </c>
      <c r="S67" s="2"/>
      <c r="T67" s="6">
        <v>187.87</v>
      </c>
      <c r="U67" s="2"/>
      <c r="V67" s="7">
        <f t="shared" si="49"/>
        <v>4.8570964759692912E-4</v>
      </c>
      <c r="W67" s="2"/>
      <c r="X67" s="6">
        <f t="shared" si="50"/>
        <v>-187.87</v>
      </c>
      <c r="Y67" s="2"/>
      <c r="Z67" s="7">
        <f t="shared" si="51"/>
        <v>-1</v>
      </c>
    </row>
    <row r="68" spans="1:26" s="25" customFormat="1" outlineLevel="1" collapsed="1" x14ac:dyDescent="0.25">
      <c r="A68" s="27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SUM(OSRRefD22_13x_0)</f>
        <v>36</v>
      </c>
      <c r="E68" s="1"/>
      <c r="F68" s="5">
        <f t="shared" ref="F68:F71" si="52">IF(D$12=0,0,D68/D$12)</f>
        <v>3.89477908109828E-4</v>
      </c>
      <c r="G68" s="1"/>
      <c r="H68" s="1">
        <f>SUM(OSRRefH22_13x_0)</f>
        <v>36</v>
      </c>
      <c r="I68" s="1"/>
      <c r="J68" s="5">
        <f t="shared" ref="J68:J71" si="53">IF(H$12=0,0,H68/H$12)</f>
        <v>4.4552200266100391E-4</v>
      </c>
      <c r="K68" s="1"/>
      <c r="L68" s="1">
        <f t="shared" ref="L68:L71" si="54">+D68-H68</f>
        <v>0</v>
      </c>
      <c r="M68" s="1"/>
      <c r="N68" s="5">
        <f t="shared" ref="N68:N71" si="55">IF(H68=0,0,L68/H68)</f>
        <v>0</v>
      </c>
      <c r="O68" s="13"/>
      <c r="P68" s="1">
        <f>SUM(OSRRefP22_13x_0)</f>
        <v>195</v>
      </c>
      <c r="Q68" s="1"/>
      <c r="R68" s="5">
        <f t="shared" ref="R68:R71" si="56">IF(P$12=0,0,P68/P$12)</f>
        <v>4.6980953343287514E-4</v>
      </c>
      <c r="S68" s="1"/>
      <c r="T68" s="1">
        <f>SUM(OSRRefT22_13x_0)</f>
        <v>180</v>
      </c>
      <c r="U68" s="1"/>
      <c r="V68" s="5">
        <f t="shared" ref="V68:V71" si="57">IF(T$12=0,0,T68/T$12)</f>
        <v>4.653629454806368E-4</v>
      </c>
      <c r="W68" s="1"/>
      <c r="X68" s="1">
        <f t="shared" ref="X68:X71" si="58">+P68-T68</f>
        <v>15</v>
      </c>
      <c r="Y68" s="1"/>
      <c r="Z68" s="5">
        <f t="shared" ref="Z68:Z71" si="59">IF(T68=0,0,X68/T68)</f>
        <v>8.3333333333333329E-2</v>
      </c>
    </row>
    <row r="69" spans="1:26" s="24" customFormat="1" hidden="1" outlineLevel="2" x14ac:dyDescent="0.25">
      <c r="A69" s="26"/>
      <c r="B69" s="11" t="str">
        <f>CONCATENATE("          ", "6309", " - ", "TELEPHONE")</f>
        <v xml:space="preserve">          6309 - TELEPHONE</v>
      </c>
      <c r="C69" s="11"/>
      <c r="D69" s="6">
        <v>36</v>
      </c>
      <c r="E69" s="2"/>
      <c r="F69" s="7">
        <f t="shared" si="52"/>
        <v>3.89477908109828E-4</v>
      </c>
      <c r="G69" s="2"/>
      <c r="H69" s="6">
        <v>36</v>
      </c>
      <c r="I69" s="2"/>
      <c r="J69" s="7">
        <f t="shared" si="53"/>
        <v>4.4552200266100391E-4</v>
      </c>
      <c r="K69" s="2"/>
      <c r="L69" s="6">
        <f t="shared" si="54"/>
        <v>0</v>
      </c>
      <c r="M69" s="2"/>
      <c r="N69" s="7">
        <f t="shared" si="55"/>
        <v>0</v>
      </c>
      <c r="O69" s="11"/>
      <c r="P69" s="6">
        <v>195</v>
      </c>
      <c r="Q69" s="2"/>
      <c r="R69" s="7">
        <f t="shared" si="56"/>
        <v>4.6980953343287514E-4</v>
      </c>
      <c r="S69" s="2"/>
      <c r="T69" s="6">
        <v>180</v>
      </c>
      <c r="U69" s="2"/>
      <c r="V69" s="7">
        <f t="shared" si="57"/>
        <v>4.653629454806368E-4</v>
      </c>
      <c r="W69" s="2"/>
      <c r="X69" s="6">
        <f t="shared" si="58"/>
        <v>15</v>
      </c>
      <c r="Y69" s="2"/>
      <c r="Z69" s="7">
        <f t="shared" si="59"/>
        <v>8.3333333333333329E-2</v>
      </c>
    </row>
    <row r="70" spans="1:26" s="25" customFormat="1" outlineLevel="1" collapsed="1" x14ac:dyDescent="0.25">
      <c r="A70" s="27"/>
      <c r="B70" s="13" t="str">
        <f>CONCATENATE("     ","Utilities                                         ")</f>
        <v xml:space="preserve">     Utilities                                         </v>
      </c>
      <c r="C70" s="13"/>
      <c r="D70" s="1">
        <f>SUM(OSRRefD22_14x_0)</f>
        <v>182</v>
      </c>
      <c r="E70" s="1"/>
      <c r="F70" s="5">
        <f t="shared" si="52"/>
        <v>1.9690272021107972E-3</v>
      </c>
      <c r="G70" s="1"/>
      <c r="H70" s="1">
        <f>SUM(OSRRefH22_14x_0)</f>
        <v>182</v>
      </c>
      <c r="I70" s="1"/>
      <c r="J70" s="5">
        <f t="shared" si="53"/>
        <v>2.2523612356750754E-3</v>
      </c>
      <c r="K70" s="1"/>
      <c r="L70" s="1">
        <f t="shared" si="54"/>
        <v>0</v>
      </c>
      <c r="M70" s="1"/>
      <c r="N70" s="5">
        <f t="shared" si="55"/>
        <v>0</v>
      </c>
      <c r="O70" s="13"/>
      <c r="P70" s="1">
        <f>SUM(OSRRefP22_14x_0)</f>
        <v>728</v>
      </c>
      <c r="Q70" s="1"/>
      <c r="R70" s="5">
        <f t="shared" si="56"/>
        <v>1.7539555914827339E-3</v>
      </c>
      <c r="S70" s="1"/>
      <c r="T70" s="1">
        <f>SUM(OSRRefT22_14x_0)</f>
        <v>584.67999999999995</v>
      </c>
      <c r="U70" s="1"/>
      <c r="V70" s="5">
        <f t="shared" si="57"/>
        <v>1.5116022609089929E-3</v>
      </c>
      <c r="W70" s="1"/>
      <c r="X70" s="1">
        <f t="shared" si="58"/>
        <v>143.32000000000005</v>
      </c>
      <c r="Y70" s="1"/>
      <c r="Z70" s="5">
        <f t="shared" si="59"/>
        <v>0.24512553875624285</v>
      </c>
    </row>
    <row r="71" spans="1:26" s="24" customFormat="1" hidden="1" outlineLevel="2" x14ac:dyDescent="0.25">
      <c r="A71" s="26"/>
      <c r="B71" s="11" t="str">
        <f>CONCATENATE("          ", "6274", " - ", "UTILITIES")</f>
        <v xml:space="preserve">          6274 - UTILITIES</v>
      </c>
      <c r="C71" s="11"/>
      <c r="D71" s="6">
        <v>182</v>
      </c>
      <c r="E71" s="2"/>
      <c r="F71" s="7">
        <f t="shared" si="52"/>
        <v>1.9690272021107972E-3</v>
      </c>
      <c r="G71" s="2"/>
      <c r="H71" s="6">
        <v>182</v>
      </c>
      <c r="I71" s="2"/>
      <c r="J71" s="7">
        <f t="shared" si="53"/>
        <v>2.2523612356750754E-3</v>
      </c>
      <c r="K71" s="2"/>
      <c r="L71" s="6">
        <f t="shared" si="54"/>
        <v>0</v>
      </c>
      <c r="M71" s="2"/>
      <c r="N71" s="7">
        <f t="shared" si="55"/>
        <v>0</v>
      </c>
      <c r="O71" s="11"/>
      <c r="P71" s="6">
        <v>728</v>
      </c>
      <c r="Q71" s="2"/>
      <c r="R71" s="7">
        <f t="shared" si="56"/>
        <v>1.7539555914827339E-3</v>
      </c>
      <c r="S71" s="2"/>
      <c r="T71" s="6">
        <v>584.67999999999995</v>
      </c>
      <c r="U71" s="2"/>
      <c r="V71" s="7">
        <f t="shared" si="57"/>
        <v>1.5116022609089929E-3</v>
      </c>
      <c r="W71" s="2"/>
      <c r="X71" s="6">
        <f t="shared" si="58"/>
        <v>143.32000000000005</v>
      </c>
      <c r="Y71" s="2"/>
      <c r="Z71" s="7">
        <f t="shared" si="59"/>
        <v>0.24512553875624285</v>
      </c>
    </row>
    <row r="72" spans="1:26" s="53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x14ac:dyDescent="0.25">
      <c r="A73" s="10"/>
      <c r="B73" s="28" t="s">
        <v>0</v>
      </c>
      <c r="C73" s="10"/>
      <c r="D73" s="4">
        <f>SUM(0)</f>
        <v>0</v>
      </c>
      <c r="E73" s="4"/>
      <c r="F73" s="12">
        <f>IF(D$12=0,0,D73/D$12)</f>
        <v>0</v>
      </c>
      <c r="G73" s="4"/>
      <c r="H73" s="4">
        <f>SUM(0)</f>
        <v>0</v>
      </c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>
        <f>SUM(0)</f>
        <v>0</v>
      </c>
      <c r="Q73" s="4"/>
      <c r="R73" s="12">
        <f>IF(P$12=0,0,P73/P$12)</f>
        <v>0</v>
      </c>
      <c r="S73" s="4"/>
      <c r="T73" s="4">
        <f>SUM(0)</f>
        <v>0</v>
      </c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9" t="s">
        <v>3</v>
      </c>
      <c r="C75" s="29"/>
      <c r="D75" s="21">
        <f>+D20-D22+D73</f>
        <v>16950.380000000016</v>
      </c>
      <c r="E75" s="14"/>
      <c r="F75" s="20">
        <f>IF(D$12=0,0,D75/D$12)</f>
        <v>0.1833832928907409</v>
      </c>
      <c r="G75" s="14"/>
      <c r="H75" s="21">
        <f>+H20-H22+H73</f>
        <v>15094.779999999995</v>
      </c>
      <c r="I75" s="14"/>
      <c r="J75" s="20">
        <f>IF(H$12=0,0,H75/H$12)</f>
        <v>0.18680712820353518</v>
      </c>
      <c r="K75" s="15"/>
      <c r="L75" s="21">
        <f>+D75-H75</f>
        <v>1855.6000000000204</v>
      </c>
      <c r="M75" s="15"/>
      <c r="N75" s="20">
        <f>IF(H75=0,0,L75/H75)</f>
        <v>0.12292991351977445</v>
      </c>
      <c r="O75" s="28"/>
      <c r="P75" s="21">
        <f>+P20-P22+P73</f>
        <v>58763.23000000004</v>
      </c>
      <c r="Q75" s="14"/>
      <c r="R75" s="20">
        <f>IF(P$12=0,0,P75/P$12)</f>
        <v>0.14157705471440385</v>
      </c>
      <c r="S75" s="14"/>
      <c r="T75" s="21">
        <f>+T20-T22+T73</f>
        <v>70892.159999999974</v>
      </c>
      <c r="U75" s="14"/>
      <c r="V75" s="20">
        <f>IF(T$12=0,0,T75/T$12)</f>
        <v>0.18328102438380317</v>
      </c>
      <c r="W75" s="15"/>
      <c r="X75" s="21">
        <f>+P75-T75</f>
        <v>-12128.929999999935</v>
      </c>
      <c r="Y75" s="15"/>
      <c r="Z75" s="20">
        <f>IF(T75=0,0,X75/T75)</f>
        <v>-0.17108986381568764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1"/>
      <c r="B77" s="10" t="s">
        <v>13</v>
      </c>
      <c r="C77" s="10"/>
      <c r="D77" s="4">
        <v>11475.44</v>
      </c>
      <c r="E77" s="4"/>
      <c r="F77" s="12">
        <f>IF(D$12=0,0,D77/D$12)</f>
        <v>0.12415084349555124</v>
      </c>
      <c r="G77" s="4"/>
      <c r="H77" s="4">
        <v>12597.35</v>
      </c>
      <c r="I77" s="4"/>
      <c r="J77" s="12">
        <f>IF(H$12=0,0,H77/H$12)</f>
        <v>0.15589990556171107</v>
      </c>
      <c r="K77" s="4"/>
      <c r="L77" s="4">
        <f>+D77-H77</f>
        <v>-1121.9099999999999</v>
      </c>
      <c r="M77" s="4"/>
      <c r="N77" s="12">
        <f>IF(H77=0,0,L77/H77)</f>
        <v>-8.9059206896688572E-2</v>
      </c>
      <c r="O77" s="10"/>
      <c r="P77" s="4">
        <v>43952.24</v>
      </c>
      <c r="Q77" s="4"/>
      <c r="R77" s="12">
        <f>IF(P$12=0,0,P77/P$12)</f>
        <v>0.10589323778322948</v>
      </c>
      <c r="S77" s="4"/>
      <c r="T77" s="4">
        <v>40699.480000000003</v>
      </c>
      <c r="U77" s="4"/>
      <c r="V77" s="12">
        <f>IF(T$12=0,0,T77/T$12)</f>
        <v>0.10522238829072372</v>
      </c>
      <c r="W77" s="4"/>
      <c r="X77" s="4">
        <f>+P77-T77</f>
        <v>3252.7599999999948</v>
      </c>
      <c r="Y77" s="4"/>
      <c r="Z77" s="12">
        <f>IF(T77=0,0,X77/T77)</f>
        <v>7.9921414229370852E-2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9" t="s">
        <v>4</v>
      </c>
      <c r="C79" s="29"/>
      <c r="D79" s="31">
        <f>+D75-D77</f>
        <v>5474.9400000000151</v>
      </c>
      <c r="E79" s="14"/>
      <c r="F79" s="32">
        <f>IF(D$12=0,0,D79/D$12)</f>
        <v>5.9232449395189651E-2</v>
      </c>
      <c r="G79" s="14"/>
      <c r="H79" s="31">
        <f>+H75-H77</f>
        <v>2497.4299999999948</v>
      </c>
      <c r="I79" s="14"/>
      <c r="J79" s="32">
        <f>IF(H$12=0,0,H79/H$12)</f>
        <v>3.0907222641824134E-2</v>
      </c>
      <c r="K79" s="15"/>
      <c r="L79" s="31">
        <f>D79-H79</f>
        <v>2977.5100000000202</v>
      </c>
      <c r="M79" s="15"/>
      <c r="N79" s="32">
        <f>IF(H79=0,0,L79/H79)</f>
        <v>1.1922296120411888</v>
      </c>
      <c r="O79" s="28"/>
      <c r="P79" s="31">
        <f>+P75-P77</f>
        <v>14810.990000000042</v>
      </c>
      <c r="Q79" s="14"/>
      <c r="R79" s="32">
        <f>IF(P$12=0,0,P79/P$12)</f>
        <v>3.5683816931174353E-2</v>
      </c>
      <c r="S79" s="14"/>
      <c r="T79" s="31">
        <f>+T75-T77</f>
        <v>30192.679999999971</v>
      </c>
      <c r="U79" s="14"/>
      <c r="V79" s="32">
        <f>IF(T$12=0,0,T79/T$12)</f>
        <v>7.8058636093079448E-2</v>
      </c>
      <c r="W79" s="15"/>
      <c r="X79" s="31">
        <f>P79-T79</f>
        <v>-15381.68999999993</v>
      </c>
      <c r="Y79" s="15"/>
      <c r="Z79" s="32">
        <f>IF(T79=0,0,X79/T79)</f>
        <v>-0.50945096626069442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5</v>
      </c>
      <c r="C82" s="29"/>
      <c r="D82" s="34">
        <f>SUM(D79:D81)</f>
        <v>5474.9400000000151</v>
      </c>
      <c r="E82" s="14"/>
      <c r="F82" s="30">
        <f>IF(D$12=0,0,D82/D$12)</f>
        <v>5.9232449395189651E-2</v>
      </c>
      <c r="G82" s="14"/>
      <c r="H82" s="34">
        <f>SUM(H79:H81)</f>
        <v>2497.4299999999948</v>
      </c>
      <c r="I82" s="14"/>
      <c r="J82" s="30">
        <f>IF(H$12=0,0,H82/H$12)</f>
        <v>3.0907222641824134E-2</v>
      </c>
      <c r="K82" s="15"/>
      <c r="L82" s="34">
        <f>+D82-H82</f>
        <v>2977.5100000000202</v>
      </c>
      <c r="M82" s="15"/>
      <c r="N82" s="30">
        <f>IF(H82=0,0,L82/H82)</f>
        <v>1.1922296120411888</v>
      </c>
      <c r="O82" s="28"/>
      <c r="P82" s="34">
        <f>SUM(P79:P81)</f>
        <v>14810.990000000042</v>
      </c>
      <c r="Q82" s="14"/>
      <c r="R82" s="30">
        <f>IF(P$12=0,0,P82/P$12)</f>
        <v>3.5683816931174353E-2</v>
      </c>
      <c r="S82" s="14"/>
      <c r="T82" s="34">
        <f>SUM(T79:T81)</f>
        <v>30192.679999999971</v>
      </c>
      <c r="U82" s="14"/>
      <c r="V82" s="30">
        <f>IF(T$12=0,0,T82/T$12)</f>
        <v>7.8058636093079448E-2</v>
      </c>
      <c r="W82" s="15"/>
      <c r="X82" s="34">
        <f>+P82-T82</f>
        <v>-15381.68999999993</v>
      </c>
      <c r="Y82" s="15"/>
      <c r="Z82" s="30">
        <f>IF(T82=0,0,X82/T82)</f>
        <v>-0.50945096626069442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9">
        <v>43815.491898611108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62" t="s">
        <v>313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61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","323", " - ", "Library Copy Center")</f>
        <v>Department 323 - Library Copy Center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SUM(0)</f>
        <v>0</v>
      </c>
      <c r="E18" s="22"/>
      <c r="F18" s="33">
        <f>IF(D$12=0,0,D18/D$12)</f>
        <v>0</v>
      </c>
      <c r="G18" s="22"/>
      <c r="H18" s="22">
        <f>SUM(0)</f>
        <v>0</v>
      </c>
      <c r="I18" s="22"/>
      <c r="J18" s="33">
        <f>IF(H$12=0,0,H18/H$12)</f>
        <v>0</v>
      </c>
      <c r="K18" s="4"/>
      <c r="L18" s="22">
        <f>+D18-H18</f>
        <v>0</v>
      </c>
      <c r="M18" s="4"/>
      <c r="N18" s="33">
        <f>IF(H18=0,0,L18/H18)</f>
        <v>0</v>
      </c>
      <c r="O18" s="10"/>
      <c r="P18" s="22">
        <f>SUM(0)</f>
        <v>0</v>
      </c>
      <c r="Q18" s="22"/>
      <c r="R18" s="33">
        <f>IF(P$12=0,0,P18/P$12)</f>
        <v>0</v>
      </c>
      <c r="S18" s="22"/>
      <c r="T18" s="22">
        <f>SUM(0)</f>
        <v>0</v>
      </c>
      <c r="U18" s="22"/>
      <c r="V18" s="33">
        <f>IF(T$12=0,0,T18/T$12)</f>
        <v>0</v>
      </c>
      <c r="W18" s="4"/>
      <c r="X18" s="22">
        <f>+P18-T18</f>
        <v>0</v>
      </c>
      <c r="Y18" s="4"/>
      <c r="Z18" s="33">
        <f>IF(T18=0,0,X18/T18)</f>
        <v>0</v>
      </c>
    </row>
    <row r="19" spans="1:26" s="53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1">
        <f>+D16-D18+D20</f>
        <v>0</v>
      </c>
      <c r="E22" s="14"/>
      <c r="F22" s="20">
        <f>IF(D$12=0,0,D22/D$12)</f>
        <v>0</v>
      </c>
      <c r="G22" s="14"/>
      <c r="H22" s="21">
        <f>+H16-H18+H20</f>
        <v>0</v>
      </c>
      <c r="I22" s="14"/>
      <c r="J22" s="20">
        <f>IF(H$12=0,0,H22/H$12)</f>
        <v>0</v>
      </c>
      <c r="K22" s="15"/>
      <c r="L22" s="21">
        <f>+D22-H22</f>
        <v>0</v>
      </c>
      <c r="M22" s="15"/>
      <c r="N22" s="20">
        <f>IF(H22=0,0,L22/H22)</f>
        <v>0</v>
      </c>
      <c r="O22" s="28"/>
      <c r="P22" s="21">
        <f>+P16-P18+P20</f>
        <v>0</v>
      </c>
      <c r="Q22" s="14"/>
      <c r="R22" s="20">
        <f>IF(P$12=0,0,P22/P$12)</f>
        <v>0</v>
      </c>
      <c r="S22" s="14"/>
      <c r="T22" s="21">
        <f>+T16-T18+T20</f>
        <v>0</v>
      </c>
      <c r="U22" s="14"/>
      <c r="V22" s="20">
        <f>IF(T$12=0,0,T22/T$12)</f>
        <v>0</v>
      </c>
      <c r="W22" s="15"/>
      <c r="X22" s="21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1">
        <f>+D22-D24</f>
        <v>0</v>
      </c>
      <c r="E26" s="14"/>
      <c r="F26" s="32">
        <f>IF(D$12=0,0,D26/D$12)</f>
        <v>0</v>
      </c>
      <c r="G26" s="14"/>
      <c r="H26" s="31">
        <f>+H22-H24</f>
        <v>0</v>
      </c>
      <c r="I26" s="14"/>
      <c r="J26" s="32">
        <f>IF(H$12=0,0,H26/H$12)</f>
        <v>0</v>
      </c>
      <c r="K26" s="15"/>
      <c r="L26" s="31">
        <f>D26-H26</f>
        <v>0</v>
      </c>
      <c r="M26" s="15"/>
      <c r="N26" s="32">
        <f>IF(H26=0,0,L26/H26)</f>
        <v>0</v>
      </c>
      <c r="O26" s="28"/>
      <c r="P26" s="31">
        <f>+P22-P24</f>
        <v>0</v>
      </c>
      <c r="Q26" s="14"/>
      <c r="R26" s="32">
        <f>IF(P$12=0,0,P26/P$12)</f>
        <v>0</v>
      </c>
      <c r="S26" s="14"/>
      <c r="T26" s="31">
        <f>+T22-T24</f>
        <v>0</v>
      </c>
      <c r="U26" s="14"/>
      <c r="V26" s="32">
        <f>IF(T$12=0,0,T26/T$12)</f>
        <v>0</v>
      </c>
      <c r="W26" s="15"/>
      <c r="X26" s="31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9" t="s">
        <v>5</v>
      </c>
      <c r="C29" s="29"/>
      <c r="D29" s="34">
        <f>SUM(D26:D28)</f>
        <v>0</v>
      </c>
      <c r="E29" s="14"/>
      <c r="F29" s="30">
        <f>IF(D$12=0,0,D29/D$12)</f>
        <v>0</v>
      </c>
      <c r="G29" s="14"/>
      <c r="H29" s="34">
        <f>SUM(H26:H28)</f>
        <v>0</v>
      </c>
      <c r="I29" s="14"/>
      <c r="J29" s="30">
        <f>IF(H$12=0,0,H29/H$12)</f>
        <v>0</v>
      </c>
      <c r="K29" s="15"/>
      <c r="L29" s="34">
        <f>+D29-H29</f>
        <v>0</v>
      </c>
      <c r="M29" s="15"/>
      <c r="N29" s="30">
        <f>IF(H29=0,0,L29/H29)</f>
        <v>0</v>
      </c>
      <c r="O29" s="28"/>
      <c r="P29" s="34">
        <f>SUM(P26:P28)</f>
        <v>0</v>
      </c>
      <c r="Q29" s="14"/>
      <c r="R29" s="30">
        <f>IF(P$12=0,0,P29/P$12)</f>
        <v>0</v>
      </c>
      <c r="S29" s="14"/>
      <c r="T29" s="34">
        <f>SUM(T26:T28)</f>
        <v>0</v>
      </c>
      <c r="U29" s="14"/>
      <c r="V29" s="30">
        <f>IF(T$12=0,0,T29/T$12)</f>
        <v>0</v>
      </c>
      <c r="W29" s="15"/>
      <c r="X29" s="34">
        <f>+P29-T29</f>
        <v>0</v>
      </c>
      <c r="Y29" s="15"/>
      <c r="Z29" s="30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3"/>
      <c r="K30" s="18"/>
      <c r="L30" s="18"/>
      <c r="M30" s="18"/>
      <c r="P30" s="18"/>
      <c r="Q30" s="18"/>
      <c r="R30" s="43"/>
      <c r="S30" s="18"/>
      <c r="T30" s="18"/>
      <c r="U30" s="18"/>
      <c r="V30" s="43"/>
      <c r="W30" s="18"/>
      <c r="X30" s="18"/>
    </row>
    <row r="31" spans="1:26" x14ac:dyDescent="0.25">
      <c r="A31" s="9"/>
      <c r="B31" s="59">
        <v>43815.491912847225</v>
      </c>
      <c r="D31" s="18"/>
      <c r="E31" s="18"/>
      <c r="G31" s="18"/>
      <c r="H31" s="18"/>
      <c r="I31" s="18"/>
      <c r="J31" s="43"/>
      <c r="K31" s="18"/>
      <c r="L31" s="18"/>
      <c r="M31" s="18"/>
      <c r="P31" s="18"/>
      <c r="Q31" s="18"/>
      <c r="R31" s="43"/>
      <c r="S31" s="18"/>
      <c r="T31" s="18"/>
      <c r="U31" s="18"/>
      <c r="V31" s="43"/>
      <c r="W31" s="18"/>
      <c r="X31" s="18"/>
    </row>
    <row r="32" spans="1:26" x14ac:dyDescent="0.25">
      <c r="A32" s="9"/>
      <c r="B32" s="62" t="s">
        <v>313</v>
      </c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1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","325", " - ", "Outpost C-Store")</f>
        <v>Department 325 - Outpost C-Store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77434.09</v>
      </c>
      <c r="E12" s="4"/>
      <c r="F12" s="12"/>
      <c r="G12" s="4"/>
      <c r="H12" s="4">
        <f>SUM(OSRRefH13x_0)</f>
        <v>61038.229999999996</v>
      </c>
      <c r="I12" s="4"/>
      <c r="J12" s="12"/>
      <c r="K12" s="4"/>
      <c r="L12" s="4">
        <f t="shared" ref="L12:L14" si="0">+D12-H12</f>
        <v>16395.86</v>
      </c>
      <c r="M12" s="4"/>
      <c r="N12" s="12">
        <f t="shared" ref="N12:N14" si="1">IF(H12=0,0,L12/H12)</f>
        <v>0.26861624264006345</v>
      </c>
      <c r="O12" s="10"/>
      <c r="P12" s="4">
        <f>SUM(OSRRefP13x_0)</f>
        <v>353511.95999999996</v>
      </c>
      <c r="Q12" s="4"/>
      <c r="R12" s="12"/>
      <c r="S12" s="4"/>
      <c r="T12" s="4">
        <f>SUM(OSRRefT13x_0)</f>
        <v>320022.53000000003</v>
      </c>
      <c r="U12" s="4"/>
      <c r="V12" s="12"/>
      <c r="W12" s="4"/>
      <c r="X12" s="4">
        <f t="shared" ref="X12:X14" si="2">+P12-T12</f>
        <v>33489.429999999935</v>
      </c>
      <c r="Y12" s="4"/>
      <c r="Z12" s="12">
        <f t="shared" ref="Z12:Z14" si="3">IF(T12=0,0,X12/T12)</f>
        <v>0.10464710094004923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--11990.47</f>
        <v>11990.47</v>
      </c>
      <c r="E13" s="2"/>
      <c r="F13" s="19"/>
      <c r="G13" s="2"/>
      <c r="H13" s="2">
        <f>--12281.09</f>
        <v>12281.09</v>
      </c>
      <c r="I13" s="2"/>
      <c r="J13" s="19"/>
      <c r="K13" s="2"/>
      <c r="L13" s="2">
        <f t="shared" si="0"/>
        <v>-290.6200000000008</v>
      </c>
      <c r="M13" s="2"/>
      <c r="N13" s="19">
        <f t="shared" si="1"/>
        <v>-2.3664023307377505E-2</v>
      </c>
      <c r="O13" s="11"/>
      <c r="P13" s="2">
        <f>--62615.55</f>
        <v>62615.55</v>
      </c>
      <c r="Q13" s="2"/>
      <c r="R13" s="19"/>
      <c r="S13" s="2"/>
      <c r="T13" s="2">
        <f>--69138.15</f>
        <v>69138.149999999994</v>
      </c>
      <c r="U13" s="2"/>
      <c r="V13" s="19"/>
      <c r="W13" s="2"/>
      <c r="X13" s="2">
        <f t="shared" si="2"/>
        <v>-6522.5999999999913</v>
      </c>
      <c r="Y13" s="2"/>
      <c r="Z13" s="19">
        <f t="shared" si="3"/>
        <v>-9.4341546599091705E-2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>--65443.62</f>
        <v>65443.62</v>
      </c>
      <c r="E14" s="2"/>
      <c r="F14" s="19"/>
      <c r="G14" s="2"/>
      <c r="H14" s="2">
        <f>--48757.14</f>
        <v>48757.14</v>
      </c>
      <c r="I14" s="2"/>
      <c r="J14" s="19"/>
      <c r="K14" s="2"/>
      <c r="L14" s="2">
        <f t="shared" si="0"/>
        <v>16686.480000000003</v>
      </c>
      <c r="M14" s="2"/>
      <c r="N14" s="19">
        <f t="shared" si="1"/>
        <v>0.34223664472526494</v>
      </c>
      <c r="O14" s="11"/>
      <c r="P14" s="2">
        <f>--290896.41</f>
        <v>290896.40999999997</v>
      </c>
      <c r="Q14" s="2"/>
      <c r="R14" s="19"/>
      <c r="S14" s="2"/>
      <c r="T14" s="2">
        <f>--250884.38</f>
        <v>250884.38</v>
      </c>
      <c r="U14" s="2"/>
      <c r="V14" s="19"/>
      <c r="W14" s="2"/>
      <c r="X14" s="2">
        <f t="shared" si="2"/>
        <v>40012.02999999997</v>
      </c>
      <c r="Y14" s="2"/>
      <c r="Z14" s="19">
        <f t="shared" si="3"/>
        <v>0.15948394236420765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37610.43</v>
      </c>
      <c r="E16" s="4"/>
      <c r="F16" s="12">
        <f t="shared" ref="F16:F18" si="4">IF(D$12=0,0,D16/D$12)</f>
        <v>0.48570894292165118</v>
      </c>
      <c r="G16" s="4"/>
      <c r="H16" s="4">
        <f>SUM(OSRRefH16x_0)</f>
        <v>27698.09</v>
      </c>
      <c r="I16" s="4"/>
      <c r="J16" s="12">
        <f t="shared" ref="J16:J18" si="5">IF(H$12=0,0,H16/H$12)</f>
        <v>0.45378265392033817</v>
      </c>
      <c r="K16" s="4"/>
      <c r="L16" s="4">
        <f t="shared" ref="L16:L18" si="6">+D16-H16</f>
        <v>9912.34</v>
      </c>
      <c r="M16" s="4"/>
      <c r="N16" s="12">
        <f t="shared" ref="N16:N18" si="7">IF(H16=0,0,L16/H16)</f>
        <v>0.35787088568200914</v>
      </c>
      <c r="O16" s="10"/>
      <c r="P16" s="4">
        <f>SUM(OSRRefP16x_0)</f>
        <v>159252.60999999999</v>
      </c>
      <c r="Q16" s="4"/>
      <c r="R16" s="12">
        <f t="shared" ref="R16:R18" si="8">IF(P$12=0,0,P16/P$12)</f>
        <v>0.45048719143759663</v>
      </c>
      <c r="S16" s="4"/>
      <c r="T16" s="4">
        <f>SUM(OSRRefT16x_0)</f>
        <v>148807.17000000001</v>
      </c>
      <c r="U16" s="4"/>
      <c r="V16" s="12">
        <f t="shared" ref="V16:V18" si="9">IF(T$12=0,0,T16/T$12)</f>
        <v>0.46498966807118236</v>
      </c>
      <c r="W16" s="4"/>
      <c r="X16" s="4">
        <f t="shared" ref="X16:X18" si="10">+P16-T16</f>
        <v>10445.439999999973</v>
      </c>
      <c r="Y16" s="4"/>
      <c r="Z16" s="12">
        <f t="shared" ref="Z16:Z18" si="11">IF(T16=0,0,X16/T16)</f>
        <v>7.0194467108002742E-2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35873.279999999999</v>
      </c>
      <c r="E17" s="2"/>
      <c r="F17" s="19">
        <f t="shared" si="4"/>
        <v>0.46327502525050662</v>
      </c>
      <c r="G17" s="2"/>
      <c r="H17" s="2">
        <v>26482.05</v>
      </c>
      <c r="I17" s="2"/>
      <c r="J17" s="19">
        <f t="shared" si="5"/>
        <v>0.43386005786865051</v>
      </c>
      <c r="K17" s="2"/>
      <c r="L17" s="2">
        <f t="shared" si="6"/>
        <v>9391.23</v>
      </c>
      <c r="M17" s="2"/>
      <c r="N17" s="19">
        <f t="shared" si="7"/>
        <v>0.3546262468351204</v>
      </c>
      <c r="O17" s="11"/>
      <c r="P17" s="2">
        <v>169477.34</v>
      </c>
      <c r="Q17" s="2"/>
      <c r="R17" s="19">
        <f t="shared" si="8"/>
        <v>0.47941048444301576</v>
      </c>
      <c r="S17" s="2"/>
      <c r="T17" s="2">
        <v>151540.17000000001</v>
      </c>
      <c r="U17" s="2"/>
      <c r="V17" s="19">
        <f t="shared" si="9"/>
        <v>0.47352969180013671</v>
      </c>
      <c r="W17" s="2"/>
      <c r="X17" s="2">
        <f t="shared" si="10"/>
        <v>17937.169999999984</v>
      </c>
      <c r="Y17" s="2"/>
      <c r="Z17" s="19">
        <f t="shared" si="11"/>
        <v>0.11836577720613604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1737.15</v>
      </c>
      <c r="E18" s="2"/>
      <c r="F18" s="19">
        <f t="shared" si="4"/>
        <v>2.2433917671144585E-2</v>
      </c>
      <c r="G18" s="2"/>
      <c r="H18" s="2">
        <v>1216.04</v>
      </c>
      <c r="I18" s="2"/>
      <c r="J18" s="19">
        <f t="shared" si="5"/>
        <v>1.9922596051687606E-2</v>
      </c>
      <c r="K18" s="2"/>
      <c r="L18" s="2">
        <f t="shared" si="6"/>
        <v>521.11000000000013</v>
      </c>
      <c r="M18" s="2"/>
      <c r="N18" s="19">
        <f t="shared" si="7"/>
        <v>0.42853031150291121</v>
      </c>
      <c r="O18" s="11"/>
      <c r="P18" s="2">
        <v>-10224.73</v>
      </c>
      <c r="Q18" s="2"/>
      <c r="R18" s="19">
        <f t="shared" si="8"/>
        <v>-2.8923293005419112E-2</v>
      </c>
      <c r="S18" s="2"/>
      <c r="T18" s="2">
        <v>-2733</v>
      </c>
      <c r="U18" s="2"/>
      <c r="V18" s="19">
        <f t="shared" si="9"/>
        <v>-8.5400237289543334E-3</v>
      </c>
      <c r="W18" s="2"/>
      <c r="X18" s="2">
        <f t="shared" si="10"/>
        <v>-7491.73</v>
      </c>
      <c r="Y18" s="2"/>
      <c r="Z18" s="19">
        <f t="shared" si="11"/>
        <v>2.7412111233077203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39823.659999999996</v>
      </c>
      <c r="E20" s="14"/>
      <c r="F20" s="20">
        <f>IF(D$12=0,0,D20/D$12)</f>
        <v>0.51429105707834877</v>
      </c>
      <c r="G20" s="14"/>
      <c r="H20" s="21">
        <f>H12-H16</f>
        <v>33340.14</v>
      </c>
      <c r="I20" s="14"/>
      <c r="J20" s="20">
        <f>IF(H$12=0,0,H20/H$12)</f>
        <v>0.54621734607966188</v>
      </c>
      <c r="K20" s="15"/>
      <c r="L20" s="21">
        <f>+D20-H20</f>
        <v>6483.5199999999968</v>
      </c>
      <c r="M20" s="15"/>
      <c r="N20" s="20">
        <f>IF(H20=0,0,L20/H20)</f>
        <v>0.19446589006524859</v>
      </c>
      <c r="O20" s="28"/>
      <c r="P20" s="21">
        <f>P12-P16</f>
        <v>194259.34999999998</v>
      </c>
      <c r="Q20" s="14"/>
      <c r="R20" s="20">
        <f>IF(P$12=0,0,P20/P$12)</f>
        <v>0.54951280856240337</v>
      </c>
      <c r="S20" s="14"/>
      <c r="T20" s="21">
        <f>T12-T16</f>
        <v>171215.36000000002</v>
      </c>
      <c r="U20" s="14"/>
      <c r="V20" s="20">
        <f>IF(T$12=0,0,T20/T$12)</f>
        <v>0.53501033192881764</v>
      </c>
      <c r="W20" s="15"/>
      <c r="X20" s="21">
        <f>+P20-T20</f>
        <v>23043.989999999962</v>
      </c>
      <c r="Y20" s="15"/>
      <c r="Z20" s="20">
        <f>IF(T20=0,0,X20/T20)</f>
        <v>0.13459066990251317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29583.890000000003</v>
      </c>
      <c r="E22" s="22"/>
      <c r="F22" s="33">
        <f t="shared" ref="F22:F31" si="12">IF(D$12=0,0,D22/D$12)</f>
        <v>0.38205253009365775</v>
      </c>
      <c r="G22" s="22"/>
      <c r="H22" s="22">
        <f>SUM(OSRRefH22x_0)</f>
        <v>28295.409999999996</v>
      </c>
      <c r="I22" s="22"/>
      <c r="J22" s="33">
        <f t="shared" ref="J22:J31" si="13">IF(H$12=0,0,H22/H$12)</f>
        <v>0.46356865197434455</v>
      </c>
      <c r="K22" s="4"/>
      <c r="L22" s="22">
        <f t="shared" ref="L22:L31" si="14">+D22-H22</f>
        <v>1288.4800000000068</v>
      </c>
      <c r="M22" s="4"/>
      <c r="N22" s="33">
        <f t="shared" ref="N22:N31" si="15">IF(H22=0,0,L22/H22)</f>
        <v>4.5536714258602617E-2</v>
      </c>
      <c r="O22" s="10"/>
      <c r="P22" s="22">
        <f>SUM(OSRRefP22x_0)</f>
        <v>151201.94</v>
      </c>
      <c r="Q22" s="22"/>
      <c r="R22" s="33">
        <f t="shared" ref="R22:R31" si="16">IF(P$12=0,0,P22/P$12)</f>
        <v>0.42771378937221816</v>
      </c>
      <c r="S22" s="22"/>
      <c r="T22" s="22">
        <f>SUM(OSRRefT22x_0)</f>
        <v>144677.29</v>
      </c>
      <c r="U22" s="22"/>
      <c r="V22" s="33">
        <f t="shared" ref="V22:V31" si="17">IF(T$12=0,0,T22/T$12)</f>
        <v>0.45208470166147363</v>
      </c>
      <c r="W22" s="4"/>
      <c r="X22" s="22">
        <f t="shared" ref="X22:X31" si="18">+P22-T22</f>
        <v>6524.6499999999942</v>
      </c>
      <c r="Y22" s="4"/>
      <c r="Z22" s="33">
        <f t="shared" ref="Z22:Z31" si="19">IF(T22=0,0,X22/T22)</f>
        <v>4.5097955594827592E-2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3588.5899999999997</v>
      </c>
      <c r="E23" s="1"/>
      <c r="F23" s="5">
        <f t="shared" si="12"/>
        <v>4.6343800256450352E-2</v>
      </c>
      <c r="G23" s="1"/>
      <c r="H23" s="1">
        <f>SUM(OSRRefH22_0x_0)</f>
        <v>3489.5800000000004</v>
      </c>
      <c r="I23" s="1"/>
      <c r="J23" s="5">
        <f t="shared" si="13"/>
        <v>5.7170399600381609E-2</v>
      </c>
      <c r="K23" s="1"/>
      <c r="L23" s="1">
        <f t="shared" si="14"/>
        <v>99.009999999999309</v>
      </c>
      <c r="M23" s="1"/>
      <c r="N23" s="5">
        <f t="shared" si="15"/>
        <v>2.8373042027980244E-2</v>
      </c>
      <c r="O23" s="13"/>
      <c r="P23" s="1">
        <f>SUM(OSRRefP22_0x_0)</f>
        <v>19048.660000000003</v>
      </c>
      <c r="Q23" s="1"/>
      <c r="R23" s="5">
        <f t="shared" si="16"/>
        <v>5.38840609522801E-2</v>
      </c>
      <c r="S23" s="1"/>
      <c r="T23" s="1">
        <f>SUM(OSRRefT22_0x_0)</f>
        <v>17363.89</v>
      </c>
      <c r="U23" s="1"/>
      <c r="V23" s="5">
        <f t="shared" si="17"/>
        <v>5.4258336124022262E-2</v>
      </c>
      <c r="W23" s="1"/>
      <c r="X23" s="1">
        <f t="shared" si="18"/>
        <v>1684.7700000000041</v>
      </c>
      <c r="Y23" s="1"/>
      <c r="Z23" s="5">
        <f t="shared" si="19"/>
        <v>9.7027221434828489E-2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501.05</v>
      </c>
      <c r="E24" s="2"/>
      <c r="F24" s="7">
        <f t="shared" si="12"/>
        <v>6.4706642771936761E-3</v>
      </c>
      <c r="G24" s="2"/>
      <c r="H24" s="6">
        <v>285.39999999999998</v>
      </c>
      <c r="I24" s="2"/>
      <c r="J24" s="7">
        <f t="shared" si="13"/>
        <v>4.6757581273244656E-3</v>
      </c>
      <c r="K24" s="2"/>
      <c r="L24" s="6">
        <f t="shared" si="14"/>
        <v>215.65000000000003</v>
      </c>
      <c r="M24" s="2"/>
      <c r="N24" s="7">
        <f t="shared" si="15"/>
        <v>0.75560616678346204</v>
      </c>
      <c r="O24" s="11"/>
      <c r="P24" s="6">
        <v>3024.14</v>
      </c>
      <c r="Q24" s="2"/>
      <c r="R24" s="7">
        <f t="shared" si="16"/>
        <v>8.5545620578155266E-3</v>
      </c>
      <c r="S24" s="2"/>
      <c r="T24" s="6">
        <v>2251.7199999999998</v>
      </c>
      <c r="U24" s="2"/>
      <c r="V24" s="7">
        <f t="shared" si="17"/>
        <v>7.036129612499469E-3</v>
      </c>
      <c r="W24" s="2"/>
      <c r="X24" s="6">
        <f t="shared" si="18"/>
        <v>772.42000000000007</v>
      </c>
      <c r="Y24" s="2"/>
      <c r="Z24" s="7">
        <f t="shared" si="19"/>
        <v>0.34303554616026866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249.62</v>
      </c>
      <c r="E25" s="2"/>
      <c r="F25" s="7">
        <f t="shared" si="12"/>
        <v>3.2236447797087823E-3</v>
      </c>
      <c r="G25" s="2"/>
      <c r="H25" s="6">
        <v>224.98</v>
      </c>
      <c r="I25" s="2"/>
      <c r="J25" s="7">
        <f t="shared" si="13"/>
        <v>3.6858866975664267E-3</v>
      </c>
      <c r="K25" s="2"/>
      <c r="L25" s="6">
        <f t="shared" si="14"/>
        <v>24.640000000000015</v>
      </c>
      <c r="M25" s="2"/>
      <c r="N25" s="7">
        <f t="shared" si="15"/>
        <v>0.10952084629744874</v>
      </c>
      <c r="O25" s="11"/>
      <c r="P25" s="6">
        <v>791.13</v>
      </c>
      <c r="Q25" s="2"/>
      <c r="R25" s="7">
        <f t="shared" si="16"/>
        <v>2.2379157978134603E-3</v>
      </c>
      <c r="S25" s="2"/>
      <c r="T25" s="6">
        <v>1280.58</v>
      </c>
      <c r="U25" s="2"/>
      <c r="V25" s="7">
        <f t="shared" si="17"/>
        <v>4.00153076722442E-3</v>
      </c>
      <c r="W25" s="2"/>
      <c r="X25" s="6">
        <f t="shared" si="18"/>
        <v>-489.44999999999993</v>
      </c>
      <c r="Y25" s="2"/>
      <c r="Z25" s="7">
        <f t="shared" si="19"/>
        <v>-0.38220962376423179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1815.82</v>
      </c>
      <c r="E26" s="2"/>
      <c r="F26" s="7">
        <f t="shared" si="12"/>
        <v>2.3449878470838879E-2</v>
      </c>
      <c r="G26" s="2"/>
      <c r="H26" s="6">
        <v>2006.94</v>
      </c>
      <c r="I26" s="2"/>
      <c r="J26" s="7">
        <f t="shared" si="13"/>
        <v>3.2880049110205201E-2</v>
      </c>
      <c r="K26" s="2"/>
      <c r="L26" s="6">
        <f t="shared" si="14"/>
        <v>-191.12000000000012</v>
      </c>
      <c r="M26" s="2"/>
      <c r="N26" s="7">
        <f t="shared" si="15"/>
        <v>-9.5229553449530185E-2</v>
      </c>
      <c r="O26" s="11"/>
      <c r="P26" s="6">
        <v>9546.75</v>
      </c>
      <c r="Q26" s="2"/>
      <c r="R26" s="7">
        <f t="shared" si="16"/>
        <v>2.7005451244138955E-2</v>
      </c>
      <c r="S26" s="2"/>
      <c r="T26" s="6">
        <v>8765.25</v>
      </c>
      <c r="U26" s="2"/>
      <c r="V26" s="7">
        <f t="shared" si="17"/>
        <v>2.7389477859574445E-2</v>
      </c>
      <c r="W26" s="2"/>
      <c r="X26" s="6">
        <f t="shared" si="18"/>
        <v>781.5</v>
      </c>
      <c r="Y26" s="2"/>
      <c r="Z26" s="7">
        <f t="shared" si="19"/>
        <v>8.9158894498160349E-2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34.159999999999997</v>
      </c>
      <c r="E27" s="2"/>
      <c r="F27" s="7">
        <f t="shared" si="12"/>
        <v>4.4114936974141489E-4</v>
      </c>
      <c r="G27" s="2"/>
      <c r="H27" s="6">
        <v>30.33</v>
      </c>
      <c r="I27" s="2"/>
      <c r="J27" s="7">
        <f t="shared" si="13"/>
        <v>4.9690169587158735E-4</v>
      </c>
      <c r="K27" s="2"/>
      <c r="L27" s="6">
        <f t="shared" si="14"/>
        <v>3.8299999999999983</v>
      </c>
      <c r="M27" s="2"/>
      <c r="N27" s="7">
        <f t="shared" si="15"/>
        <v>0.12627761292449716</v>
      </c>
      <c r="O27" s="11"/>
      <c r="P27" s="6">
        <v>144.52000000000001</v>
      </c>
      <c r="Q27" s="2"/>
      <c r="R27" s="7">
        <f t="shared" si="16"/>
        <v>4.0881219407682849E-4</v>
      </c>
      <c r="S27" s="2"/>
      <c r="T27" s="6">
        <v>154.84</v>
      </c>
      <c r="U27" s="2"/>
      <c r="V27" s="7">
        <f t="shared" si="17"/>
        <v>4.8384093457420012E-4</v>
      </c>
      <c r="W27" s="2"/>
      <c r="X27" s="6">
        <f t="shared" si="18"/>
        <v>-10.319999999999993</v>
      </c>
      <c r="Y27" s="2"/>
      <c r="Z27" s="7">
        <f t="shared" si="19"/>
        <v>-6.6649444587961723E-2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392.49</v>
      </c>
      <c r="E28" s="2"/>
      <c r="F28" s="7">
        <f t="shared" si="12"/>
        <v>5.0686977789756432E-3</v>
      </c>
      <c r="G28" s="2"/>
      <c r="H28" s="6">
        <v>351.03</v>
      </c>
      <c r="I28" s="2"/>
      <c r="J28" s="7">
        <f t="shared" si="13"/>
        <v>5.7509858985098352E-3</v>
      </c>
      <c r="K28" s="2"/>
      <c r="L28" s="6">
        <f t="shared" si="14"/>
        <v>41.460000000000036</v>
      </c>
      <c r="M28" s="2"/>
      <c r="N28" s="7">
        <f t="shared" si="15"/>
        <v>0.11810956328518941</v>
      </c>
      <c r="O28" s="11"/>
      <c r="P28" s="6">
        <v>2243.0700000000002</v>
      </c>
      <c r="Q28" s="2"/>
      <c r="R28" s="7">
        <f t="shared" si="16"/>
        <v>6.3451035716019354E-3</v>
      </c>
      <c r="S28" s="2"/>
      <c r="T28" s="6">
        <v>2318.5500000000002</v>
      </c>
      <c r="U28" s="2"/>
      <c r="V28" s="7">
        <f t="shared" si="17"/>
        <v>7.2449586596293703E-3</v>
      </c>
      <c r="W28" s="2"/>
      <c r="X28" s="6">
        <f t="shared" si="18"/>
        <v>-75.480000000000018</v>
      </c>
      <c r="Y28" s="2"/>
      <c r="Z28" s="7">
        <f t="shared" si="19"/>
        <v>-3.255482952707512E-2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280.8</v>
      </c>
      <c r="E29" s="2"/>
      <c r="F29" s="7">
        <f t="shared" si="12"/>
        <v>3.626309807476268E-3</v>
      </c>
      <c r="G29" s="2"/>
      <c r="H29" s="6">
        <v>272.82</v>
      </c>
      <c r="I29" s="2"/>
      <c r="J29" s="7">
        <f t="shared" si="13"/>
        <v>4.4696577866035767E-3</v>
      </c>
      <c r="K29" s="2"/>
      <c r="L29" s="6">
        <f t="shared" si="14"/>
        <v>7.9800000000000182</v>
      </c>
      <c r="M29" s="2"/>
      <c r="N29" s="7">
        <f t="shared" si="15"/>
        <v>2.9250054981306423E-2</v>
      </c>
      <c r="O29" s="11"/>
      <c r="P29" s="6">
        <v>1544.4</v>
      </c>
      <c r="Q29" s="2"/>
      <c r="R29" s="7">
        <f t="shared" si="16"/>
        <v>4.368734794715291E-3</v>
      </c>
      <c r="S29" s="2"/>
      <c r="T29" s="6">
        <v>1500.51</v>
      </c>
      <c r="U29" s="2"/>
      <c r="V29" s="7">
        <f t="shared" si="17"/>
        <v>4.6887636317355531E-3</v>
      </c>
      <c r="W29" s="2"/>
      <c r="X29" s="6">
        <f t="shared" si="18"/>
        <v>43.8900000000001</v>
      </c>
      <c r="Y29" s="2"/>
      <c r="Z29" s="7">
        <f t="shared" si="19"/>
        <v>2.9250054981306423E-2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177.12</v>
      </c>
      <c r="E30" s="2"/>
      <c r="F30" s="7">
        <f t="shared" si="12"/>
        <v>2.2873646477927232E-3</v>
      </c>
      <c r="G30" s="2"/>
      <c r="H30" s="6">
        <v>172.08</v>
      </c>
      <c r="I30" s="2"/>
      <c r="J30" s="7">
        <f t="shared" si="13"/>
        <v>2.8192167433426563E-3</v>
      </c>
      <c r="K30" s="2"/>
      <c r="L30" s="6">
        <f t="shared" si="14"/>
        <v>5.039999999999992</v>
      </c>
      <c r="M30" s="2"/>
      <c r="N30" s="7">
        <f t="shared" si="15"/>
        <v>2.9288702928870244E-2</v>
      </c>
      <c r="O30" s="11"/>
      <c r="P30" s="6">
        <v>974.16</v>
      </c>
      <c r="Q30" s="2"/>
      <c r="R30" s="7">
        <f t="shared" si="16"/>
        <v>2.7556634858973373E-3</v>
      </c>
      <c r="S30" s="2"/>
      <c r="T30" s="6">
        <v>946.44</v>
      </c>
      <c r="U30" s="2"/>
      <c r="V30" s="7">
        <f t="shared" si="17"/>
        <v>2.9574167793748772E-3</v>
      </c>
      <c r="W30" s="2"/>
      <c r="X30" s="6">
        <f t="shared" si="18"/>
        <v>27.719999999999914</v>
      </c>
      <c r="Y30" s="2"/>
      <c r="Z30" s="7">
        <f t="shared" si="19"/>
        <v>2.9288702928870199E-2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137.53</v>
      </c>
      <c r="E31" s="2"/>
      <c r="F31" s="7">
        <f t="shared" si="12"/>
        <v>1.7760911247229742E-3</v>
      </c>
      <c r="G31" s="2"/>
      <c r="H31" s="6">
        <v>146</v>
      </c>
      <c r="I31" s="2"/>
      <c r="J31" s="7">
        <f t="shared" si="13"/>
        <v>2.3919435409578554E-3</v>
      </c>
      <c r="K31" s="2"/>
      <c r="L31" s="6">
        <f t="shared" si="14"/>
        <v>-8.4699999999999989</v>
      </c>
      <c r="M31" s="2"/>
      <c r="N31" s="7">
        <f t="shared" si="15"/>
        <v>-5.801369863013698E-2</v>
      </c>
      <c r="O31" s="11"/>
      <c r="P31" s="6">
        <v>780.49</v>
      </c>
      <c r="Q31" s="2"/>
      <c r="R31" s="7">
        <f t="shared" si="16"/>
        <v>2.2078178062207572E-3</v>
      </c>
      <c r="S31" s="2"/>
      <c r="T31" s="6">
        <v>146</v>
      </c>
      <c r="U31" s="2"/>
      <c r="V31" s="7">
        <f t="shared" si="17"/>
        <v>4.5621787940992777E-4</v>
      </c>
      <c r="W31" s="2"/>
      <c r="X31" s="6">
        <f t="shared" si="18"/>
        <v>634.49</v>
      </c>
      <c r="Y31" s="2"/>
      <c r="Z31" s="7">
        <f t="shared" si="19"/>
        <v>4.3458219178082196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10549.74</v>
      </c>
      <c r="E32" s="1"/>
      <c r="F32" s="5">
        <f t="shared" ref="F32:F38" si="20">IF(D$12=0,0,D32/D$12)</f>
        <v>0.13624154426041554</v>
      </c>
      <c r="G32" s="1"/>
      <c r="H32" s="1">
        <f>SUM(OSRRefH22_1x_0)</f>
        <v>9883.57</v>
      </c>
      <c r="I32" s="1"/>
      <c r="J32" s="5">
        <f t="shared" ref="J32:J38" si="21">IF(H$12=0,0,H32/H$12)</f>
        <v>0.16192425632263582</v>
      </c>
      <c r="K32" s="1"/>
      <c r="L32" s="1">
        <f t="shared" ref="L32:L38" si="22">+D32-H32</f>
        <v>666.17000000000007</v>
      </c>
      <c r="M32" s="1"/>
      <c r="N32" s="5">
        <f t="shared" ref="N32:N38" si="23">IF(H32=0,0,L32/H32)</f>
        <v>6.7401758676267798E-2</v>
      </c>
      <c r="O32" s="13"/>
      <c r="P32" s="1">
        <f>SUM(OSRRefP22_1x_0)</f>
        <v>53170.63</v>
      </c>
      <c r="Q32" s="1"/>
      <c r="R32" s="5">
        <f t="shared" ref="R32:R38" si="24">IF(P$12=0,0,P32/P$12)</f>
        <v>0.15040687732318875</v>
      </c>
      <c r="S32" s="1"/>
      <c r="T32" s="1">
        <f>SUM(OSRRefT22_1x_0)</f>
        <v>51488.28</v>
      </c>
      <c r="U32" s="1"/>
      <c r="V32" s="5">
        <f t="shared" ref="V32:V38" si="25">IF(T$12=0,0,T32/T$12)</f>
        <v>0.16088954737030545</v>
      </c>
      <c r="W32" s="1"/>
      <c r="X32" s="1">
        <f t="shared" ref="X32:X38" si="26">+P32-T32</f>
        <v>1682.3499999999985</v>
      </c>
      <c r="Y32" s="1"/>
      <c r="Z32" s="5">
        <f t="shared" ref="Z32:Z38" si="27">IF(T32=0,0,X32/T32)</f>
        <v>3.2674426102406187E-2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3264</v>
      </c>
      <c r="E33" s="2"/>
      <c r="F33" s="7">
        <f t="shared" si="20"/>
        <v>4.2151977249296792E-2</v>
      </c>
      <c r="G33" s="2"/>
      <c r="H33" s="6">
        <v>3544.24</v>
      </c>
      <c r="I33" s="2"/>
      <c r="J33" s="7">
        <f t="shared" si="21"/>
        <v>5.8065903942496368E-2</v>
      </c>
      <c r="K33" s="2"/>
      <c r="L33" s="6">
        <f t="shared" si="22"/>
        <v>-280.23999999999978</v>
      </c>
      <c r="M33" s="2"/>
      <c r="N33" s="7">
        <f t="shared" si="23"/>
        <v>-7.9069137530189779E-2</v>
      </c>
      <c r="O33" s="11"/>
      <c r="P33" s="6">
        <v>18432</v>
      </c>
      <c r="Q33" s="2"/>
      <c r="R33" s="7">
        <f t="shared" si="24"/>
        <v>5.2139678668863147E-2</v>
      </c>
      <c r="S33" s="2"/>
      <c r="T33" s="6">
        <v>19400.05</v>
      </c>
      <c r="U33" s="2"/>
      <c r="V33" s="7">
        <f t="shared" si="25"/>
        <v>6.0620888160592933E-2</v>
      </c>
      <c r="W33" s="2"/>
      <c r="X33" s="6">
        <f t="shared" si="26"/>
        <v>-968.04999999999927</v>
      </c>
      <c r="Y33" s="2"/>
      <c r="Z33" s="7">
        <f t="shared" si="27"/>
        <v>-4.9899355929494994E-2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0"/>
        <v>0</v>
      </c>
      <c r="G34" s="2"/>
      <c r="H34" s="6"/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>
        <v>254.64</v>
      </c>
      <c r="Q34" s="2"/>
      <c r="R34" s="7">
        <f t="shared" si="24"/>
        <v>7.2031509202687236E-4</v>
      </c>
      <c r="S34" s="2"/>
      <c r="T34" s="6"/>
      <c r="U34" s="2"/>
      <c r="V34" s="7">
        <f t="shared" si="25"/>
        <v>0</v>
      </c>
      <c r="W34" s="2"/>
      <c r="X34" s="6">
        <f t="shared" si="26"/>
        <v>254.64</v>
      </c>
      <c r="Y34" s="2"/>
      <c r="Z34" s="7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2709.62</v>
      </c>
      <c r="E35" s="2"/>
      <c r="F35" s="7">
        <f t="shared" si="20"/>
        <v>3.4992598221274374E-2</v>
      </c>
      <c r="G35" s="2"/>
      <c r="H35" s="6"/>
      <c r="I35" s="2"/>
      <c r="J35" s="7">
        <f t="shared" si="21"/>
        <v>0</v>
      </c>
      <c r="K35" s="2"/>
      <c r="L35" s="6">
        <f t="shared" si="22"/>
        <v>2709.62</v>
      </c>
      <c r="M35" s="2"/>
      <c r="N35" s="7">
        <f t="shared" si="23"/>
        <v>0</v>
      </c>
      <c r="O35" s="11"/>
      <c r="P35" s="6">
        <v>11303.35</v>
      </c>
      <c r="Q35" s="2"/>
      <c r="R35" s="7">
        <f t="shared" si="24"/>
        <v>3.1974448615543306E-2</v>
      </c>
      <c r="S35" s="2"/>
      <c r="T35" s="6">
        <v>68.5</v>
      </c>
      <c r="U35" s="2"/>
      <c r="V35" s="7">
        <f t="shared" si="25"/>
        <v>2.1404742972315103E-4</v>
      </c>
      <c r="W35" s="2"/>
      <c r="X35" s="6">
        <f t="shared" si="26"/>
        <v>11234.85</v>
      </c>
      <c r="Y35" s="2"/>
      <c r="Z35" s="7">
        <f t="shared" si="27"/>
        <v>164.0124087591241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720.5</v>
      </c>
      <c r="U36" s="2"/>
      <c r="V36" s="7">
        <f t="shared" si="25"/>
        <v>2.2514039870880341E-3</v>
      </c>
      <c r="W36" s="2"/>
      <c r="X36" s="6">
        <f t="shared" si="26"/>
        <v>-720.5</v>
      </c>
      <c r="Y36" s="2"/>
      <c r="Z36" s="7">
        <f t="shared" si="27"/>
        <v>-1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4183.12</v>
      </c>
      <c r="E37" s="2"/>
      <c r="F37" s="7">
        <f t="shared" si="20"/>
        <v>5.4021684764423525E-2</v>
      </c>
      <c r="G37" s="2"/>
      <c r="H37" s="6">
        <v>5382.33</v>
      </c>
      <c r="I37" s="2"/>
      <c r="J37" s="7">
        <f t="shared" si="21"/>
        <v>8.8179653964408869E-2</v>
      </c>
      <c r="K37" s="2"/>
      <c r="L37" s="6">
        <f t="shared" si="22"/>
        <v>-1199.21</v>
      </c>
      <c r="M37" s="2"/>
      <c r="N37" s="7">
        <f t="shared" si="23"/>
        <v>-0.2228049933764745</v>
      </c>
      <c r="O37" s="11"/>
      <c r="P37" s="6">
        <v>21173.64</v>
      </c>
      <c r="Q37" s="2"/>
      <c r="R37" s="7">
        <f t="shared" si="24"/>
        <v>5.9895116419823535E-2</v>
      </c>
      <c r="S37" s="2"/>
      <c r="T37" s="6">
        <v>27930.48</v>
      </c>
      <c r="U37" s="2"/>
      <c r="V37" s="7">
        <f t="shared" si="25"/>
        <v>8.7276605181516434E-2</v>
      </c>
      <c r="W37" s="2"/>
      <c r="X37" s="6">
        <f t="shared" si="26"/>
        <v>-6756.84</v>
      </c>
      <c r="Y37" s="2"/>
      <c r="Z37" s="7">
        <f t="shared" si="27"/>
        <v>-0.24191635804325598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>
        <v>393</v>
      </c>
      <c r="E38" s="2"/>
      <c r="F38" s="7">
        <f t="shared" si="20"/>
        <v>5.0752840254208453E-3</v>
      </c>
      <c r="G38" s="2"/>
      <c r="H38" s="6">
        <v>957</v>
      </c>
      <c r="I38" s="2"/>
      <c r="J38" s="7">
        <f t="shared" si="21"/>
        <v>1.5678698415730601E-2</v>
      </c>
      <c r="K38" s="2"/>
      <c r="L38" s="6">
        <f t="shared" si="22"/>
        <v>-564</v>
      </c>
      <c r="M38" s="2"/>
      <c r="N38" s="7">
        <f t="shared" si="23"/>
        <v>-0.58934169278996862</v>
      </c>
      <c r="O38" s="11"/>
      <c r="P38" s="6">
        <v>2007</v>
      </c>
      <c r="Q38" s="2"/>
      <c r="R38" s="7">
        <f t="shared" si="24"/>
        <v>5.6773185269318755E-3</v>
      </c>
      <c r="S38" s="2"/>
      <c r="T38" s="6">
        <v>3368.75</v>
      </c>
      <c r="U38" s="2"/>
      <c r="V38" s="7">
        <f t="shared" si="25"/>
        <v>1.0526602611384892E-2</v>
      </c>
      <c r="W38" s="2"/>
      <c r="X38" s="6">
        <f t="shared" si="26"/>
        <v>-1361.75</v>
      </c>
      <c r="Y38" s="2"/>
      <c r="Z38" s="7">
        <f t="shared" si="27"/>
        <v>-0.40423005565862707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338.66</v>
      </c>
      <c r="E39" s="1"/>
      <c r="F39" s="5">
        <f t="shared" ref="F39:F47" si="28">IF(D$12=0,0,D39/D$12)</f>
        <v>4.3735259237888645E-3</v>
      </c>
      <c r="G39" s="1"/>
      <c r="H39" s="1">
        <f>SUM(OSRRefH22_2x_0)</f>
        <v>418.07</v>
      </c>
      <c r="I39" s="1"/>
      <c r="J39" s="5">
        <f t="shared" ref="J39:J47" si="29">IF(H$12=0,0,H39/H$12)</f>
        <v>6.8493139463578811E-3</v>
      </c>
      <c r="K39" s="1"/>
      <c r="L39" s="1">
        <f t="shared" ref="L39:L47" si="30">+D39-H39</f>
        <v>-79.409999999999968</v>
      </c>
      <c r="M39" s="1"/>
      <c r="N39" s="5">
        <f t="shared" ref="N39:N47" si="31">IF(H39=0,0,L39/H39)</f>
        <v>-0.18994426770636488</v>
      </c>
      <c r="O39" s="13"/>
      <c r="P39" s="1">
        <f>SUM(OSRRefP22_2x_0)</f>
        <v>639.96</v>
      </c>
      <c r="Q39" s="1"/>
      <c r="R39" s="5">
        <f t="shared" ref="R39:R47" si="32">IF(P$12=0,0,P39/P$12)</f>
        <v>1.8102923589911925E-3</v>
      </c>
      <c r="S39" s="1"/>
      <c r="T39" s="1">
        <f>SUM(OSRRefT22_2x_0)</f>
        <v>968.91</v>
      </c>
      <c r="U39" s="1"/>
      <c r="V39" s="5">
        <f t="shared" ref="V39:V47" si="33">IF(T$12=0,0,T39/T$12)</f>
        <v>3.0276305858840621E-3</v>
      </c>
      <c r="W39" s="1"/>
      <c r="X39" s="1">
        <f t="shared" ref="X39:X47" si="34">+P39-T39</f>
        <v>-328.94999999999993</v>
      </c>
      <c r="Y39" s="1"/>
      <c r="Z39" s="5">
        <f t="shared" ref="Z39:Z47" si="35">IF(T39=0,0,X39/T39)</f>
        <v>-0.33950521720283611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338.66</v>
      </c>
      <c r="E40" s="2"/>
      <c r="F40" s="7">
        <f t="shared" si="28"/>
        <v>4.3735259237888645E-3</v>
      </c>
      <c r="G40" s="2"/>
      <c r="H40" s="6">
        <v>418.07</v>
      </c>
      <c r="I40" s="2"/>
      <c r="J40" s="7">
        <f t="shared" si="29"/>
        <v>6.8493139463578811E-3</v>
      </c>
      <c r="K40" s="2"/>
      <c r="L40" s="6">
        <f t="shared" si="30"/>
        <v>-79.409999999999968</v>
      </c>
      <c r="M40" s="2"/>
      <c r="N40" s="7">
        <f t="shared" si="31"/>
        <v>-0.18994426770636488</v>
      </c>
      <c r="O40" s="11"/>
      <c r="P40" s="6">
        <v>639.96</v>
      </c>
      <c r="Q40" s="2"/>
      <c r="R40" s="7">
        <f t="shared" si="32"/>
        <v>1.8102923589911925E-3</v>
      </c>
      <c r="S40" s="2"/>
      <c r="T40" s="6">
        <v>968.91</v>
      </c>
      <c r="U40" s="2"/>
      <c r="V40" s="7">
        <f t="shared" si="33"/>
        <v>3.0276305858840621E-3</v>
      </c>
      <c r="W40" s="2"/>
      <c r="X40" s="6">
        <f t="shared" si="34"/>
        <v>-328.94999999999993</v>
      </c>
      <c r="Y40" s="2"/>
      <c r="Z40" s="7">
        <f t="shared" si="35"/>
        <v>-0.33950521720283611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-15.6</v>
      </c>
      <c r="E41" s="1"/>
      <c r="F41" s="5">
        <f t="shared" si="28"/>
        <v>-2.0146165597090376E-4</v>
      </c>
      <c r="G41" s="1"/>
      <c r="H41" s="1">
        <f>SUM(OSRRefH22_3x_0)</f>
        <v>-7.5</v>
      </c>
      <c r="I41" s="1"/>
      <c r="J41" s="5">
        <f t="shared" si="29"/>
        <v>-1.2287381203550629E-4</v>
      </c>
      <c r="K41" s="1"/>
      <c r="L41" s="1">
        <f t="shared" si="30"/>
        <v>-8.1</v>
      </c>
      <c r="M41" s="1"/>
      <c r="N41" s="5">
        <f t="shared" si="31"/>
        <v>1.0799999999999998</v>
      </c>
      <c r="O41" s="13"/>
      <c r="P41" s="1">
        <f>SUM(OSRRefP22_3x_0)</f>
        <v>-52.77</v>
      </c>
      <c r="Q41" s="1"/>
      <c r="R41" s="5">
        <f t="shared" si="32"/>
        <v>-1.492735917619308E-4</v>
      </c>
      <c r="S41" s="1"/>
      <c r="T41" s="1">
        <f>SUM(OSRRefT22_3x_0)</f>
        <v>-75.34</v>
      </c>
      <c r="U41" s="1"/>
      <c r="V41" s="5">
        <f t="shared" si="33"/>
        <v>-2.3542092489550656E-4</v>
      </c>
      <c r="W41" s="1"/>
      <c r="X41" s="1">
        <f t="shared" si="34"/>
        <v>22.57</v>
      </c>
      <c r="Y41" s="1"/>
      <c r="Z41" s="5">
        <f t="shared" si="35"/>
        <v>-0.29957525882665248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>
        <v>-15.6</v>
      </c>
      <c r="E42" s="2"/>
      <c r="F42" s="7">
        <f t="shared" si="28"/>
        <v>-2.0146165597090376E-4</v>
      </c>
      <c r="G42" s="2"/>
      <c r="H42" s="6">
        <v>-7.5</v>
      </c>
      <c r="I42" s="2"/>
      <c r="J42" s="7">
        <f t="shared" si="29"/>
        <v>-1.2287381203550629E-4</v>
      </c>
      <c r="K42" s="2"/>
      <c r="L42" s="6">
        <f t="shared" si="30"/>
        <v>-8.1</v>
      </c>
      <c r="M42" s="2"/>
      <c r="N42" s="7">
        <f t="shared" si="31"/>
        <v>1.0799999999999998</v>
      </c>
      <c r="O42" s="11"/>
      <c r="P42" s="6">
        <v>-52.77</v>
      </c>
      <c r="Q42" s="2"/>
      <c r="R42" s="7">
        <f t="shared" si="32"/>
        <v>-1.492735917619308E-4</v>
      </c>
      <c r="S42" s="2"/>
      <c r="T42" s="6">
        <v>-75.34</v>
      </c>
      <c r="U42" s="2"/>
      <c r="V42" s="7">
        <f t="shared" si="33"/>
        <v>-2.3542092489550656E-4</v>
      </c>
      <c r="W42" s="2"/>
      <c r="X42" s="6">
        <f t="shared" si="34"/>
        <v>22.57</v>
      </c>
      <c r="Y42" s="2"/>
      <c r="Z42" s="7">
        <f t="shared" si="35"/>
        <v>-0.29957525882665248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2968.63</v>
      </c>
      <c r="E43" s="1"/>
      <c r="F43" s="5">
        <f t="shared" si="28"/>
        <v>3.8337507420827185E-2</v>
      </c>
      <c r="G43" s="1"/>
      <c r="H43" s="1">
        <f>SUM(OSRRefH22_4x_0)</f>
        <v>2387.89</v>
      </c>
      <c r="I43" s="1"/>
      <c r="J43" s="5">
        <f t="shared" si="29"/>
        <v>3.9121219602862009E-2</v>
      </c>
      <c r="K43" s="1"/>
      <c r="L43" s="1">
        <f t="shared" si="30"/>
        <v>580.74000000000024</v>
      </c>
      <c r="M43" s="1"/>
      <c r="N43" s="5">
        <f t="shared" si="31"/>
        <v>0.24320215755332125</v>
      </c>
      <c r="O43" s="13"/>
      <c r="P43" s="1">
        <f>SUM(OSRRefP22_4x_0)</f>
        <v>12586.96</v>
      </c>
      <c r="Q43" s="1"/>
      <c r="R43" s="5">
        <f t="shared" si="32"/>
        <v>3.5605471452790451E-2</v>
      </c>
      <c r="S43" s="1"/>
      <c r="T43" s="1">
        <f>SUM(OSRRefT22_4x_0)</f>
        <v>10988.75</v>
      </c>
      <c r="U43" s="1"/>
      <c r="V43" s="5">
        <f t="shared" si="33"/>
        <v>3.4337426180587972E-2</v>
      </c>
      <c r="W43" s="1"/>
      <c r="X43" s="1">
        <f t="shared" si="34"/>
        <v>1598.2099999999991</v>
      </c>
      <c r="Y43" s="1"/>
      <c r="Z43" s="5">
        <f t="shared" si="35"/>
        <v>0.14544056421339999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2968.63</v>
      </c>
      <c r="E44" s="2"/>
      <c r="F44" s="7">
        <f t="shared" si="28"/>
        <v>3.8337507420827185E-2</v>
      </c>
      <c r="G44" s="2"/>
      <c r="H44" s="6">
        <v>2387.89</v>
      </c>
      <c r="I44" s="2"/>
      <c r="J44" s="7">
        <f t="shared" si="29"/>
        <v>3.9121219602862009E-2</v>
      </c>
      <c r="K44" s="2"/>
      <c r="L44" s="6">
        <f t="shared" si="30"/>
        <v>580.74000000000024</v>
      </c>
      <c r="M44" s="2"/>
      <c r="N44" s="7">
        <f t="shared" si="31"/>
        <v>0.24320215755332125</v>
      </c>
      <c r="O44" s="11"/>
      <c r="P44" s="6">
        <v>12586.96</v>
      </c>
      <c r="Q44" s="2"/>
      <c r="R44" s="7">
        <f t="shared" si="32"/>
        <v>3.5605471452790451E-2</v>
      </c>
      <c r="S44" s="2"/>
      <c r="T44" s="6">
        <v>10988.75</v>
      </c>
      <c r="U44" s="2"/>
      <c r="V44" s="7">
        <f t="shared" si="33"/>
        <v>3.4337426180587972E-2</v>
      </c>
      <c r="W44" s="2"/>
      <c r="X44" s="6">
        <f t="shared" si="34"/>
        <v>1598.2099999999991</v>
      </c>
      <c r="Y44" s="2"/>
      <c r="Z44" s="7">
        <f t="shared" si="35"/>
        <v>0.14544056421339999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5421.37</v>
      </c>
      <c r="E45" s="1"/>
      <c r="F45" s="5">
        <f t="shared" si="28"/>
        <v>7.0012703707114016E-2</v>
      </c>
      <c r="G45" s="1"/>
      <c r="H45" s="1">
        <f>SUM(OSRRefH22_5x_0)</f>
        <v>5280.6</v>
      </c>
      <c r="I45" s="1"/>
      <c r="J45" s="5">
        <f t="shared" si="29"/>
        <v>8.6512993577959274E-2</v>
      </c>
      <c r="K45" s="1"/>
      <c r="L45" s="1">
        <f t="shared" si="30"/>
        <v>140.76999999999953</v>
      </c>
      <c r="M45" s="1"/>
      <c r="N45" s="5">
        <f t="shared" si="31"/>
        <v>2.6657955535355739E-2</v>
      </c>
      <c r="O45" s="13"/>
      <c r="P45" s="1">
        <f>SUM(OSRRefP22_5x_0)</f>
        <v>27106.850000000002</v>
      </c>
      <c r="Q45" s="1"/>
      <c r="R45" s="5">
        <f t="shared" si="32"/>
        <v>7.6678735282393287E-2</v>
      </c>
      <c r="S45" s="1"/>
      <c r="T45" s="1">
        <f>SUM(OSRRefT22_5x_0)</f>
        <v>26403.000000000004</v>
      </c>
      <c r="U45" s="1"/>
      <c r="V45" s="5">
        <f t="shared" si="33"/>
        <v>8.2503566233289888E-2</v>
      </c>
      <c r="W45" s="1"/>
      <c r="X45" s="1">
        <f t="shared" si="34"/>
        <v>703.84999999999854</v>
      </c>
      <c r="Y45" s="1"/>
      <c r="Z45" s="5">
        <f t="shared" si="35"/>
        <v>2.6657955535355771E-2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6">
        <v>5080.51</v>
      </c>
      <c r="E46" s="2"/>
      <c r="F46" s="7">
        <f t="shared" si="28"/>
        <v>6.5610766524149766E-2</v>
      </c>
      <c r="G46" s="2"/>
      <c r="H46" s="6">
        <v>5080.51</v>
      </c>
      <c r="I46" s="2"/>
      <c r="J46" s="7">
        <f t="shared" si="29"/>
        <v>8.3234884104601337E-2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25402.550000000003</v>
      </c>
      <c r="Q46" s="2"/>
      <c r="R46" s="7">
        <f t="shared" si="32"/>
        <v>7.1857681986204958E-2</v>
      </c>
      <c r="S46" s="2"/>
      <c r="T46" s="6">
        <v>25402.550000000003</v>
      </c>
      <c r="U46" s="2"/>
      <c r="V46" s="7">
        <f t="shared" si="33"/>
        <v>7.9377380086333299E-2</v>
      </c>
      <c r="W46" s="2"/>
      <c r="X46" s="6">
        <f t="shared" si="34"/>
        <v>0</v>
      </c>
      <c r="Y46" s="2"/>
      <c r="Z46" s="7">
        <f t="shared" si="35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340.86</v>
      </c>
      <c r="E47" s="2"/>
      <c r="F47" s="7">
        <f t="shared" si="28"/>
        <v>4.4019371829642478E-3</v>
      </c>
      <c r="G47" s="2"/>
      <c r="H47" s="6">
        <v>200.09</v>
      </c>
      <c r="I47" s="2"/>
      <c r="J47" s="7">
        <f t="shared" si="29"/>
        <v>3.278109473357927E-3</v>
      </c>
      <c r="K47" s="2"/>
      <c r="L47" s="6">
        <f t="shared" si="30"/>
        <v>140.77000000000001</v>
      </c>
      <c r="M47" s="2"/>
      <c r="N47" s="7">
        <f t="shared" si="31"/>
        <v>0.70353340996551561</v>
      </c>
      <c r="O47" s="11"/>
      <c r="P47" s="6">
        <v>1704.3</v>
      </c>
      <c r="Q47" s="2"/>
      <c r="R47" s="7">
        <f t="shared" si="32"/>
        <v>4.8210532961883391E-3</v>
      </c>
      <c r="S47" s="2"/>
      <c r="T47" s="6">
        <v>1000.45</v>
      </c>
      <c r="U47" s="2"/>
      <c r="V47" s="7">
        <f t="shared" si="33"/>
        <v>3.1261861469565905E-3</v>
      </c>
      <c r="W47" s="2"/>
      <c r="X47" s="6">
        <f t="shared" si="34"/>
        <v>703.84999999999991</v>
      </c>
      <c r="Y47" s="2"/>
      <c r="Z47" s="7">
        <f t="shared" si="35"/>
        <v>0.70353340996551539</v>
      </c>
    </row>
    <row r="48" spans="1:26" s="25" customFormat="1" outlineLevel="1" collapsed="1" x14ac:dyDescent="0.25">
      <c r="A48" s="27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28.66</v>
      </c>
      <c r="E48" s="1"/>
      <c r="F48" s="5">
        <f t="shared" ref="F48:F61" si="36">IF(D$12=0,0,D48/D$12)</f>
        <v>3.7012122180295529E-4</v>
      </c>
      <c r="G48" s="1"/>
      <c r="H48" s="1">
        <f>SUM(OSRRefH22_6x_0)</f>
        <v>0</v>
      </c>
      <c r="I48" s="1"/>
      <c r="J48" s="5">
        <f t="shared" ref="J48:J61" si="37">IF(H$12=0,0,H48/H$12)</f>
        <v>0</v>
      </c>
      <c r="K48" s="1"/>
      <c r="L48" s="1">
        <f t="shared" ref="L48:L61" si="38">+D48-H48</f>
        <v>28.66</v>
      </c>
      <c r="M48" s="1"/>
      <c r="N48" s="5">
        <f t="shared" ref="N48:N61" si="39">IF(H48=0,0,L48/H48)</f>
        <v>0</v>
      </c>
      <c r="O48" s="13"/>
      <c r="P48" s="1">
        <f>SUM(OSRRefP22_6x_0)</f>
        <v>61.94</v>
      </c>
      <c r="Q48" s="1"/>
      <c r="R48" s="5">
        <f t="shared" ref="R48:R61" si="40">IF(P$12=0,0,P48/P$12)</f>
        <v>1.7521330820037886E-4</v>
      </c>
      <c r="S48" s="1"/>
      <c r="T48" s="1">
        <f>SUM(OSRRefT22_6x_0)</f>
        <v>19.63</v>
      </c>
      <c r="U48" s="1"/>
      <c r="V48" s="5">
        <f t="shared" ref="V48:V61" si="41">IF(T$12=0,0,T48/T$12)</f>
        <v>6.1339431320663569E-5</v>
      </c>
      <c r="W48" s="1"/>
      <c r="X48" s="1">
        <f t="shared" ref="X48:X61" si="42">+P48-T48</f>
        <v>42.31</v>
      </c>
      <c r="Y48" s="1"/>
      <c r="Z48" s="5">
        <f t="shared" ref="Z48:Z61" si="43">IF(T48=0,0,X48/T48)</f>
        <v>2.1553744268976058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6">
        <v>28.66</v>
      </c>
      <c r="E49" s="2"/>
      <c r="F49" s="7">
        <f t="shared" si="36"/>
        <v>3.7012122180295529E-4</v>
      </c>
      <c r="G49" s="2"/>
      <c r="H49" s="6"/>
      <c r="I49" s="2"/>
      <c r="J49" s="7">
        <f t="shared" si="37"/>
        <v>0</v>
      </c>
      <c r="K49" s="2"/>
      <c r="L49" s="6">
        <f t="shared" si="38"/>
        <v>28.66</v>
      </c>
      <c r="M49" s="2"/>
      <c r="N49" s="7">
        <f t="shared" si="39"/>
        <v>0</v>
      </c>
      <c r="O49" s="11"/>
      <c r="P49" s="6">
        <v>61.94</v>
      </c>
      <c r="Q49" s="2"/>
      <c r="R49" s="7">
        <f t="shared" si="40"/>
        <v>1.7521330820037886E-4</v>
      </c>
      <c r="S49" s="2"/>
      <c r="T49" s="6">
        <v>19.63</v>
      </c>
      <c r="U49" s="2"/>
      <c r="V49" s="7">
        <f t="shared" si="41"/>
        <v>6.1339431320663569E-5</v>
      </c>
      <c r="W49" s="2"/>
      <c r="X49" s="6">
        <f t="shared" si="42"/>
        <v>42.31</v>
      </c>
      <c r="Y49" s="2"/>
      <c r="Z49" s="7">
        <f t="shared" si="43"/>
        <v>2.1553744268976058</v>
      </c>
    </row>
    <row r="50" spans="1:26" s="25" customFormat="1" outlineLevel="1" collapsed="1" x14ac:dyDescent="0.25">
      <c r="A50" s="27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100.99</v>
      </c>
      <c r="E50" s="1"/>
      <c r="F50" s="5">
        <f t="shared" si="36"/>
        <v>1.3042059382372803E-3</v>
      </c>
      <c r="G50" s="1"/>
      <c r="H50" s="1">
        <f>SUM(OSRRefH22_7x_0)</f>
        <v>269.63</v>
      </c>
      <c r="I50" s="1"/>
      <c r="J50" s="5">
        <f t="shared" si="37"/>
        <v>4.4173954585511408E-3</v>
      </c>
      <c r="K50" s="1"/>
      <c r="L50" s="1">
        <f t="shared" si="38"/>
        <v>-168.64</v>
      </c>
      <c r="M50" s="1"/>
      <c r="N50" s="5">
        <f t="shared" si="39"/>
        <v>-0.62544969031635944</v>
      </c>
      <c r="O50" s="13"/>
      <c r="P50" s="1">
        <f>SUM(OSRRefP22_7x_0)</f>
        <v>573.92999999999995</v>
      </c>
      <c r="Q50" s="1"/>
      <c r="R50" s="5">
        <f t="shared" si="40"/>
        <v>1.6235094280827162E-3</v>
      </c>
      <c r="S50" s="1"/>
      <c r="T50" s="1">
        <f>SUM(OSRRefT22_7x_0)</f>
        <v>738.84</v>
      </c>
      <c r="U50" s="1"/>
      <c r="V50" s="5">
        <f t="shared" si="41"/>
        <v>2.3087124522139114E-3</v>
      </c>
      <c r="W50" s="1"/>
      <c r="X50" s="1">
        <f t="shared" si="42"/>
        <v>-164.91000000000008</v>
      </c>
      <c r="Y50" s="1"/>
      <c r="Z50" s="5">
        <f t="shared" si="43"/>
        <v>-0.22320123436738681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6">
        <v>100.99</v>
      </c>
      <c r="E51" s="2"/>
      <c r="F51" s="7">
        <f t="shared" si="36"/>
        <v>1.3042059382372803E-3</v>
      </c>
      <c r="G51" s="2"/>
      <c r="H51" s="6">
        <v>269.63</v>
      </c>
      <c r="I51" s="2"/>
      <c r="J51" s="7">
        <f t="shared" si="37"/>
        <v>4.4173954585511408E-3</v>
      </c>
      <c r="K51" s="2"/>
      <c r="L51" s="6">
        <f t="shared" si="38"/>
        <v>-168.64</v>
      </c>
      <c r="M51" s="2"/>
      <c r="N51" s="7">
        <f t="shared" si="39"/>
        <v>-0.62544969031635944</v>
      </c>
      <c r="O51" s="11"/>
      <c r="P51" s="6">
        <v>573.92999999999995</v>
      </c>
      <c r="Q51" s="2"/>
      <c r="R51" s="7">
        <f t="shared" si="40"/>
        <v>1.6235094280827162E-3</v>
      </c>
      <c r="S51" s="2"/>
      <c r="T51" s="6">
        <v>738.84</v>
      </c>
      <c r="U51" s="2"/>
      <c r="V51" s="7">
        <f t="shared" si="41"/>
        <v>2.3087124522139114E-3</v>
      </c>
      <c r="W51" s="2"/>
      <c r="X51" s="6">
        <f t="shared" si="42"/>
        <v>-164.91000000000008</v>
      </c>
      <c r="Y51" s="2"/>
      <c r="Z51" s="7">
        <f t="shared" si="43"/>
        <v>-0.22320123436738681</v>
      </c>
    </row>
    <row r="52" spans="1:26" s="25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27</v>
      </c>
      <c r="E52" s="1"/>
      <c r="F52" s="5">
        <f t="shared" si="36"/>
        <v>3.4868363533425653E-4</v>
      </c>
      <c r="G52" s="1"/>
      <c r="H52" s="1">
        <f>SUM(OSRRefH22_8x_0)</f>
        <v>107.25</v>
      </c>
      <c r="I52" s="1"/>
      <c r="J52" s="5">
        <f t="shared" si="37"/>
        <v>1.7570955121077399E-3</v>
      </c>
      <c r="K52" s="1"/>
      <c r="L52" s="1">
        <f t="shared" si="38"/>
        <v>-80.25</v>
      </c>
      <c r="M52" s="1"/>
      <c r="N52" s="5">
        <f t="shared" si="39"/>
        <v>-0.74825174825174823</v>
      </c>
      <c r="O52" s="13"/>
      <c r="P52" s="1">
        <f>SUM(OSRRefP22_8x_0)</f>
        <v>1054.23</v>
      </c>
      <c r="Q52" s="1"/>
      <c r="R52" s="5">
        <f t="shared" si="40"/>
        <v>2.9821621876668617E-3</v>
      </c>
      <c r="S52" s="1"/>
      <c r="T52" s="1">
        <f>SUM(OSRRefT22_8x_0)</f>
        <v>943.23</v>
      </c>
      <c r="U52" s="1"/>
      <c r="V52" s="5">
        <f t="shared" si="41"/>
        <v>2.9473862355878506E-3</v>
      </c>
      <c r="W52" s="1"/>
      <c r="X52" s="1">
        <f t="shared" si="42"/>
        <v>111</v>
      </c>
      <c r="Y52" s="1"/>
      <c r="Z52" s="5">
        <f t="shared" si="43"/>
        <v>0.11768073534556789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>
        <v>27</v>
      </c>
      <c r="E53" s="2"/>
      <c r="F53" s="7">
        <f t="shared" si="36"/>
        <v>3.4868363533425653E-4</v>
      </c>
      <c r="G53" s="2"/>
      <c r="H53" s="6">
        <v>107.25</v>
      </c>
      <c r="I53" s="2"/>
      <c r="J53" s="7">
        <f t="shared" si="37"/>
        <v>1.7570955121077399E-3</v>
      </c>
      <c r="K53" s="2"/>
      <c r="L53" s="6">
        <f t="shared" si="38"/>
        <v>-80.25</v>
      </c>
      <c r="M53" s="2"/>
      <c r="N53" s="7">
        <f t="shared" si="39"/>
        <v>-0.74825174825174823</v>
      </c>
      <c r="O53" s="11"/>
      <c r="P53" s="6">
        <v>1054.23</v>
      </c>
      <c r="Q53" s="2"/>
      <c r="R53" s="7">
        <f t="shared" si="40"/>
        <v>2.9821621876668617E-3</v>
      </c>
      <c r="S53" s="2"/>
      <c r="T53" s="6">
        <v>943.23</v>
      </c>
      <c r="U53" s="2"/>
      <c r="V53" s="7">
        <f t="shared" si="41"/>
        <v>2.9473862355878506E-3</v>
      </c>
      <c r="W53" s="2"/>
      <c r="X53" s="6">
        <f t="shared" si="42"/>
        <v>111</v>
      </c>
      <c r="Y53" s="2"/>
      <c r="Z53" s="7">
        <f t="shared" si="43"/>
        <v>0.11768073534556789</v>
      </c>
    </row>
    <row r="54" spans="1:26" s="25" customFormat="1" outlineLevel="1" collapsed="1" x14ac:dyDescent="0.25">
      <c r="A54" s="27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243.54</v>
      </c>
      <c r="E54" s="1"/>
      <c r="F54" s="5">
        <f t="shared" si="36"/>
        <v>3.145126390714994E-3</v>
      </c>
      <c r="G54" s="1"/>
      <c r="H54" s="1">
        <f>SUM(OSRRefH22_9x_0)</f>
        <v>229.44</v>
      </c>
      <c r="I54" s="1"/>
      <c r="J54" s="5">
        <f t="shared" si="37"/>
        <v>3.7589556577902082E-3</v>
      </c>
      <c r="K54" s="1"/>
      <c r="L54" s="1">
        <f t="shared" si="38"/>
        <v>14.099999999999994</v>
      </c>
      <c r="M54" s="1"/>
      <c r="N54" s="5">
        <f t="shared" si="39"/>
        <v>6.1453974895397466E-2</v>
      </c>
      <c r="O54" s="13"/>
      <c r="P54" s="1">
        <f>SUM(OSRRefP22_9x_0)</f>
        <v>1217.7</v>
      </c>
      <c r="Q54" s="1"/>
      <c r="R54" s="5">
        <f t="shared" si="40"/>
        <v>3.4445793573716719E-3</v>
      </c>
      <c r="S54" s="1"/>
      <c r="T54" s="1">
        <f>SUM(OSRRefT22_9x_0)</f>
        <v>1147.2</v>
      </c>
      <c r="U54" s="1"/>
      <c r="V54" s="5">
        <f t="shared" si="41"/>
        <v>3.5847476113634873E-3</v>
      </c>
      <c r="W54" s="1"/>
      <c r="X54" s="1">
        <f t="shared" si="42"/>
        <v>70.5</v>
      </c>
      <c r="Y54" s="1"/>
      <c r="Z54" s="5">
        <f t="shared" si="43"/>
        <v>6.1453974895397487E-2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6">
        <v>243.54</v>
      </c>
      <c r="E55" s="2"/>
      <c r="F55" s="7">
        <f t="shared" si="36"/>
        <v>3.145126390714994E-3</v>
      </c>
      <c r="G55" s="2"/>
      <c r="H55" s="6">
        <v>229.44</v>
      </c>
      <c r="I55" s="2"/>
      <c r="J55" s="7">
        <f t="shared" si="37"/>
        <v>3.7589556577902082E-3</v>
      </c>
      <c r="K55" s="2"/>
      <c r="L55" s="6">
        <f t="shared" si="38"/>
        <v>14.099999999999994</v>
      </c>
      <c r="M55" s="2"/>
      <c r="N55" s="7">
        <f t="shared" si="39"/>
        <v>6.1453974895397466E-2</v>
      </c>
      <c r="O55" s="11"/>
      <c r="P55" s="6">
        <v>1217.7</v>
      </c>
      <c r="Q55" s="2"/>
      <c r="R55" s="7">
        <f t="shared" si="40"/>
        <v>3.4445793573716719E-3</v>
      </c>
      <c r="S55" s="2"/>
      <c r="T55" s="6">
        <v>1147.2</v>
      </c>
      <c r="U55" s="2"/>
      <c r="V55" s="7">
        <f t="shared" si="41"/>
        <v>3.5847476113634873E-3</v>
      </c>
      <c r="W55" s="2"/>
      <c r="X55" s="6">
        <f t="shared" si="42"/>
        <v>70.5</v>
      </c>
      <c r="Y55" s="2"/>
      <c r="Z55" s="7">
        <f t="shared" si="43"/>
        <v>6.1453974895397487E-2</v>
      </c>
    </row>
    <row r="56" spans="1:26" s="25" customFormat="1" outlineLevel="1" collapsed="1" x14ac:dyDescent="0.25">
      <c r="A56" s="27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4175</v>
      </c>
      <c r="E56" s="1"/>
      <c r="F56" s="5">
        <f t="shared" si="36"/>
        <v>5.3916821389648928E-2</v>
      </c>
      <c r="G56" s="1"/>
      <c r="H56" s="1">
        <f>SUM(OSRRefH22_10x_0)</f>
        <v>4280</v>
      </c>
      <c r="I56" s="1"/>
      <c r="J56" s="5">
        <f t="shared" si="37"/>
        <v>7.0119988734928917E-2</v>
      </c>
      <c r="K56" s="1"/>
      <c r="L56" s="1">
        <f t="shared" si="38"/>
        <v>-105</v>
      </c>
      <c r="M56" s="1"/>
      <c r="N56" s="5">
        <f t="shared" si="39"/>
        <v>-2.4532710280373831E-2</v>
      </c>
      <c r="O56" s="13"/>
      <c r="P56" s="1">
        <f>SUM(OSRRefP22_10x_0)</f>
        <v>20668.95</v>
      </c>
      <c r="Q56" s="1"/>
      <c r="R56" s="5">
        <f t="shared" si="40"/>
        <v>5.8467470237782065E-2</v>
      </c>
      <c r="S56" s="1"/>
      <c r="T56" s="1">
        <f>SUM(OSRRefT22_10x_0)</f>
        <v>21184.9</v>
      </c>
      <c r="U56" s="1"/>
      <c r="V56" s="5">
        <f t="shared" si="41"/>
        <v>6.6198151736379315E-2</v>
      </c>
      <c r="W56" s="1"/>
      <c r="X56" s="1">
        <f t="shared" si="42"/>
        <v>-515.95000000000073</v>
      </c>
      <c r="Y56" s="1"/>
      <c r="Z56" s="5">
        <f t="shared" si="43"/>
        <v>-2.4354611067316848E-2</v>
      </c>
    </row>
    <row r="57" spans="1:26" s="24" customFormat="1" hidden="1" outlineLevel="2" x14ac:dyDescent="0.25">
      <c r="A57" s="26"/>
      <c r="B57" s="11" t="str">
        <f>CONCATENATE("          ", "6401", " - ", "INTEREST EXPENSE")</f>
        <v xml:space="preserve">          6401 - INTEREST EXPENSE</v>
      </c>
      <c r="C57" s="11"/>
      <c r="D57" s="6">
        <v>4175</v>
      </c>
      <c r="E57" s="2"/>
      <c r="F57" s="7">
        <f t="shared" si="36"/>
        <v>5.3916821389648928E-2</v>
      </c>
      <c r="G57" s="2"/>
      <c r="H57" s="6">
        <v>4280</v>
      </c>
      <c r="I57" s="2"/>
      <c r="J57" s="7">
        <f t="shared" si="37"/>
        <v>7.0119988734928917E-2</v>
      </c>
      <c r="K57" s="2"/>
      <c r="L57" s="6">
        <f t="shared" si="38"/>
        <v>-105</v>
      </c>
      <c r="M57" s="2"/>
      <c r="N57" s="7">
        <f t="shared" si="39"/>
        <v>-2.4532710280373831E-2</v>
      </c>
      <c r="O57" s="11"/>
      <c r="P57" s="6">
        <v>20668.95</v>
      </c>
      <c r="Q57" s="2"/>
      <c r="R57" s="7">
        <f t="shared" si="40"/>
        <v>5.8467470237782065E-2</v>
      </c>
      <c r="S57" s="2"/>
      <c r="T57" s="6">
        <v>21184.9</v>
      </c>
      <c r="U57" s="2"/>
      <c r="V57" s="7">
        <f t="shared" si="41"/>
        <v>6.6198151736379315E-2</v>
      </c>
      <c r="W57" s="2"/>
      <c r="X57" s="6">
        <f t="shared" si="42"/>
        <v>-515.95000000000073</v>
      </c>
      <c r="Y57" s="2"/>
      <c r="Z57" s="7">
        <f t="shared" si="43"/>
        <v>-2.4354611067316848E-2</v>
      </c>
    </row>
    <row r="58" spans="1:26" s="25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0</v>
      </c>
      <c r="E58" s="1"/>
      <c r="F58" s="5">
        <f t="shared" si="36"/>
        <v>0</v>
      </c>
      <c r="G58" s="1"/>
      <c r="H58" s="1">
        <f>SUM(OSRRefH22_11x_0)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3"/>
      <c r="P58" s="1">
        <f>SUM(OSRRefP22_11x_0)</f>
        <v>624.08999999999992</v>
      </c>
      <c r="Q58" s="1"/>
      <c r="R58" s="5">
        <f t="shared" si="40"/>
        <v>1.7653999598768878E-3</v>
      </c>
      <c r="S58" s="1"/>
      <c r="T58" s="1">
        <f>SUM(OSRRefT22_11x_0)</f>
        <v>623.98</v>
      </c>
      <c r="U58" s="1"/>
      <c r="V58" s="5">
        <f t="shared" si="41"/>
        <v>1.9498002218781283E-3</v>
      </c>
      <c r="W58" s="1"/>
      <c r="X58" s="1">
        <f t="shared" si="42"/>
        <v>0.10999999999989996</v>
      </c>
      <c r="Y58" s="1"/>
      <c r="Z58" s="5">
        <f t="shared" si="43"/>
        <v>1.7628770152873483E-4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437.31</v>
      </c>
      <c r="Q59" s="2"/>
      <c r="R59" s="7">
        <f t="shared" si="40"/>
        <v>1.2370444270117483E-3</v>
      </c>
      <c r="S59" s="2"/>
      <c r="T59" s="6"/>
      <c r="U59" s="2"/>
      <c r="V59" s="7">
        <f t="shared" si="41"/>
        <v>0</v>
      </c>
      <c r="W59" s="2"/>
      <c r="X59" s="6">
        <f t="shared" si="42"/>
        <v>437.31</v>
      </c>
      <c r="Y59" s="2"/>
      <c r="Z59" s="7">
        <f t="shared" si="43"/>
        <v>0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102.71</v>
      </c>
      <c r="Q60" s="2"/>
      <c r="R60" s="7">
        <f t="shared" si="40"/>
        <v>2.9054179666226855E-4</v>
      </c>
      <c r="S60" s="2"/>
      <c r="T60" s="6">
        <v>101.2</v>
      </c>
      <c r="U60" s="2"/>
      <c r="V60" s="7">
        <f t="shared" si="41"/>
        <v>3.1622773559099104E-4</v>
      </c>
      <c r="W60" s="2"/>
      <c r="X60" s="6">
        <f t="shared" si="42"/>
        <v>1.5099999999999909</v>
      </c>
      <c r="Y60" s="2"/>
      <c r="Z60" s="7">
        <f t="shared" si="43"/>
        <v>1.4920948616600701E-2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36"/>
        <v>0</v>
      </c>
      <c r="G61" s="2"/>
      <c r="H61" s="6"/>
      <c r="I61" s="2"/>
      <c r="J61" s="7">
        <f t="shared" si="37"/>
        <v>0</v>
      </c>
      <c r="K61" s="2"/>
      <c r="L61" s="6">
        <f t="shared" si="38"/>
        <v>0</v>
      </c>
      <c r="M61" s="2"/>
      <c r="N61" s="7">
        <f t="shared" si="39"/>
        <v>0</v>
      </c>
      <c r="O61" s="11"/>
      <c r="P61" s="6">
        <v>84.07</v>
      </c>
      <c r="Q61" s="2"/>
      <c r="R61" s="7">
        <f t="shared" si="40"/>
        <v>2.3781373620287134E-4</v>
      </c>
      <c r="S61" s="2"/>
      <c r="T61" s="6">
        <v>522.78</v>
      </c>
      <c r="U61" s="2"/>
      <c r="V61" s="7">
        <f t="shared" si="41"/>
        <v>1.6335724862871371E-3</v>
      </c>
      <c r="W61" s="2"/>
      <c r="X61" s="6">
        <f t="shared" si="42"/>
        <v>-438.71</v>
      </c>
      <c r="Y61" s="2"/>
      <c r="Z61" s="7">
        <f t="shared" si="43"/>
        <v>-0.83918665595470365</v>
      </c>
    </row>
    <row r="62" spans="1:26" s="25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SUM(OSRRefD22_12x_0)</f>
        <v>340.88</v>
      </c>
      <c r="E62" s="1"/>
      <c r="F62" s="5">
        <f t="shared" ref="F62:F65" si="44">IF(D$12=0,0,D62/D$12)</f>
        <v>4.4021954671385694E-3</v>
      </c>
      <c r="G62" s="1"/>
      <c r="H62" s="1">
        <f>SUM(OSRRefH22_12x_0)</f>
        <v>428.6</v>
      </c>
      <c r="I62" s="1"/>
      <c r="J62" s="5">
        <f t="shared" ref="J62:J65" si="45">IF(H$12=0,0,H62/H$12)</f>
        <v>7.021828778455733E-3</v>
      </c>
      <c r="K62" s="1"/>
      <c r="L62" s="1">
        <f t="shared" ref="L62:L65" si="46">+D62-H62</f>
        <v>-87.720000000000027</v>
      </c>
      <c r="M62" s="1"/>
      <c r="N62" s="5">
        <f t="shared" ref="N62:N65" si="47">IF(H62=0,0,L62/H62)</f>
        <v>-0.20466635557629498</v>
      </c>
      <c r="O62" s="13"/>
      <c r="P62" s="1">
        <f>SUM(OSRRefP22_12x_0)</f>
        <v>1743.3600000000001</v>
      </c>
      <c r="Q62" s="1"/>
      <c r="R62" s="5">
        <f t="shared" ref="R62:R65" si="48">IF(P$12=0,0,P62/P$12)</f>
        <v>4.931544607429973E-3</v>
      </c>
      <c r="S62" s="1"/>
      <c r="T62" s="1">
        <f>SUM(OSRRefT22_12x_0)</f>
        <v>3057.7</v>
      </c>
      <c r="U62" s="1"/>
      <c r="V62" s="5">
        <f t="shared" ref="V62:V65" si="49">IF(T$12=0,0,T62/T$12)</f>
        <v>9.5546397936420273E-3</v>
      </c>
      <c r="W62" s="1"/>
      <c r="X62" s="1">
        <f t="shared" ref="X62:X65" si="50">+P62-T62</f>
        <v>-1314.3399999999997</v>
      </c>
      <c r="Y62" s="1"/>
      <c r="Z62" s="5">
        <f t="shared" ref="Z62:Z65" si="51">IF(T62=0,0,X62/T62)</f>
        <v>-0.42984596265166619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6"/>
      <c r="E63" s="2"/>
      <c r="F63" s="7">
        <f t="shared" si="44"/>
        <v>0</v>
      </c>
      <c r="G63" s="2"/>
      <c r="H63" s="6">
        <v>157.35</v>
      </c>
      <c r="I63" s="2"/>
      <c r="J63" s="7">
        <f t="shared" si="45"/>
        <v>2.5778925765049215E-3</v>
      </c>
      <c r="K63" s="2"/>
      <c r="L63" s="6">
        <f t="shared" si="46"/>
        <v>-157.35</v>
      </c>
      <c r="M63" s="2"/>
      <c r="N63" s="7">
        <f t="shared" si="47"/>
        <v>-1</v>
      </c>
      <c r="O63" s="11"/>
      <c r="P63" s="6">
        <v>314.7</v>
      </c>
      <c r="Q63" s="2"/>
      <c r="R63" s="7">
        <f t="shared" si="48"/>
        <v>8.9021033404357807E-4</v>
      </c>
      <c r="S63" s="2"/>
      <c r="T63" s="6">
        <v>786.75</v>
      </c>
      <c r="U63" s="2"/>
      <c r="V63" s="7">
        <f t="shared" si="49"/>
        <v>2.4584206618202785E-3</v>
      </c>
      <c r="W63" s="2"/>
      <c r="X63" s="6">
        <f t="shared" si="50"/>
        <v>-472.05</v>
      </c>
      <c r="Y63" s="2"/>
      <c r="Z63" s="7">
        <f t="shared" si="51"/>
        <v>-0.6</v>
      </c>
    </row>
    <row r="64" spans="1:26" s="24" customFormat="1" hidden="1" outlineLevel="2" x14ac:dyDescent="0.25">
      <c r="A64" s="26"/>
      <c r="B64" s="11" t="str">
        <f>CONCATENATE("          ", "6284", " - ", "TRASH REMOVAL EXPENSE")</f>
        <v xml:space="preserve">          6284 - TRASH REMOVAL EXPENSE</v>
      </c>
      <c r="C64" s="11"/>
      <c r="D64" s="6">
        <v>237</v>
      </c>
      <c r="E64" s="2"/>
      <c r="F64" s="7">
        <f t="shared" si="44"/>
        <v>3.0606674657118076E-3</v>
      </c>
      <c r="G64" s="2"/>
      <c r="H64" s="6">
        <v>237</v>
      </c>
      <c r="I64" s="2"/>
      <c r="J64" s="7">
        <f t="shared" si="45"/>
        <v>3.8828124603219986E-3</v>
      </c>
      <c r="K64" s="2"/>
      <c r="L64" s="6">
        <f t="shared" si="46"/>
        <v>0</v>
      </c>
      <c r="M64" s="2"/>
      <c r="N64" s="7">
        <f t="shared" si="47"/>
        <v>0</v>
      </c>
      <c r="O64" s="11"/>
      <c r="P64" s="6">
        <v>948</v>
      </c>
      <c r="Q64" s="2"/>
      <c r="R64" s="7">
        <f t="shared" si="48"/>
        <v>2.6816631607032479E-3</v>
      </c>
      <c r="S64" s="2"/>
      <c r="T64" s="6">
        <v>1755.73</v>
      </c>
      <c r="U64" s="2"/>
      <c r="V64" s="7">
        <f t="shared" si="49"/>
        <v>5.4862699823040578E-3</v>
      </c>
      <c r="W64" s="2"/>
      <c r="X64" s="6">
        <f t="shared" si="50"/>
        <v>-807.73</v>
      </c>
      <c r="Y64" s="2"/>
      <c r="Z64" s="7">
        <f t="shared" si="51"/>
        <v>-0.46005365289651601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6">
        <v>103.88</v>
      </c>
      <c r="E65" s="2"/>
      <c r="F65" s="7">
        <f t="shared" si="44"/>
        <v>1.3415280014267617E-3</v>
      </c>
      <c r="G65" s="2"/>
      <c r="H65" s="6">
        <v>34.25</v>
      </c>
      <c r="I65" s="2"/>
      <c r="J65" s="7">
        <f t="shared" si="45"/>
        <v>5.6112374162881203E-4</v>
      </c>
      <c r="K65" s="2"/>
      <c r="L65" s="6">
        <f t="shared" si="46"/>
        <v>69.63</v>
      </c>
      <c r="M65" s="2"/>
      <c r="N65" s="7">
        <f t="shared" si="47"/>
        <v>2.0329927007299267</v>
      </c>
      <c r="O65" s="11"/>
      <c r="P65" s="6">
        <v>480.66</v>
      </c>
      <c r="Q65" s="2"/>
      <c r="R65" s="7">
        <f t="shared" si="48"/>
        <v>1.3596711126831467E-3</v>
      </c>
      <c r="S65" s="2"/>
      <c r="T65" s="6">
        <v>515.22</v>
      </c>
      <c r="U65" s="2"/>
      <c r="V65" s="7">
        <f t="shared" si="49"/>
        <v>1.6099491495176917E-3</v>
      </c>
      <c r="W65" s="2"/>
      <c r="X65" s="6">
        <f t="shared" si="50"/>
        <v>-34.56</v>
      </c>
      <c r="Y65" s="2"/>
      <c r="Z65" s="7">
        <f t="shared" si="51"/>
        <v>-6.7078141376499367E-2</v>
      </c>
    </row>
    <row r="66" spans="1:26" s="25" customFormat="1" outlineLevel="1" collapsed="1" x14ac:dyDescent="0.25">
      <c r="A66" s="27"/>
      <c r="B66" s="13" t="str">
        <f>CONCATENATE("     ","Subscriptions &amp; Dues                              ")</f>
        <v xml:space="preserve">     Subscriptions &amp; Dues                              </v>
      </c>
      <c r="C66" s="13"/>
      <c r="D66" s="1">
        <f>SUM(OSRRefD22_13x_0)</f>
        <v>0</v>
      </c>
      <c r="E66" s="1"/>
      <c r="F66" s="5">
        <f t="shared" ref="F66:F74" si="52">IF(D$12=0,0,D66/D$12)</f>
        <v>0</v>
      </c>
      <c r="G66" s="1"/>
      <c r="H66" s="1">
        <f>SUM(OSRRefH22_13x_0)</f>
        <v>176.4</v>
      </c>
      <c r="I66" s="1"/>
      <c r="J66" s="5">
        <f t="shared" ref="J66:J74" si="53">IF(H$12=0,0,H66/H$12)</f>
        <v>2.8899920590751077E-3</v>
      </c>
      <c r="K66" s="1"/>
      <c r="L66" s="1">
        <f t="shared" ref="L66:L74" si="54">+D66-H66</f>
        <v>-176.4</v>
      </c>
      <c r="M66" s="1"/>
      <c r="N66" s="5">
        <f t="shared" ref="N66:N74" si="55">IF(H66=0,0,L66/H66)</f>
        <v>-1</v>
      </c>
      <c r="O66" s="13"/>
      <c r="P66" s="1">
        <f>SUM(OSRRefP22_13x_0)</f>
        <v>705.6</v>
      </c>
      <c r="Q66" s="1"/>
      <c r="R66" s="5">
        <f t="shared" ref="R66:R74" si="56">IF(P$12=0,0,P66/P$12)</f>
        <v>1.9959720740424175E-3</v>
      </c>
      <c r="S66" s="1"/>
      <c r="T66" s="1">
        <f>SUM(OSRRefT22_13x_0)</f>
        <v>352.8</v>
      </c>
      <c r="U66" s="1"/>
      <c r="V66" s="5">
        <f t="shared" ref="V66:V74" si="57">IF(T$12=0,0,T66/T$12)</f>
        <v>1.1024223825741269E-3</v>
      </c>
      <c r="W66" s="1"/>
      <c r="X66" s="1">
        <f t="shared" ref="X66:X74" si="58">+P66-T66</f>
        <v>352.8</v>
      </c>
      <c r="Y66" s="1"/>
      <c r="Z66" s="5">
        <f t="shared" ref="Z66:Z74" si="59">IF(T66=0,0,X66/T66)</f>
        <v>1</v>
      </c>
    </row>
    <row r="67" spans="1:26" s="24" customFormat="1" hidden="1" outlineLevel="2" x14ac:dyDescent="0.25">
      <c r="A67" s="26"/>
      <c r="B67" s="11" t="str">
        <f>CONCATENATE("          ", "6275", " - ", "SUBSCRIPTIONS")</f>
        <v xml:space="preserve">          6275 - SUBSCRIPTIONS</v>
      </c>
      <c r="C67" s="11"/>
      <c r="D67" s="6"/>
      <c r="E67" s="2"/>
      <c r="F67" s="7">
        <f t="shared" si="52"/>
        <v>0</v>
      </c>
      <c r="G67" s="2"/>
      <c r="H67" s="6">
        <v>176.4</v>
      </c>
      <c r="I67" s="2"/>
      <c r="J67" s="7">
        <f t="shared" si="53"/>
        <v>2.8899920590751077E-3</v>
      </c>
      <c r="K67" s="2"/>
      <c r="L67" s="6">
        <f t="shared" si="54"/>
        <v>-176.4</v>
      </c>
      <c r="M67" s="2"/>
      <c r="N67" s="7">
        <f t="shared" si="55"/>
        <v>-1</v>
      </c>
      <c r="O67" s="11"/>
      <c r="P67" s="6">
        <v>705.6</v>
      </c>
      <c r="Q67" s="2"/>
      <c r="R67" s="7">
        <f t="shared" si="56"/>
        <v>1.9959720740424175E-3</v>
      </c>
      <c r="S67" s="2"/>
      <c r="T67" s="6">
        <v>352.8</v>
      </c>
      <c r="U67" s="2"/>
      <c r="V67" s="7">
        <f t="shared" si="57"/>
        <v>1.1024223825741269E-3</v>
      </c>
      <c r="W67" s="2"/>
      <c r="X67" s="6">
        <f t="shared" si="58"/>
        <v>352.8</v>
      </c>
      <c r="Y67" s="2"/>
      <c r="Z67" s="7">
        <f t="shared" si="59"/>
        <v>1</v>
      </c>
    </row>
    <row r="68" spans="1:26" s="25" customFormat="1" outlineLevel="1" collapsed="1" x14ac:dyDescent="0.25">
      <c r="A68" s="27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SUM(OSRRefD22_14x_0)</f>
        <v>1005.78</v>
      </c>
      <c r="E68" s="1"/>
      <c r="F68" s="5">
        <f t="shared" si="52"/>
        <v>1.2988852842462538E-2</v>
      </c>
      <c r="G68" s="1"/>
      <c r="H68" s="1">
        <f>SUM(OSRRefH22_14x_0)</f>
        <v>541.83000000000015</v>
      </c>
      <c r="I68" s="1"/>
      <c r="J68" s="5">
        <f t="shared" si="53"/>
        <v>8.8768956766931174E-3</v>
      </c>
      <c r="K68" s="1"/>
      <c r="L68" s="1">
        <f t="shared" si="54"/>
        <v>463.94999999999982</v>
      </c>
      <c r="M68" s="1"/>
      <c r="N68" s="5">
        <f t="shared" si="55"/>
        <v>0.85626488012845303</v>
      </c>
      <c r="O68" s="13"/>
      <c r="P68" s="1">
        <f>SUM(OSRRefP22_14x_0)</f>
        <v>8772.6</v>
      </c>
      <c r="Q68" s="1"/>
      <c r="R68" s="5">
        <f t="shared" si="56"/>
        <v>2.4815567767495054E-2</v>
      </c>
      <c r="S68" s="1"/>
      <c r="T68" s="1">
        <f>SUM(OSRRefT22_14x_0)</f>
        <v>6795.52</v>
      </c>
      <c r="U68" s="1"/>
      <c r="V68" s="5">
        <f t="shared" si="57"/>
        <v>2.1234504958135291E-2</v>
      </c>
      <c r="W68" s="1"/>
      <c r="X68" s="1">
        <f t="shared" si="58"/>
        <v>1977.08</v>
      </c>
      <c r="Y68" s="1"/>
      <c r="Z68" s="5">
        <f t="shared" si="59"/>
        <v>0.29093873610849497</v>
      </c>
    </row>
    <row r="69" spans="1:26" s="24" customFormat="1" hidden="1" outlineLevel="2" x14ac:dyDescent="0.25">
      <c r="A69" s="26"/>
      <c r="B69" s="11" t="str">
        <f>CONCATENATE("          ", "6234", " - ", "EXPENDABLE SUPPLIES &amp; EQUIPMEN")</f>
        <v xml:space="preserve">          6234 - EXPENDABLE SUPPLIES &amp; EQUIPMEN</v>
      </c>
      <c r="C69" s="11"/>
      <c r="D69" s="6">
        <v>28.22</v>
      </c>
      <c r="E69" s="2"/>
      <c r="F69" s="7">
        <f t="shared" si="52"/>
        <v>3.644389699678785E-4</v>
      </c>
      <c r="G69" s="2"/>
      <c r="H69" s="6"/>
      <c r="I69" s="2"/>
      <c r="J69" s="7">
        <f t="shared" si="53"/>
        <v>0</v>
      </c>
      <c r="K69" s="2"/>
      <c r="L69" s="6">
        <f t="shared" si="54"/>
        <v>28.22</v>
      </c>
      <c r="M69" s="2"/>
      <c r="N69" s="7">
        <f t="shared" si="55"/>
        <v>0</v>
      </c>
      <c r="O69" s="11"/>
      <c r="P69" s="6">
        <v>28.22</v>
      </c>
      <c r="Q69" s="2"/>
      <c r="R69" s="7">
        <f t="shared" si="56"/>
        <v>7.9827567927263343E-5</v>
      </c>
      <c r="S69" s="2"/>
      <c r="T69" s="6">
        <v>939.33</v>
      </c>
      <c r="U69" s="2"/>
      <c r="V69" s="7">
        <f t="shared" si="57"/>
        <v>2.9351995936036128E-3</v>
      </c>
      <c r="W69" s="2"/>
      <c r="X69" s="6">
        <f t="shared" si="58"/>
        <v>-911.11</v>
      </c>
      <c r="Y69" s="2"/>
      <c r="Z69" s="7">
        <f t="shared" si="59"/>
        <v>-0.96995730999755136</v>
      </c>
    </row>
    <row r="70" spans="1:26" s="24" customFormat="1" hidden="1" outlineLevel="2" x14ac:dyDescent="0.25">
      <c r="A70" s="26"/>
      <c r="B70" s="11" t="str">
        <f>CONCATENATE("          ", "6237", " - ", "JANITORIAL SUPPLIES")</f>
        <v xml:space="preserve">          6237 - JANITORIAL SUPPLIES</v>
      </c>
      <c r="C70" s="11"/>
      <c r="D70" s="6">
        <v>290.66000000000003</v>
      </c>
      <c r="E70" s="2"/>
      <c r="F70" s="7">
        <f t="shared" si="52"/>
        <v>3.7536439054168523E-3</v>
      </c>
      <c r="G70" s="2"/>
      <c r="H70" s="6">
        <v>339.1</v>
      </c>
      <c r="I70" s="2"/>
      <c r="J70" s="7">
        <f t="shared" si="53"/>
        <v>5.555534621498691E-3</v>
      </c>
      <c r="K70" s="2"/>
      <c r="L70" s="6">
        <f t="shared" si="54"/>
        <v>-48.44</v>
      </c>
      <c r="M70" s="2"/>
      <c r="N70" s="7">
        <f t="shared" si="55"/>
        <v>-0.14284871719256856</v>
      </c>
      <c r="O70" s="11"/>
      <c r="P70" s="6">
        <v>690.05</v>
      </c>
      <c r="Q70" s="2"/>
      <c r="R70" s="7">
        <f t="shared" si="56"/>
        <v>1.9519848776827805E-3</v>
      </c>
      <c r="S70" s="2"/>
      <c r="T70" s="6">
        <v>1916.9</v>
      </c>
      <c r="U70" s="2"/>
      <c r="V70" s="7">
        <f t="shared" si="57"/>
        <v>5.9898907742526753E-3</v>
      </c>
      <c r="W70" s="2"/>
      <c r="X70" s="6">
        <f t="shared" si="58"/>
        <v>-1226.8500000000001</v>
      </c>
      <c r="Y70" s="2"/>
      <c r="Z70" s="7">
        <f t="shared" si="59"/>
        <v>-0.64001773697115139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6"/>
      <c r="E71" s="2"/>
      <c r="F71" s="7">
        <f t="shared" si="52"/>
        <v>0</v>
      </c>
      <c r="G71" s="2"/>
      <c r="H71" s="6">
        <v>291.55</v>
      </c>
      <c r="I71" s="2"/>
      <c r="J71" s="7">
        <f t="shared" si="53"/>
        <v>4.7765146531935808E-3</v>
      </c>
      <c r="K71" s="2"/>
      <c r="L71" s="6">
        <f t="shared" si="54"/>
        <v>-291.55</v>
      </c>
      <c r="M71" s="2"/>
      <c r="N71" s="7">
        <f t="shared" si="55"/>
        <v>-1</v>
      </c>
      <c r="O71" s="11"/>
      <c r="P71" s="6">
        <v>328.13</v>
      </c>
      <c r="Q71" s="2"/>
      <c r="R71" s="7">
        <f t="shared" si="56"/>
        <v>9.2820056215354085E-4</v>
      </c>
      <c r="S71" s="2"/>
      <c r="T71" s="6">
        <v>2374.96</v>
      </c>
      <c r="U71" s="2"/>
      <c r="V71" s="7">
        <f t="shared" si="57"/>
        <v>7.4212274992013841E-3</v>
      </c>
      <c r="W71" s="2"/>
      <c r="X71" s="6">
        <f t="shared" si="58"/>
        <v>-2046.83</v>
      </c>
      <c r="Y71" s="2"/>
      <c r="Z71" s="7">
        <f t="shared" si="59"/>
        <v>-0.86183767305554615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6">
        <v>246.21</v>
      </c>
      <c r="E72" s="2"/>
      <c r="F72" s="7">
        <f t="shared" si="52"/>
        <v>3.1796073279869372E-3</v>
      </c>
      <c r="G72" s="2"/>
      <c r="H72" s="6">
        <v>141.18</v>
      </c>
      <c r="I72" s="2"/>
      <c r="J72" s="7">
        <f t="shared" si="53"/>
        <v>2.3129766377563703E-3</v>
      </c>
      <c r="K72" s="2"/>
      <c r="L72" s="6">
        <f t="shared" si="54"/>
        <v>105.03</v>
      </c>
      <c r="M72" s="2"/>
      <c r="N72" s="7">
        <f t="shared" si="55"/>
        <v>0.74394390140246491</v>
      </c>
      <c r="O72" s="11"/>
      <c r="P72" s="6">
        <v>676.55</v>
      </c>
      <c r="Q72" s="2"/>
      <c r="R72" s="7">
        <f t="shared" si="56"/>
        <v>1.9137966364702343E-3</v>
      </c>
      <c r="S72" s="2"/>
      <c r="T72" s="6">
        <v>1045.2</v>
      </c>
      <c r="U72" s="2"/>
      <c r="V72" s="7">
        <f t="shared" si="57"/>
        <v>3.2660200517757297E-3</v>
      </c>
      <c r="W72" s="2"/>
      <c r="X72" s="6">
        <f t="shared" si="58"/>
        <v>-368.65000000000009</v>
      </c>
      <c r="Y72" s="2"/>
      <c r="Z72" s="7">
        <f t="shared" si="59"/>
        <v>-0.35270761576731735</v>
      </c>
    </row>
    <row r="73" spans="1:26" s="24" customFormat="1" hidden="1" outlineLevel="2" x14ac:dyDescent="0.25">
      <c r="A73" s="26"/>
      <c r="B73" s="11" t="str">
        <f>CONCATENATE("          ", "6247", " - ", "STORE SUPPLIES")</f>
        <v xml:space="preserve">          6247 - STORE SUPPLIES</v>
      </c>
      <c r="C73" s="11"/>
      <c r="D73" s="6">
        <v>440.69</v>
      </c>
      <c r="E73" s="2"/>
      <c r="F73" s="7">
        <f t="shared" si="52"/>
        <v>5.691162639090871E-3</v>
      </c>
      <c r="G73" s="2"/>
      <c r="H73" s="6">
        <v>-230</v>
      </c>
      <c r="I73" s="2"/>
      <c r="J73" s="7">
        <f t="shared" si="53"/>
        <v>-3.768130235755526E-3</v>
      </c>
      <c r="K73" s="2"/>
      <c r="L73" s="6">
        <f t="shared" si="54"/>
        <v>670.69</v>
      </c>
      <c r="M73" s="2"/>
      <c r="N73" s="7">
        <f t="shared" si="55"/>
        <v>-2.9160434782608697</v>
      </c>
      <c r="O73" s="11"/>
      <c r="P73" s="6">
        <v>7049.65</v>
      </c>
      <c r="Q73" s="2"/>
      <c r="R73" s="7">
        <f t="shared" si="56"/>
        <v>1.9941758123261235E-2</v>
      </c>
      <c r="S73" s="2"/>
      <c r="T73" s="6">
        <v>119.43</v>
      </c>
      <c r="U73" s="2"/>
      <c r="V73" s="7">
        <f t="shared" si="57"/>
        <v>3.7319247491731283E-4</v>
      </c>
      <c r="W73" s="2"/>
      <c r="X73" s="6">
        <f t="shared" si="58"/>
        <v>6930.2199999999993</v>
      </c>
      <c r="Y73" s="2"/>
      <c r="Z73" s="7">
        <f t="shared" si="59"/>
        <v>58.027463786318336</v>
      </c>
    </row>
    <row r="74" spans="1:26" s="24" customFormat="1" hidden="1" outlineLevel="2" x14ac:dyDescent="0.25">
      <c r="A74" s="26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52"/>
        <v>0</v>
      </c>
      <c r="G74" s="2"/>
      <c r="H74" s="6"/>
      <c r="I74" s="2"/>
      <c r="J74" s="7">
        <f t="shared" si="53"/>
        <v>0</v>
      </c>
      <c r="K74" s="2"/>
      <c r="L74" s="6">
        <f t="shared" si="54"/>
        <v>0</v>
      </c>
      <c r="M74" s="2"/>
      <c r="N74" s="7">
        <f t="shared" si="55"/>
        <v>0</v>
      </c>
      <c r="O74" s="11"/>
      <c r="P74" s="6"/>
      <c r="Q74" s="2"/>
      <c r="R74" s="7">
        <f t="shared" si="56"/>
        <v>0</v>
      </c>
      <c r="S74" s="2"/>
      <c r="T74" s="6">
        <v>399.7</v>
      </c>
      <c r="U74" s="2"/>
      <c r="V74" s="7">
        <f t="shared" si="57"/>
        <v>1.2489745643845761E-3</v>
      </c>
      <c r="W74" s="2"/>
      <c r="X74" s="6">
        <f t="shared" si="58"/>
        <v>-399.7</v>
      </c>
      <c r="Y74" s="2"/>
      <c r="Z74" s="7">
        <f t="shared" si="59"/>
        <v>-1</v>
      </c>
    </row>
    <row r="75" spans="1:26" s="25" customFormat="1" outlineLevel="1" collapsed="1" x14ac:dyDescent="0.25">
      <c r="A75" s="27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SUM(OSRRefD22_15x_0)</f>
        <v>39.65</v>
      </c>
      <c r="E75" s="1"/>
      <c r="F75" s="5">
        <f t="shared" ref="F75:F78" si="60">IF(D$12=0,0,D75/D$12)</f>
        <v>5.1204837559271381E-4</v>
      </c>
      <c r="G75" s="1"/>
      <c r="H75" s="1">
        <f>SUM(OSRRefH22_15x_0)</f>
        <v>39.049999999999997</v>
      </c>
      <c r="I75" s="1"/>
      <c r="J75" s="5">
        <f t="shared" ref="J75:J78" si="61">IF(H$12=0,0,H75/H$12)</f>
        <v>6.3976298133153599E-4</v>
      </c>
      <c r="K75" s="1"/>
      <c r="L75" s="1">
        <f t="shared" ref="L75:L78" si="62">+D75-H75</f>
        <v>0.60000000000000142</v>
      </c>
      <c r="M75" s="1"/>
      <c r="N75" s="5">
        <f t="shared" ref="N75:N78" si="63">IF(H75=0,0,L75/H75)</f>
        <v>1.5364916773367515E-2</v>
      </c>
      <c r="O75" s="13"/>
      <c r="P75" s="1">
        <f>SUM(OSRRefP22_15x_0)</f>
        <v>195.25</v>
      </c>
      <c r="Q75" s="1"/>
      <c r="R75" s="5">
        <f t="shared" ref="R75:R78" si="64">IF(P$12=0,0,P75/P$12)</f>
        <v>5.5231511827775223E-4</v>
      </c>
      <c r="S75" s="1"/>
      <c r="T75" s="1">
        <f>SUM(OSRRefT22_15x_0)</f>
        <v>197.3</v>
      </c>
      <c r="U75" s="1"/>
      <c r="V75" s="5">
        <f t="shared" ref="V75:V78" si="65">IF(T$12=0,0,T75/T$12)</f>
        <v>6.1651909320259424E-4</v>
      </c>
      <c r="W75" s="1"/>
      <c r="X75" s="1">
        <f t="shared" ref="X75:X78" si="66">+P75-T75</f>
        <v>-2.0500000000000114</v>
      </c>
      <c r="Y75" s="1"/>
      <c r="Z75" s="5">
        <f t="shared" ref="Z75:Z78" si="67">IF(T75=0,0,X75/T75)</f>
        <v>-1.0390268626457229E-2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6">
        <v>39.65</v>
      </c>
      <c r="E76" s="2"/>
      <c r="F76" s="7">
        <f t="shared" si="60"/>
        <v>5.1204837559271381E-4</v>
      </c>
      <c r="G76" s="2"/>
      <c r="H76" s="6">
        <v>39.049999999999997</v>
      </c>
      <c r="I76" s="2"/>
      <c r="J76" s="7">
        <f t="shared" si="61"/>
        <v>6.3976298133153599E-4</v>
      </c>
      <c r="K76" s="2"/>
      <c r="L76" s="6">
        <f t="shared" si="62"/>
        <v>0.60000000000000142</v>
      </c>
      <c r="M76" s="2"/>
      <c r="N76" s="7">
        <f t="shared" si="63"/>
        <v>1.5364916773367515E-2</v>
      </c>
      <c r="O76" s="11"/>
      <c r="P76" s="6">
        <v>195.25</v>
      </c>
      <c r="Q76" s="2"/>
      <c r="R76" s="7">
        <f t="shared" si="64"/>
        <v>5.5231511827775223E-4</v>
      </c>
      <c r="S76" s="2"/>
      <c r="T76" s="6">
        <v>197.3</v>
      </c>
      <c r="U76" s="2"/>
      <c r="V76" s="7">
        <f t="shared" si="65"/>
        <v>6.1651909320259424E-4</v>
      </c>
      <c r="W76" s="2"/>
      <c r="X76" s="6">
        <f t="shared" si="66"/>
        <v>-2.0500000000000114</v>
      </c>
      <c r="Y76" s="2"/>
      <c r="Z76" s="7">
        <f t="shared" si="67"/>
        <v>-1.0390268626457229E-2</v>
      </c>
    </row>
    <row r="77" spans="1:26" s="25" customFormat="1" outlineLevel="1" collapsed="1" x14ac:dyDescent="0.25">
      <c r="A77" s="27"/>
      <c r="B77" s="13" t="str">
        <f>CONCATENATE("     ","Utilities                                         ")</f>
        <v xml:space="preserve">     Utilities                                         </v>
      </c>
      <c r="C77" s="13"/>
      <c r="D77" s="1">
        <f>SUM(OSRRefD22_16x_0)</f>
        <v>771</v>
      </c>
      <c r="E77" s="1"/>
      <c r="F77" s="5">
        <f t="shared" si="60"/>
        <v>9.9568549201004362E-3</v>
      </c>
      <c r="G77" s="1"/>
      <c r="H77" s="1">
        <f>SUM(OSRRefH22_16x_0)</f>
        <v>771</v>
      </c>
      <c r="I77" s="1"/>
      <c r="J77" s="5">
        <f t="shared" si="61"/>
        <v>1.2631427877250046E-2</v>
      </c>
      <c r="K77" s="1"/>
      <c r="L77" s="1">
        <f t="shared" si="62"/>
        <v>0</v>
      </c>
      <c r="M77" s="1"/>
      <c r="N77" s="5">
        <f t="shared" si="63"/>
        <v>0</v>
      </c>
      <c r="O77" s="13"/>
      <c r="P77" s="1">
        <f>SUM(OSRRefP22_16x_0)</f>
        <v>3084</v>
      </c>
      <c r="Q77" s="1"/>
      <c r="R77" s="5">
        <f t="shared" si="64"/>
        <v>8.7238915481105649E-3</v>
      </c>
      <c r="S77" s="1"/>
      <c r="T77" s="1">
        <f>SUM(OSRRefT22_16x_0)</f>
        <v>2478.6999999999998</v>
      </c>
      <c r="U77" s="1"/>
      <c r="V77" s="5">
        <f t="shared" si="65"/>
        <v>7.7453921759821085E-3</v>
      </c>
      <c r="W77" s="1"/>
      <c r="X77" s="1">
        <f t="shared" si="66"/>
        <v>605.30000000000018</v>
      </c>
      <c r="Y77" s="1"/>
      <c r="Z77" s="5">
        <f t="shared" si="67"/>
        <v>0.24420058901843716</v>
      </c>
    </row>
    <row r="78" spans="1:26" s="24" customFormat="1" hidden="1" outlineLevel="2" x14ac:dyDescent="0.25">
      <c r="A78" s="26"/>
      <c r="B78" s="11" t="str">
        <f>CONCATENATE("          ", "6274", " - ", "UTILITIES")</f>
        <v xml:space="preserve">          6274 - UTILITIES</v>
      </c>
      <c r="C78" s="11"/>
      <c r="D78" s="6">
        <v>771</v>
      </c>
      <c r="E78" s="2"/>
      <c r="F78" s="7">
        <f t="shared" si="60"/>
        <v>9.9568549201004362E-3</v>
      </c>
      <c r="G78" s="2"/>
      <c r="H78" s="6">
        <v>771</v>
      </c>
      <c r="I78" s="2"/>
      <c r="J78" s="7">
        <f t="shared" si="61"/>
        <v>1.2631427877250046E-2</v>
      </c>
      <c r="K78" s="2"/>
      <c r="L78" s="6">
        <f t="shared" si="62"/>
        <v>0</v>
      </c>
      <c r="M78" s="2"/>
      <c r="N78" s="7">
        <f t="shared" si="63"/>
        <v>0</v>
      </c>
      <c r="O78" s="11"/>
      <c r="P78" s="6">
        <v>3084</v>
      </c>
      <c r="Q78" s="2"/>
      <c r="R78" s="7">
        <f t="shared" si="64"/>
        <v>8.7238915481105649E-3</v>
      </c>
      <c r="S78" s="2"/>
      <c r="T78" s="6">
        <v>2478.6999999999998</v>
      </c>
      <c r="U78" s="2"/>
      <c r="V78" s="7">
        <f t="shared" si="65"/>
        <v>7.7453921759821085E-3</v>
      </c>
      <c r="W78" s="2"/>
      <c r="X78" s="6">
        <f t="shared" si="66"/>
        <v>605.30000000000018</v>
      </c>
      <c r="Y78" s="2"/>
      <c r="Z78" s="7">
        <f t="shared" si="67"/>
        <v>0.24420058901843716</v>
      </c>
    </row>
    <row r="79" spans="1:26" s="53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8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3</v>
      </c>
      <c r="C82" s="29"/>
      <c r="D82" s="21">
        <f>+D20-D22+D80</f>
        <v>10239.769999999993</v>
      </c>
      <c r="E82" s="14"/>
      <c r="F82" s="20">
        <f>IF(D$12=0,0,D82/D$12)</f>
        <v>0.13223852698469102</v>
      </c>
      <c r="G82" s="14"/>
      <c r="H82" s="21">
        <f>+H20-H22+H80</f>
        <v>5044.7300000000032</v>
      </c>
      <c r="I82" s="14"/>
      <c r="J82" s="20">
        <f>IF(H$12=0,0,H82/H$12)</f>
        <v>8.2648694105317333E-2</v>
      </c>
      <c r="K82" s="15"/>
      <c r="L82" s="21">
        <f>+D82-H82</f>
        <v>5195.03999999999</v>
      </c>
      <c r="M82" s="15"/>
      <c r="N82" s="20">
        <f>IF(H82=0,0,L82/H82)</f>
        <v>1.0297954499051458</v>
      </c>
      <c r="O82" s="28"/>
      <c r="P82" s="21">
        <f>+P20-P22+P80</f>
        <v>43057.409999999974</v>
      </c>
      <c r="Q82" s="14"/>
      <c r="R82" s="20">
        <f>IF(P$12=0,0,P82/P$12)</f>
        <v>0.1217990191901852</v>
      </c>
      <c r="S82" s="14"/>
      <c r="T82" s="21">
        <f>+T20-T22+T80</f>
        <v>26538.070000000007</v>
      </c>
      <c r="U82" s="14"/>
      <c r="V82" s="20">
        <f>IF(T$12=0,0,T82/T$12)</f>
        <v>8.2925630267344008E-2</v>
      </c>
      <c r="W82" s="15"/>
      <c r="X82" s="21">
        <f>+P82-T82</f>
        <v>16519.339999999967</v>
      </c>
      <c r="Y82" s="15"/>
      <c r="Z82" s="20">
        <f>IF(T82=0,0,X82/T82)</f>
        <v>0.62247706785007206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13</v>
      </c>
      <c r="C84" s="10"/>
      <c r="D84" s="4">
        <v>9643.83</v>
      </c>
      <c r="E84" s="4"/>
      <c r="F84" s="12">
        <f>IF(D$12=0,0,D84/D$12)</f>
        <v>0.12454243344242827</v>
      </c>
      <c r="G84" s="4"/>
      <c r="H84" s="4">
        <v>9888.48</v>
      </c>
      <c r="I84" s="4"/>
      <c r="J84" s="12">
        <f>IF(H$12=0,0,H84/H$12)</f>
        <v>0.16200469771158174</v>
      </c>
      <c r="K84" s="4"/>
      <c r="L84" s="4">
        <f>+D84-H84</f>
        <v>-244.64999999999964</v>
      </c>
      <c r="M84" s="4"/>
      <c r="N84" s="12">
        <f>IF(H84=0,0,L84/H84)</f>
        <v>-2.4740910635406014E-2</v>
      </c>
      <c r="O84" s="10"/>
      <c r="P84" s="4">
        <v>37434.53</v>
      </c>
      <c r="Q84" s="4"/>
      <c r="R84" s="12">
        <f>IF(P$12=0,0,P84/P$12)</f>
        <v>0.10589324898654066</v>
      </c>
      <c r="S84" s="4"/>
      <c r="T84" s="4">
        <v>33673.539999999994</v>
      </c>
      <c r="U84" s="4"/>
      <c r="V84" s="12">
        <f>IF(T$12=0,0,T84/T$12)</f>
        <v>0.10522240418510531</v>
      </c>
      <c r="W84" s="4"/>
      <c r="X84" s="4">
        <f>+P84-T84</f>
        <v>3760.9900000000052</v>
      </c>
      <c r="Y84" s="4"/>
      <c r="Z84" s="12">
        <f>IF(T84=0,0,X84/T84)</f>
        <v>0.1116897718505392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4</v>
      </c>
      <c r="C86" s="29"/>
      <c r="D86" s="31">
        <f>+D82-D84</f>
        <v>595.93999999999323</v>
      </c>
      <c r="E86" s="14"/>
      <c r="F86" s="32">
        <f>IF(D$12=0,0,D86/D$12)</f>
        <v>7.6960935422627583E-3</v>
      </c>
      <c r="G86" s="14"/>
      <c r="H86" s="31">
        <f>+H82-H84</f>
        <v>-4843.7499999999964</v>
      </c>
      <c r="I86" s="14"/>
      <c r="J86" s="32">
        <f>IF(H$12=0,0,H86/H$12)</f>
        <v>-7.9356003606264408E-2</v>
      </c>
      <c r="K86" s="15"/>
      <c r="L86" s="31">
        <f>D86-H86</f>
        <v>5439.6899999999896</v>
      </c>
      <c r="M86" s="15"/>
      <c r="N86" s="32">
        <f>IF(H86=0,0,L86/H86)</f>
        <v>-1.1230327741935471</v>
      </c>
      <c r="O86" s="28"/>
      <c r="P86" s="31">
        <f>+P82-P84</f>
        <v>5622.8799999999756</v>
      </c>
      <c r="Q86" s="14"/>
      <c r="R86" s="32">
        <f>IF(P$12=0,0,P86/P$12)</f>
        <v>1.5905770203644528E-2</v>
      </c>
      <c r="S86" s="14"/>
      <c r="T86" s="31">
        <f>+T82-T84</f>
        <v>-7135.4699999999866</v>
      </c>
      <c r="U86" s="14"/>
      <c r="V86" s="32">
        <f>IF(T$12=0,0,T86/T$12)</f>
        <v>-2.229677391776131E-2</v>
      </c>
      <c r="W86" s="15"/>
      <c r="X86" s="31">
        <f>P86-T86</f>
        <v>12758.349999999962</v>
      </c>
      <c r="Y86" s="15"/>
      <c r="Z86" s="32">
        <f>IF(T86=0,0,X86/T86)</f>
        <v>-1.7880181683897467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5</v>
      </c>
      <c r="C89" s="29"/>
      <c r="D89" s="34">
        <f>SUM(D86:D88)</f>
        <v>595.93999999999323</v>
      </c>
      <c r="E89" s="14"/>
      <c r="F89" s="30">
        <f>IF(D$12=0,0,D89/D$12)</f>
        <v>7.6960935422627583E-3</v>
      </c>
      <c r="G89" s="14"/>
      <c r="H89" s="34">
        <f>SUM(H86:H88)</f>
        <v>-4843.7499999999964</v>
      </c>
      <c r="I89" s="14"/>
      <c r="J89" s="30">
        <f>IF(H$12=0,0,H89/H$12)</f>
        <v>-7.9356003606264408E-2</v>
      </c>
      <c r="K89" s="15"/>
      <c r="L89" s="34">
        <f>+D89-H89</f>
        <v>5439.6899999999896</v>
      </c>
      <c r="M89" s="15"/>
      <c r="N89" s="30">
        <f>IF(H89=0,0,L89/H89)</f>
        <v>-1.1230327741935471</v>
      </c>
      <c r="O89" s="28"/>
      <c r="P89" s="34">
        <f>SUM(P86:P88)</f>
        <v>5622.8799999999756</v>
      </c>
      <c r="Q89" s="14"/>
      <c r="R89" s="30">
        <f>IF(P$12=0,0,P89/P$12)</f>
        <v>1.5905770203644528E-2</v>
      </c>
      <c r="S89" s="14"/>
      <c r="T89" s="34">
        <f>SUM(T86:T88)</f>
        <v>-7135.4699999999866</v>
      </c>
      <c r="U89" s="14"/>
      <c r="V89" s="30">
        <f>IF(T$12=0,0,T89/T$12)</f>
        <v>-2.229677391776131E-2</v>
      </c>
      <c r="W89" s="15"/>
      <c r="X89" s="34">
        <f>+P89-T89</f>
        <v>12758.349999999962</v>
      </c>
      <c r="Y89" s="15"/>
      <c r="Z89" s="30">
        <f>IF(T89=0,0,X89/T89)</f>
        <v>-1.7880181683897467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9">
        <v>43815.49194320602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62" t="s">
        <v>313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61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","327", " - ", "C-Store Vending Machine(s)")</f>
        <v>Department 327 - C-Store Vending Machine(s)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1546.5</v>
      </c>
      <c r="E12" s="4"/>
      <c r="F12" s="12"/>
      <c r="G12" s="4"/>
      <c r="H12" s="4">
        <f>SUM(OSRRefH13x_0)</f>
        <v>957.75</v>
      </c>
      <c r="I12" s="4"/>
      <c r="J12" s="12"/>
      <c r="K12" s="4"/>
      <c r="L12" s="4">
        <f t="shared" ref="L12:L13" si="0">+D12-H12</f>
        <v>588.75</v>
      </c>
      <c r="M12" s="4"/>
      <c r="N12" s="12">
        <f t="shared" ref="N12:N13" si="1">IF(H12=0,0,L12/H12)</f>
        <v>0.61472200469851213</v>
      </c>
      <c r="O12" s="10"/>
      <c r="P12" s="4">
        <f>SUM(OSRRefP13x_0)</f>
        <v>6827</v>
      </c>
      <c r="Q12" s="4"/>
      <c r="R12" s="12"/>
      <c r="S12" s="4"/>
      <c r="T12" s="4">
        <f>SUM(OSRRefT13x_0)</f>
        <v>5443</v>
      </c>
      <c r="U12" s="4"/>
      <c r="V12" s="12"/>
      <c r="W12" s="4"/>
      <c r="X12" s="4">
        <f t="shared" ref="X12:X13" si="2">+P12-T12</f>
        <v>1384</v>
      </c>
      <c r="Y12" s="4"/>
      <c r="Z12" s="12">
        <f t="shared" ref="Z12:Z13" si="3">IF(T12=0,0,X12/T12)</f>
        <v>0.25427154142935882</v>
      </c>
    </row>
    <row r="13" spans="1:26" s="24" customFormat="1" hidden="1" outlineLevel="1" x14ac:dyDescent="0.2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--1546.5</f>
        <v>1546.5</v>
      </c>
      <c r="E13" s="2"/>
      <c r="F13" s="19"/>
      <c r="G13" s="2"/>
      <c r="H13" s="2">
        <f>--957.75</f>
        <v>957.75</v>
      </c>
      <c r="I13" s="2"/>
      <c r="J13" s="19"/>
      <c r="K13" s="2"/>
      <c r="L13" s="2">
        <f t="shared" si="0"/>
        <v>588.75</v>
      </c>
      <c r="M13" s="2"/>
      <c r="N13" s="19">
        <f t="shared" si="1"/>
        <v>0.61472200469851213</v>
      </c>
      <c r="O13" s="11"/>
      <c r="P13" s="2">
        <f>--6827</f>
        <v>6827</v>
      </c>
      <c r="Q13" s="2"/>
      <c r="R13" s="19"/>
      <c r="S13" s="2"/>
      <c r="T13" s="2">
        <f>--5443</f>
        <v>5443</v>
      </c>
      <c r="U13" s="2"/>
      <c r="V13" s="19"/>
      <c r="W13" s="2"/>
      <c r="X13" s="2">
        <f t="shared" si="2"/>
        <v>1384</v>
      </c>
      <c r="Y13" s="2"/>
      <c r="Z13" s="19">
        <f t="shared" si="3"/>
        <v>0.25427154142935882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>
        <f>SUM(OSRRefD16x_0)</f>
        <v>773</v>
      </c>
      <c r="E15" s="4"/>
      <c r="F15" s="12">
        <f t="shared" ref="F15:F16" si="4">IF(D$12=0,0,D15/D$12)</f>
        <v>0.4998383446492079</v>
      </c>
      <c r="G15" s="4"/>
      <c r="H15" s="4">
        <f>SUM(OSRRefH16x_0)</f>
        <v>128</v>
      </c>
      <c r="I15" s="4"/>
      <c r="J15" s="12">
        <f t="shared" ref="J15:J16" si="5">IF(H$12=0,0,H15/H$12)</f>
        <v>0.13364656747585488</v>
      </c>
      <c r="K15" s="4"/>
      <c r="L15" s="4">
        <f t="shared" ref="L15:L16" si="6">+D15-H15</f>
        <v>645</v>
      </c>
      <c r="M15" s="4"/>
      <c r="N15" s="12">
        <f t="shared" ref="N15:N16" si="7">IF(H15=0,0,L15/H15)</f>
        <v>5.0390625</v>
      </c>
      <c r="O15" s="10"/>
      <c r="P15" s="4">
        <f>SUM(OSRRefP16x_0)</f>
        <v>3421.96</v>
      </c>
      <c r="Q15" s="4"/>
      <c r="R15" s="12">
        <f t="shared" ref="R15:R16" si="8">IF(P$12=0,0,P15/P$12)</f>
        <v>0.50123919730481914</v>
      </c>
      <c r="S15" s="4"/>
      <c r="T15" s="4">
        <f>SUM(OSRRefT16x_0)</f>
        <v>1323.41</v>
      </c>
      <c r="U15" s="4"/>
      <c r="V15" s="12">
        <f t="shared" ref="V15:V16" si="9">IF(T$12=0,0,T15/T$12)</f>
        <v>0.24313981260334375</v>
      </c>
      <c r="W15" s="4"/>
      <c r="X15" s="4">
        <f t="shared" ref="X15:X16" si="10">+P15-T15</f>
        <v>2098.5500000000002</v>
      </c>
      <c r="Y15" s="4"/>
      <c r="Z15" s="12">
        <f t="shared" ref="Z15:Z16" si="11">IF(T15=0,0,X15/T15)</f>
        <v>1.5857141777680386</v>
      </c>
    </row>
    <row r="16" spans="1:26" s="24" customFormat="1" hidden="1" outlineLevel="1" x14ac:dyDescent="0.25">
      <c r="A16" s="44"/>
      <c r="B16" s="11" t="str">
        <f>CONCATENATE("          ", "5059", " - ", "PURCHASES @ COST-FOOD")</f>
        <v xml:space="preserve">          5059 - PURCHASES @ COST-FOOD</v>
      </c>
      <c r="C16" s="11"/>
      <c r="D16" s="2">
        <v>773</v>
      </c>
      <c r="E16" s="2"/>
      <c r="F16" s="19">
        <f t="shared" si="4"/>
        <v>0.4998383446492079</v>
      </c>
      <c r="G16" s="2"/>
      <c r="H16" s="2">
        <v>128</v>
      </c>
      <c r="I16" s="2"/>
      <c r="J16" s="19">
        <f t="shared" si="5"/>
        <v>0.13364656747585488</v>
      </c>
      <c r="K16" s="2"/>
      <c r="L16" s="2">
        <f t="shared" si="6"/>
        <v>645</v>
      </c>
      <c r="M16" s="2"/>
      <c r="N16" s="19">
        <f t="shared" si="7"/>
        <v>5.0390625</v>
      </c>
      <c r="O16" s="11"/>
      <c r="P16" s="2">
        <v>3421.96</v>
      </c>
      <c r="Q16" s="2"/>
      <c r="R16" s="19">
        <f t="shared" si="8"/>
        <v>0.50123919730481914</v>
      </c>
      <c r="S16" s="2"/>
      <c r="T16" s="2">
        <v>1323.41</v>
      </c>
      <c r="U16" s="2"/>
      <c r="V16" s="19">
        <f t="shared" si="9"/>
        <v>0.24313981260334375</v>
      </c>
      <c r="W16" s="2"/>
      <c r="X16" s="2">
        <f t="shared" si="10"/>
        <v>2098.5500000000002</v>
      </c>
      <c r="Y16" s="2"/>
      <c r="Z16" s="19">
        <f t="shared" si="11"/>
        <v>1.5857141777680386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>
        <f>D12-D15</f>
        <v>773.5</v>
      </c>
      <c r="E18" s="14"/>
      <c r="F18" s="20">
        <f>IF(D$12=0,0,D18/D$12)</f>
        <v>0.50016165535079216</v>
      </c>
      <c r="G18" s="14"/>
      <c r="H18" s="21">
        <f>H12-H15</f>
        <v>829.75</v>
      </c>
      <c r="I18" s="14"/>
      <c r="J18" s="20">
        <f>IF(H$12=0,0,H18/H$12)</f>
        <v>0.8663534325241451</v>
      </c>
      <c r="K18" s="15"/>
      <c r="L18" s="21">
        <f>+D18-H18</f>
        <v>-56.25</v>
      </c>
      <c r="M18" s="15"/>
      <c r="N18" s="20">
        <f>IF(H18=0,0,L18/H18)</f>
        <v>-6.7791503464899067E-2</v>
      </c>
      <c r="O18" s="28"/>
      <c r="P18" s="21">
        <f>P12-P15</f>
        <v>3405.04</v>
      </c>
      <c r="Q18" s="14"/>
      <c r="R18" s="20">
        <f>IF(P$12=0,0,P18/P$12)</f>
        <v>0.49876080269518092</v>
      </c>
      <c r="S18" s="14"/>
      <c r="T18" s="21">
        <f>T12-T15</f>
        <v>4119.59</v>
      </c>
      <c r="U18" s="14"/>
      <c r="V18" s="20">
        <f>IF(T$12=0,0,T18/T$12)</f>
        <v>0.75686018739665628</v>
      </c>
      <c r="W18" s="15"/>
      <c r="X18" s="21">
        <f>+P18-T18</f>
        <v>-714.55000000000018</v>
      </c>
      <c r="Y18" s="15"/>
      <c r="Z18" s="20">
        <f>IF(T18=0,0,X18/T18)</f>
        <v>-0.17345172699224926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>
        <f>SUM(OSRRefD22x_0)</f>
        <v>232.77</v>
      </c>
      <c r="E20" s="22"/>
      <c r="F20" s="33">
        <f t="shared" ref="F20:F26" si="12">IF(D$12=0,0,D20/D$12)</f>
        <v>0.15051406401551892</v>
      </c>
      <c r="G20" s="22"/>
      <c r="H20" s="22">
        <f>SUM(OSRRefH22x_0)</f>
        <v>139.87</v>
      </c>
      <c r="I20" s="22"/>
      <c r="J20" s="33">
        <f t="shared" ref="J20:J26" si="13">IF(H$12=0,0,H20/H$12)</f>
        <v>0.1460401983816236</v>
      </c>
      <c r="K20" s="4"/>
      <c r="L20" s="22">
        <f t="shared" ref="L20:L26" si="14">+D20-H20</f>
        <v>92.9</v>
      </c>
      <c r="M20" s="4"/>
      <c r="N20" s="33">
        <f t="shared" ref="N20:N26" si="15">IF(H20=0,0,L20/H20)</f>
        <v>0.6641881747336813</v>
      </c>
      <c r="O20" s="10"/>
      <c r="P20" s="22">
        <f>SUM(OSRRefP22x_0)</f>
        <v>973.97</v>
      </c>
      <c r="Q20" s="22"/>
      <c r="R20" s="33">
        <f t="shared" ref="R20:R26" si="16">IF(P$12=0,0,P20/P$12)</f>
        <v>0.14266442068258386</v>
      </c>
      <c r="S20" s="22"/>
      <c r="T20" s="22">
        <f>SUM(OSRRefT22x_0)</f>
        <v>6635.3200000000006</v>
      </c>
      <c r="U20" s="22"/>
      <c r="V20" s="33">
        <f t="shared" ref="V20:V26" si="17">IF(T$12=0,0,T20/T$12)</f>
        <v>1.2190556678302409</v>
      </c>
      <c r="W20" s="4"/>
      <c r="X20" s="22">
        <f t="shared" ref="X20:X26" si="18">+P20-T20</f>
        <v>-5661.35</v>
      </c>
      <c r="Y20" s="4"/>
      <c r="Z20" s="33">
        <f t="shared" ref="Z20:Z26" si="19">IF(T20=0,0,X20/T20)</f>
        <v>-0.85321431370303158</v>
      </c>
    </row>
    <row r="21" spans="1:26" s="25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SUM(OSRRefD22_0x_0)</f>
        <v>232.77</v>
      </c>
      <c r="E21" s="1"/>
      <c r="F21" s="5">
        <f t="shared" si="12"/>
        <v>0.15051406401551892</v>
      </c>
      <c r="G21" s="1"/>
      <c r="H21" s="1">
        <f>SUM(OSRRefH22_0x_0)</f>
        <v>139.87</v>
      </c>
      <c r="I21" s="1"/>
      <c r="J21" s="5">
        <f t="shared" si="13"/>
        <v>0.1460401983816236</v>
      </c>
      <c r="K21" s="1"/>
      <c r="L21" s="1">
        <f t="shared" si="14"/>
        <v>92.9</v>
      </c>
      <c r="M21" s="1"/>
      <c r="N21" s="5">
        <f t="shared" si="15"/>
        <v>0.6641881747336813</v>
      </c>
      <c r="O21" s="13"/>
      <c r="P21" s="1">
        <f>SUM(OSRRefP22_0x_0)</f>
        <v>653.52</v>
      </c>
      <c r="Q21" s="1"/>
      <c r="R21" s="5">
        <f t="shared" si="16"/>
        <v>9.5725794638933645E-2</v>
      </c>
      <c r="S21" s="1"/>
      <c r="T21" s="1">
        <f>SUM(OSRRefT22_0x_0)</f>
        <v>496.1</v>
      </c>
      <c r="U21" s="1"/>
      <c r="V21" s="5">
        <f t="shared" si="17"/>
        <v>9.114458938085615E-2</v>
      </c>
      <c r="W21" s="1"/>
      <c r="X21" s="1">
        <f t="shared" si="18"/>
        <v>157.41999999999996</v>
      </c>
      <c r="Y21" s="1"/>
      <c r="Z21" s="5">
        <f t="shared" si="19"/>
        <v>0.31731505744809507</v>
      </c>
    </row>
    <row r="22" spans="1:26" s="24" customFormat="1" hidden="1" outlineLevel="2" x14ac:dyDescent="0.25">
      <c r="A22" s="26"/>
      <c r="B22" s="11" t="str">
        <f>CONCATENATE("          ", "6381", " - ", "BANK/CREDIT CARD FEES")</f>
        <v xml:space="preserve">          6381 - BANK/CREDIT CARD FEES</v>
      </c>
      <c r="C22" s="11"/>
      <c r="D22" s="6">
        <v>232.77</v>
      </c>
      <c r="E22" s="2"/>
      <c r="F22" s="7">
        <f t="shared" si="12"/>
        <v>0.15051406401551892</v>
      </c>
      <c r="G22" s="2"/>
      <c r="H22" s="6">
        <v>139.87</v>
      </c>
      <c r="I22" s="2"/>
      <c r="J22" s="7">
        <f t="shared" si="13"/>
        <v>0.1460401983816236</v>
      </c>
      <c r="K22" s="2"/>
      <c r="L22" s="6">
        <f t="shared" si="14"/>
        <v>92.9</v>
      </c>
      <c r="M22" s="2"/>
      <c r="N22" s="7">
        <f t="shared" si="15"/>
        <v>0.6641881747336813</v>
      </c>
      <c r="O22" s="11"/>
      <c r="P22" s="6">
        <v>653.52</v>
      </c>
      <c r="Q22" s="2"/>
      <c r="R22" s="7">
        <f t="shared" si="16"/>
        <v>9.5725794638933645E-2</v>
      </c>
      <c r="S22" s="2"/>
      <c r="T22" s="6">
        <v>496.1</v>
      </c>
      <c r="U22" s="2"/>
      <c r="V22" s="7">
        <f t="shared" si="17"/>
        <v>9.114458938085615E-2</v>
      </c>
      <c r="W22" s="2"/>
      <c r="X22" s="6">
        <f t="shared" si="18"/>
        <v>157.41999999999996</v>
      </c>
      <c r="Y22" s="2"/>
      <c r="Z22" s="7">
        <f t="shared" si="19"/>
        <v>0.31731505744809507</v>
      </c>
    </row>
    <row r="23" spans="1:26" s="25" customFormat="1" outlineLevel="1" collapsed="1" x14ac:dyDescent="0.25">
      <c r="A23" s="27"/>
      <c r="B23" s="13" t="str">
        <f>CONCATENATE("     ","General                                           ")</f>
        <v xml:space="preserve">     General                                           </v>
      </c>
      <c r="C23" s="13"/>
      <c r="D23" s="1">
        <f>SUM(OSRRefD22_1x_0)</f>
        <v>0</v>
      </c>
      <c r="E23" s="1"/>
      <c r="F23" s="5">
        <f t="shared" si="12"/>
        <v>0</v>
      </c>
      <c r="G23" s="1"/>
      <c r="H23" s="1">
        <f>SUM(OSRRefH22_1x_0)</f>
        <v>0</v>
      </c>
      <c r="I23" s="1"/>
      <c r="J23" s="5">
        <f t="shared" si="13"/>
        <v>0</v>
      </c>
      <c r="K23" s="1"/>
      <c r="L23" s="1">
        <f t="shared" si="14"/>
        <v>0</v>
      </c>
      <c r="M23" s="1"/>
      <c r="N23" s="5">
        <f t="shared" si="15"/>
        <v>0</v>
      </c>
      <c r="O23" s="13"/>
      <c r="P23" s="1">
        <f>SUM(OSRRefP22_1x_0)</f>
        <v>23.45</v>
      </c>
      <c r="Q23" s="1"/>
      <c r="R23" s="5">
        <f t="shared" si="16"/>
        <v>3.4348908744690201E-3</v>
      </c>
      <c r="S23" s="1"/>
      <c r="T23" s="1">
        <f>SUM(OSRRefT22_1x_0)</f>
        <v>0</v>
      </c>
      <c r="U23" s="1"/>
      <c r="V23" s="5">
        <f t="shared" si="17"/>
        <v>0</v>
      </c>
      <c r="W23" s="1"/>
      <c r="X23" s="1">
        <f t="shared" si="18"/>
        <v>23.45</v>
      </c>
      <c r="Y23" s="1"/>
      <c r="Z23" s="5">
        <f t="shared" si="19"/>
        <v>0</v>
      </c>
    </row>
    <row r="24" spans="1:26" s="24" customFormat="1" hidden="1" outlineLevel="2" x14ac:dyDescent="0.25">
      <c r="A24" s="26"/>
      <c r="B24" s="11" t="str">
        <f>CONCATENATE("          ", "6279", " - ", "GENERAL EXPENSE")</f>
        <v xml:space="preserve">          6279 - GENERAL EXPENSE</v>
      </c>
      <c r="C24" s="11"/>
      <c r="D24" s="6"/>
      <c r="E24" s="2"/>
      <c r="F24" s="7">
        <f t="shared" si="12"/>
        <v>0</v>
      </c>
      <c r="G24" s="2"/>
      <c r="H24" s="6"/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>
        <v>23.45</v>
      </c>
      <c r="Q24" s="2"/>
      <c r="R24" s="7">
        <f t="shared" si="16"/>
        <v>3.4348908744690201E-3</v>
      </c>
      <c r="S24" s="2"/>
      <c r="T24" s="6"/>
      <c r="U24" s="2"/>
      <c r="V24" s="7">
        <f t="shared" si="17"/>
        <v>0</v>
      </c>
      <c r="W24" s="2"/>
      <c r="X24" s="6">
        <f t="shared" si="18"/>
        <v>23.45</v>
      </c>
      <c r="Y24" s="2"/>
      <c r="Z24" s="7">
        <f t="shared" si="19"/>
        <v>0</v>
      </c>
    </row>
    <row r="25" spans="1:26" s="25" customFormat="1" outlineLevel="1" collapsed="1" x14ac:dyDescent="0.25">
      <c r="A25" s="27"/>
      <c r="B25" s="13" t="str">
        <f>CONCATENATE("     ","Supplies                                          ")</f>
        <v xml:space="preserve">     Supplies                                          </v>
      </c>
      <c r="C25" s="13"/>
      <c r="D25" s="1">
        <f>SUM(OSRRefD22_2x_0)</f>
        <v>0</v>
      </c>
      <c r="E25" s="1"/>
      <c r="F25" s="5">
        <f t="shared" si="12"/>
        <v>0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3"/>
      <c r="P25" s="1">
        <f>SUM(OSRRefP22_2x_0)</f>
        <v>297</v>
      </c>
      <c r="Q25" s="1"/>
      <c r="R25" s="5">
        <f t="shared" si="16"/>
        <v>4.3503735169181192E-2</v>
      </c>
      <c r="S25" s="1"/>
      <c r="T25" s="1">
        <f>SUM(OSRRefT22_2x_0)</f>
        <v>6139.22</v>
      </c>
      <c r="U25" s="1"/>
      <c r="V25" s="5">
        <f t="shared" si="17"/>
        <v>1.1279110784493847</v>
      </c>
      <c r="W25" s="1"/>
      <c r="X25" s="1">
        <f t="shared" si="18"/>
        <v>-5842.22</v>
      </c>
      <c r="Y25" s="1"/>
      <c r="Z25" s="5">
        <f t="shared" si="19"/>
        <v>-0.95162251882160931</v>
      </c>
    </row>
    <row r="26" spans="1:26" s="24" customFormat="1" hidden="1" outlineLevel="2" x14ac:dyDescent="0.25">
      <c r="A26" s="26"/>
      <c r="B26" s="11" t="str">
        <f>CONCATENATE("          ", "6247", " - ", "STORE SUPPLIES")</f>
        <v xml:space="preserve">          6247 - STORE SUPPLIES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>
        <v>297</v>
      </c>
      <c r="Q26" s="2"/>
      <c r="R26" s="7">
        <f t="shared" si="16"/>
        <v>4.3503735169181192E-2</v>
      </c>
      <c r="S26" s="2"/>
      <c r="T26" s="6">
        <v>6139.22</v>
      </c>
      <c r="U26" s="2"/>
      <c r="V26" s="7">
        <f t="shared" si="17"/>
        <v>1.1279110784493847</v>
      </c>
      <c r="W26" s="2"/>
      <c r="X26" s="6">
        <f t="shared" si="18"/>
        <v>-5842.22</v>
      </c>
      <c r="Y26" s="2"/>
      <c r="Z26" s="7">
        <f t="shared" si="19"/>
        <v>-0.95162251882160931</v>
      </c>
    </row>
    <row r="27" spans="1:26" s="53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8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3</v>
      </c>
      <c r="C30" s="29"/>
      <c r="D30" s="21">
        <f>+D18-D20+D28</f>
        <v>540.73</v>
      </c>
      <c r="E30" s="14"/>
      <c r="F30" s="20">
        <f>IF(D$12=0,0,D30/D$12)</f>
        <v>0.34964759133527323</v>
      </c>
      <c r="G30" s="14"/>
      <c r="H30" s="21">
        <f>+H18-H20+H28</f>
        <v>689.88</v>
      </c>
      <c r="I30" s="14"/>
      <c r="J30" s="20">
        <f>IF(H$12=0,0,H30/H$12)</f>
        <v>0.72031323414252157</v>
      </c>
      <c r="K30" s="15"/>
      <c r="L30" s="21">
        <f>+D30-H30</f>
        <v>-149.14999999999998</v>
      </c>
      <c r="M30" s="15"/>
      <c r="N30" s="20">
        <f>IF(H30=0,0,L30/H30)</f>
        <v>-0.21619701977155445</v>
      </c>
      <c r="O30" s="28"/>
      <c r="P30" s="21">
        <f>+P18-P20+P28</f>
        <v>2431.0699999999997</v>
      </c>
      <c r="Q30" s="14"/>
      <c r="R30" s="20">
        <f>IF(P$12=0,0,P30/P$12)</f>
        <v>0.35609638201259702</v>
      </c>
      <c r="S30" s="14"/>
      <c r="T30" s="21">
        <f>+T18-T20+T28</f>
        <v>-2515.7300000000005</v>
      </c>
      <c r="U30" s="14"/>
      <c r="V30" s="20">
        <f>IF(T$12=0,0,T30/T$12)</f>
        <v>-0.46219548043358449</v>
      </c>
      <c r="W30" s="15"/>
      <c r="X30" s="21">
        <f>+P30-T30</f>
        <v>4946.8</v>
      </c>
      <c r="Y30" s="15"/>
      <c r="Z30" s="20">
        <f>IF(T30=0,0,X30/T30)</f>
        <v>-1.9663477400197951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>
        <v>191.38</v>
      </c>
      <c r="E32" s="4"/>
      <c r="F32" s="12">
        <f>IF(D$12=0,0,D32/D$12)</f>
        <v>0.12375040413837697</v>
      </c>
      <c r="G32" s="4"/>
      <c r="H32" s="4">
        <v>160.81</v>
      </c>
      <c r="I32" s="4"/>
      <c r="J32" s="12">
        <f>IF(H$12=0,0,H32/H$12)</f>
        <v>0.16790394152962673</v>
      </c>
      <c r="K32" s="4"/>
      <c r="L32" s="4">
        <f>+D32-H32</f>
        <v>30.569999999999993</v>
      </c>
      <c r="M32" s="4"/>
      <c r="N32" s="12">
        <f>IF(H32=0,0,L32/H32)</f>
        <v>0.19010011815185618</v>
      </c>
      <c r="O32" s="10"/>
      <c r="P32" s="4">
        <v>722.93</v>
      </c>
      <c r="Q32" s="4"/>
      <c r="R32" s="12">
        <f>IF(P$12=0,0,P32/P$12)</f>
        <v>0.10589277867291635</v>
      </c>
      <c r="S32" s="4"/>
      <c r="T32" s="4">
        <v>572.73</v>
      </c>
      <c r="U32" s="4"/>
      <c r="V32" s="12">
        <f>IF(T$12=0,0,T32/T$12)</f>
        <v>0.10522322248759876</v>
      </c>
      <c r="W32" s="4"/>
      <c r="X32" s="4">
        <f>+P32-T32</f>
        <v>150.19999999999993</v>
      </c>
      <c r="Y32" s="4"/>
      <c r="Z32" s="12">
        <f>IF(T32=0,0,X32/T32)</f>
        <v>0.26225271943149464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9" t="s">
        <v>4</v>
      </c>
      <c r="C34" s="29"/>
      <c r="D34" s="31">
        <f>+D30-D32</f>
        <v>349.35</v>
      </c>
      <c r="E34" s="14"/>
      <c r="F34" s="32">
        <f>IF(D$12=0,0,D34/D$12)</f>
        <v>0.22589718719689622</v>
      </c>
      <c r="G34" s="14"/>
      <c r="H34" s="31">
        <f>+H30-H32</f>
        <v>529.06999999999994</v>
      </c>
      <c r="I34" s="14"/>
      <c r="J34" s="32">
        <f>IF(H$12=0,0,H34/H$12)</f>
        <v>0.55240929261289473</v>
      </c>
      <c r="K34" s="15"/>
      <c r="L34" s="31">
        <f>D34-H34</f>
        <v>-179.71999999999991</v>
      </c>
      <c r="M34" s="15"/>
      <c r="N34" s="32">
        <f>IF(H34=0,0,L34/H34)</f>
        <v>-0.33969040013608776</v>
      </c>
      <c r="O34" s="28"/>
      <c r="P34" s="31">
        <f>+P30-P32</f>
        <v>1708.1399999999999</v>
      </c>
      <c r="Q34" s="14"/>
      <c r="R34" s="32">
        <f>IF(P$12=0,0,P34/P$12)</f>
        <v>0.25020360333968067</v>
      </c>
      <c r="S34" s="14"/>
      <c r="T34" s="31">
        <f>+T30-T32</f>
        <v>-3088.4600000000005</v>
      </c>
      <c r="U34" s="14"/>
      <c r="V34" s="32">
        <f>IF(T$12=0,0,T34/T$12)</f>
        <v>-0.56741870292118324</v>
      </c>
      <c r="W34" s="15"/>
      <c r="X34" s="31">
        <f>P34-T34</f>
        <v>4796.6000000000004</v>
      </c>
      <c r="Y34" s="15"/>
      <c r="Z34" s="32">
        <f>IF(T34=0,0,X34/T34)</f>
        <v>-1.5530717574454582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5</v>
      </c>
      <c r="C37" s="29"/>
      <c r="D37" s="34">
        <f>SUM(D34:D36)</f>
        <v>349.35</v>
      </c>
      <c r="E37" s="14"/>
      <c r="F37" s="30">
        <f>IF(D$12=0,0,D37/D$12)</f>
        <v>0.22589718719689622</v>
      </c>
      <c r="G37" s="14"/>
      <c r="H37" s="34">
        <f>SUM(H34:H36)</f>
        <v>529.06999999999994</v>
      </c>
      <c r="I37" s="14"/>
      <c r="J37" s="30">
        <f>IF(H$12=0,0,H37/H$12)</f>
        <v>0.55240929261289473</v>
      </c>
      <c r="K37" s="15"/>
      <c r="L37" s="34">
        <f>+D37-H37</f>
        <v>-179.71999999999991</v>
      </c>
      <c r="M37" s="15"/>
      <c r="N37" s="30">
        <f>IF(H37=0,0,L37/H37)</f>
        <v>-0.33969040013608776</v>
      </c>
      <c r="O37" s="28"/>
      <c r="P37" s="34">
        <f>SUM(P34:P36)</f>
        <v>1708.1399999999999</v>
      </c>
      <c r="Q37" s="14"/>
      <c r="R37" s="30">
        <f>IF(P$12=0,0,P37/P$12)</f>
        <v>0.25020360333968067</v>
      </c>
      <c r="S37" s="14"/>
      <c r="T37" s="34">
        <f>SUM(T34:T36)</f>
        <v>-3088.4600000000005</v>
      </c>
      <c r="U37" s="14"/>
      <c r="V37" s="30">
        <f>IF(T$12=0,0,T37/T$12)</f>
        <v>-0.56741870292118324</v>
      </c>
      <c r="W37" s="15"/>
      <c r="X37" s="34">
        <f>+P37-T37</f>
        <v>4796.6000000000004</v>
      </c>
      <c r="Y37" s="15"/>
      <c r="Z37" s="30">
        <f>IF(T37=0,0,X37/T37)</f>
        <v>-1.5530717574454582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9">
        <v>43815.491973645832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 t="s">
        <v>313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61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","335", " - ", "Customer Service")</f>
        <v>Department 335 - Customer Service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0</v>
      </c>
      <c r="E18" s="22"/>
      <c r="F18" s="33">
        <f t="shared" ref="F18:F20" si="0">IF(D$12=0,0,D18/D$12)</f>
        <v>0</v>
      </c>
      <c r="G18" s="22"/>
      <c r="H18" s="22">
        <f>SUM(OSRRefH22x_0)</f>
        <v>50</v>
      </c>
      <c r="I18" s="22"/>
      <c r="J18" s="33">
        <f t="shared" ref="J18:J20" si="1">IF(H$12=0,0,H18/H$12)</f>
        <v>0</v>
      </c>
      <c r="K18" s="4"/>
      <c r="L18" s="22">
        <f t="shared" ref="L18:L20" si="2">+D18-H18</f>
        <v>-50</v>
      </c>
      <c r="M18" s="4"/>
      <c r="N18" s="33">
        <f t="shared" ref="N18:N20" si="3">IF(H18=0,0,L18/H18)</f>
        <v>-1</v>
      </c>
      <c r="O18" s="10"/>
      <c r="P18" s="22">
        <f>SUM(OSRRefP22x_0)</f>
        <v>0</v>
      </c>
      <c r="Q18" s="22"/>
      <c r="R18" s="33">
        <f t="shared" ref="R18:R20" si="4">IF(P$12=0,0,P18/P$12)</f>
        <v>0</v>
      </c>
      <c r="S18" s="22"/>
      <c r="T18" s="22">
        <f>SUM(OSRRefT22x_0)</f>
        <v>50</v>
      </c>
      <c r="U18" s="22"/>
      <c r="V18" s="33">
        <f t="shared" ref="V18:V20" si="5">IF(T$12=0,0,T18/T$12)</f>
        <v>0</v>
      </c>
      <c r="W18" s="4"/>
      <c r="X18" s="22">
        <f t="shared" ref="X18:X20" si="6">+P18-T18</f>
        <v>-50</v>
      </c>
      <c r="Y18" s="4"/>
      <c r="Z18" s="33">
        <f t="shared" ref="Z18:Z20" si="7">IF(T18=0,0,X18/T18)</f>
        <v>-1</v>
      </c>
    </row>
    <row r="19" spans="1:26" s="25" customFormat="1" outlineLevel="1" collapsed="1" x14ac:dyDescent="0.25">
      <c r="A19" s="27"/>
      <c r="B19" s="13" t="str">
        <f>CONCATENATE("     ","Telephone/Data Lines                              ")</f>
        <v xml:space="preserve">     Telephone/Data Lines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50</v>
      </c>
      <c r="I19" s="1"/>
      <c r="J19" s="5">
        <f t="shared" si="1"/>
        <v>0</v>
      </c>
      <c r="K19" s="1"/>
      <c r="L19" s="1">
        <f t="shared" si="2"/>
        <v>-50</v>
      </c>
      <c r="M19" s="1"/>
      <c r="N19" s="5">
        <f t="shared" si="3"/>
        <v>-1</v>
      </c>
      <c r="O19" s="13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50</v>
      </c>
      <c r="U19" s="1"/>
      <c r="V19" s="5">
        <f t="shared" si="5"/>
        <v>0</v>
      </c>
      <c r="W19" s="1"/>
      <c r="X19" s="1">
        <f t="shared" si="6"/>
        <v>-50</v>
      </c>
      <c r="Y19" s="1"/>
      <c r="Z19" s="5">
        <f t="shared" si="7"/>
        <v>-1</v>
      </c>
    </row>
    <row r="20" spans="1:26" s="24" customFormat="1" hidden="1" outlineLevel="2" x14ac:dyDescent="0.25">
      <c r="A20" s="26"/>
      <c r="B20" s="11" t="str">
        <f>CONCATENATE("          ", "6309", " - ", "TELEPHONE")</f>
        <v xml:space="preserve">          6309 - TELEPHONE</v>
      </c>
      <c r="C20" s="11"/>
      <c r="D20" s="6"/>
      <c r="E20" s="2"/>
      <c r="F20" s="7">
        <f t="shared" si="0"/>
        <v>0</v>
      </c>
      <c r="G20" s="2"/>
      <c r="H20" s="6">
        <v>50</v>
      </c>
      <c r="I20" s="2"/>
      <c r="J20" s="7">
        <f t="shared" si="1"/>
        <v>0</v>
      </c>
      <c r="K20" s="2"/>
      <c r="L20" s="6">
        <f t="shared" si="2"/>
        <v>-50</v>
      </c>
      <c r="M20" s="2"/>
      <c r="N20" s="7">
        <f t="shared" si="3"/>
        <v>-1</v>
      </c>
      <c r="O20" s="11"/>
      <c r="P20" s="6"/>
      <c r="Q20" s="2"/>
      <c r="R20" s="7">
        <f t="shared" si="4"/>
        <v>0</v>
      </c>
      <c r="S20" s="2"/>
      <c r="T20" s="6">
        <v>50</v>
      </c>
      <c r="U20" s="2"/>
      <c r="V20" s="7">
        <f t="shared" si="5"/>
        <v>0</v>
      </c>
      <c r="W20" s="2"/>
      <c r="X20" s="6">
        <f t="shared" si="6"/>
        <v>-50</v>
      </c>
      <c r="Y20" s="2"/>
      <c r="Z20" s="7">
        <f t="shared" si="7"/>
        <v>-1</v>
      </c>
    </row>
    <row r="21" spans="1:26" s="53" customFormat="1" x14ac:dyDescent="0.25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3</v>
      </c>
      <c r="C24" s="29"/>
      <c r="D24" s="21">
        <f>+D16-D18+D22</f>
        <v>0</v>
      </c>
      <c r="E24" s="14"/>
      <c r="F24" s="20">
        <f>IF(D$12=0,0,D24/D$12)</f>
        <v>0</v>
      </c>
      <c r="G24" s="14"/>
      <c r="H24" s="21">
        <f>+H16-H18+H22</f>
        <v>-50</v>
      </c>
      <c r="I24" s="14"/>
      <c r="J24" s="20">
        <f>IF(H$12=0,0,H24/H$12)</f>
        <v>0</v>
      </c>
      <c r="K24" s="15"/>
      <c r="L24" s="21">
        <f>+D24-H24</f>
        <v>50</v>
      </c>
      <c r="M24" s="15"/>
      <c r="N24" s="20">
        <f>IF(H24=0,0,L24/H24)</f>
        <v>-1</v>
      </c>
      <c r="O24" s="28"/>
      <c r="P24" s="21">
        <f>+P16-P18+P22</f>
        <v>0</v>
      </c>
      <c r="Q24" s="14"/>
      <c r="R24" s="20">
        <f>IF(P$12=0,0,P24/P$12)</f>
        <v>0</v>
      </c>
      <c r="S24" s="14"/>
      <c r="T24" s="21">
        <f>+T16-T18+T22</f>
        <v>-50</v>
      </c>
      <c r="U24" s="14"/>
      <c r="V24" s="20">
        <f>IF(T$12=0,0,T24/T$12)</f>
        <v>0</v>
      </c>
      <c r="W24" s="15"/>
      <c r="X24" s="21">
        <f>+P24-T24</f>
        <v>50</v>
      </c>
      <c r="Y24" s="15"/>
      <c r="Z24" s="20">
        <f>IF(T24=0,0,X24/T24)</f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13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9" t="s">
        <v>4</v>
      </c>
      <c r="C28" s="29"/>
      <c r="D28" s="31">
        <f>+D24-D26</f>
        <v>0</v>
      </c>
      <c r="E28" s="14"/>
      <c r="F28" s="32">
        <f>IF(D$12=0,0,D28/D$12)</f>
        <v>0</v>
      </c>
      <c r="G28" s="14"/>
      <c r="H28" s="31">
        <f>+H24-H26</f>
        <v>-50</v>
      </c>
      <c r="I28" s="14"/>
      <c r="J28" s="32">
        <f>IF(H$12=0,0,H28/H$12)</f>
        <v>0</v>
      </c>
      <c r="K28" s="15"/>
      <c r="L28" s="31">
        <f>D28-H28</f>
        <v>50</v>
      </c>
      <c r="M28" s="15"/>
      <c r="N28" s="32">
        <f>IF(H28=0,0,L28/H28)</f>
        <v>-1</v>
      </c>
      <c r="O28" s="28"/>
      <c r="P28" s="31">
        <f>+P24-P26</f>
        <v>0</v>
      </c>
      <c r="Q28" s="14"/>
      <c r="R28" s="32">
        <f>IF(P$12=0,0,P28/P$12)</f>
        <v>0</v>
      </c>
      <c r="S28" s="14"/>
      <c r="T28" s="31">
        <f>+T24-T26</f>
        <v>-50</v>
      </c>
      <c r="U28" s="14"/>
      <c r="V28" s="32">
        <f>IF(T$12=0,0,T28/T$12)</f>
        <v>0</v>
      </c>
      <c r="W28" s="15"/>
      <c r="X28" s="31">
        <f>P28-T28</f>
        <v>50</v>
      </c>
      <c r="Y28" s="15"/>
      <c r="Z28" s="32">
        <f>IF(T28=0,0,X28/T28)</f>
        <v>-1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4">
        <f>SUM(D28:D30)</f>
        <v>0</v>
      </c>
      <c r="E31" s="14"/>
      <c r="F31" s="30">
        <f>IF(D$12=0,0,D31/D$12)</f>
        <v>0</v>
      </c>
      <c r="G31" s="14"/>
      <c r="H31" s="34">
        <f>SUM(H28:H30)</f>
        <v>-50</v>
      </c>
      <c r="I31" s="14"/>
      <c r="J31" s="30">
        <f>IF(H$12=0,0,H31/H$12)</f>
        <v>0</v>
      </c>
      <c r="K31" s="15"/>
      <c r="L31" s="34">
        <f>+D31-H31</f>
        <v>50</v>
      </c>
      <c r="M31" s="15"/>
      <c r="N31" s="30">
        <f>IF(H31=0,0,L31/H31)</f>
        <v>-1</v>
      </c>
      <c r="O31" s="28"/>
      <c r="P31" s="34">
        <f>SUM(P28:P30)</f>
        <v>0</v>
      </c>
      <c r="Q31" s="14"/>
      <c r="R31" s="30">
        <f>IF(P$12=0,0,P31/P$12)</f>
        <v>0</v>
      </c>
      <c r="S31" s="14"/>
      <c r="T31" s="34">
        <f>SUM(T28:T30)</f>
        <v>-50</v>
      </c>
      <c r="U31" s="14"/>
      <c r="V31" s="30">
        <f>IF(T$12=0,0,T31/T$12)</f>
        <v>0</v>
      </c>
      <c r="W31" s="15"/>
      <c r="X31" s="34">
        <f>+P31-T31</f>
        <v>50</v>
      </c>
      <c r="Y31" s="15"/>
      <c r="Z31" s="30">
        <f>IF(T31=0,0,X31/T31)</f>
        <v>-1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9">
        <v>43815.49198885417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2" t="s">
        <v>313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1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309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1703095.97</v>
      </c>
      <c r="E12" s="4"/>
      <c r="F12" s="12"/>
      <c r="G12" s="4"/>
      <c r="H12" s="4">
        <f>SUM(OSRRefH13x_0)</f>
        <v>1381208.3099999998</v>
      </c>
      <c r="I12" s="4"/>
      <c r="J12" s="12"/>
      <c r="K12" s="4"/>
      <c r="L12" s="4">
        <f t="shared" ref="L12:L24" si="0">+D12-H12</f>
        <v>321887.66000000015</v>
      </c>
      <c r="M12" s="4"/>
      <c r="N12" s="12">
        <f t="shared" ref="N12:N24" si="1">IF(H12=0,0,L12/H12)</f>
        <v>0.23304787385763714</v>
      </c>
      <c r="O12" s="10"/>
      <c r="P12" s="4">
        <f>SUM(OSRRefP13x_0)</f>
        <v>7960069.3799999999</v>
      </c>
      <c r="Q12" s="4"/>
      <c r="R12" s="12"/>
      <c r="S12" s="4"/>
      <c r="T12" s="4">
        <f>SUM(OSRRefT13x_0)</f>
        <v>7719506.8500000006</v>
      </c>
      <c r="U12" s="4"/>
      <c r="V12" s="12"/>
      <c r="W12" s="4"/>
      <c r="X12" s="4">
        <f t="shared" ref="X12:X24" si="2">+P12-T12</f>
        <v>240562.52999999933</v>
      </c>
      <c r="Y12" s="4"/>
      <c r="Z12" s="12">
        <f t="shared" ref="Z12:Z24" si="3">IF(T12=0,0,X12/T12)</f>
        <v>3.1162940155950416E-2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--57390.66</f>
        <v>57390.66</v>
      </c>
      <c r="E13" s="2"/>
      <c r="F13" s="19"/>
      <c r="G13" s="2"/>
      <c r="H13" s="2">
        <f>--56705.26</f>
        <v>56705.26</v>
      </c>
      <c r="I13" s="2"/>
      <c r="J13" s="19"/>
      <c r="K13" s="2"/>
      <c r="L13" s="2">
        <f t="shared" si="0"/>
        <v>685.40000000000146</v>
      </c>
      <c r="M13" s="2"/>
      <c r="N13" s="19">
        <f t="shared" si="1"/>
        <v>1.2087062117341521E-2</v>
      </c>
      <c r="O13" s="11"/>
      <c r="P13" s="2">
        <f>--283007.33</f>
        <v>283007.33</v>
      </c>
      <c r="Q13" s="2"/>
      <c r="R13" s="19"/>
      <c r="S13" s="2"/>
      <c r="T13" s="2">
        <f>--292659.55</f>
        <v>292659.55</v>
      </c>
      <c r="U13" s="2"/>
      <c r="V13" s="19"/>
      <c r="W13" s="2"/>
      <c r="X13" s="2">
        <f t="shared" si="2"/>
        <v>-9652.2199999999721</v>
      </c>
      <c r="Y13" s="2"/>
      <c r="Z13" s="19">
        <f t="shared" si="3"/>
        <v>-3.2981052557485215E-2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--85023.13</f>
        <v>85023.13</v>
      </c>
      <c r="E14" s="2"/>
      <c r="F14" s="19"/>
      <c r="G14" s="2"/>
      <c r="H14" s="2">
        <f>--110319.13</f>
        <v>110319.13</v>
      </c>
      <c r="I14" s="2"/>
      <c r="J14" s="19"/>
      <c r="K14" s="2"/>
      <c r="L14" s="2">
        <f t="shared" si="0"/>
        <v>-25296</v>
      </c>
      <c r="M14" s="2"/>
      <c r="N14" s="19">
        <f t="shared" si="1"/>
        <v>-0.22929840001457588</v>
      </c>
      <c r="O14" s="11"/>
      <c r="P14" s="2">
        <f>--453845.53</f>
        <v>453845.53</v>
      </c>
      <c r="Q14" s="2"/>
      <c r="R14" s="19"/>
      <c r="S14" s="2"/>
      <c r="T14" s="2">
        <f>--568867.41</f>
        <v>568867.41</v>
      </c>
      <c r="U14" s="2"/>
      <c r="V14" s="19"/>
      <c r="W14" s="2"/>
      <c r="X14" s="2">
        <f t="shared" si="2"/>
        <v>-115021.88</v>
      </c>
      <c r="Y14" s="2"/>
      <c r="Z14" s="19">
        <f t="shared" si="3"/>
        <v>-0.20219453246583416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--20292.53</f>
        <v>20292.53</v>
      </c>
      <c r="E15" s="2"/>
      <c r="F15" s="19"/>
      <c r="G15" s="2"/>
      <c r="H15" s="2">
        <f>--9040.97</f>
        <v>9040.9699999999993</v>
      </c>
      <c r="I15" s="2"/>
      <c r="J15" s="19"/>
      <c r="K15" s="2"/>
      <c r="L15" s="2">
        <f t="shared" si="0"/>
        <v>11251.56</v>
      </c>
      <c r="M15" s="2"/>
      <c r="N15" s="19">
        <f t="shared" si="1"/>
        <v>1.2445080561045994</v>
      </c>
      <c r="O15" s="11"/>
      <c r="P15" s="2">
        <f>--90170.93</f>
        <v>90170.93</v>
      </c>
      <c r="Q15" s="2"/>
      <c r="R15" s="19"/>
      <c r="S15" s="2"/>
      <c r="T15" s="2">
        <f>--65118.49</f>
        <v>65118.49</v>
      </c>
      <c r="U15" s="2"/>
      <c r="V15" s="19"/>
      <c r="W15" s="2"/>
      <c r="X15" s="2">
        <f t="shared" si="2"/>
        <v>25052.439999999995</v>
      </c>
      <c r="Y15" s="2"/>
      <c r="Z15" s="19">
        <f t="shared" si="3"/>
        <v>0.38472083735356877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>--49269.15</f>
        <v>49269.15</v>
      </c>
      <c r="E16" s="2"/>
      <c r="F16" s="19"/>
      <c r="G16" s="2"/>
      <c r="H16" s="2">
        <f>--50088.16</f>
        <v>50088.160000000003</v>
      </c>
      <c r="I16" s="2"/>
      <c r="J16" s="19"/>
      <c r="K16" s="2"/>
      <c r="L16" s="2">
        <f t="shared" si="0"/>
        <v>-819.01000000000204</v>
      </c>
      <c r="M16" s="2"/>
      <c r="N16" s="19">
        <f t="shared" si="1"/>
        <v>-1.6351369265710739E-2</v>
      </c>
      <c r="O16" s="11"/>
      <c r="P16" s="2">
        <f>--235911.89</f>
        <v>235911.89</v>
      </c>
      <c r="Q16" s="2"/>
      <c r="R16" s="19"/>
      <c r="S16" s="2"/>
      <c r="T16" s="2">
        <f>--268201.32</f>
        <v>268201.32</v>
      </c>
      <c r="U16" s="2"/>
      <c r="V16" s="19"/>
      <c r="W16" s="2"/>
      <c r="X16" s="2">
        <f t="shared" si="2"/>
        <v>-32289.429999999993</v>
      </c>
      <c r="Y16" s="2"/>
      <c r="Z16" s="19">
        <f t="shared" si="3"/>
        <v>-0.12039250962672365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--14656.48</f>
        <v>14656.48</v>
      </c>
      <c r="E18" s="2"/>
      <c r="F18" s="19"/>
      <c r="G18" s="2"/>
      <c r="H18" s="2">
        <f>--15410.23</f>
        <v>15410.23</v>
      </c>
      <c r="I18" s="2"/>
      <c r="J18" s="19"/>
      <c r="K18" s="2"/>
      <c r="L18" s="2">
        <f t="shared" si="0"/>
        <v>-753.75</v>
      </c>
      <c r="M18" s="2"/>
      <c r="N18" s="19">
        <f t="shared" si="1"/>
        <v>-4.8912313443731863E-2</v>
      </c>
      <c r="O18" s="11"/>
      <c r="P18" s="2">
        <f>--78802.41</f>
        <v>78802.41</v>
      </c>
      <c r="Q18" s="2"/>
      <c r="R18" s="19"/>
      <c r="S18" s="2"/>
      <c r="T18" s="2">
        <f>--108999.15</f>
        <v>108999.15</v>
      </c>
      <c r="U18" s="2"/>
      <c r="V18" s="19"/>
      <c r="W18" s="2"/>
      <c r="X18" s="2">
        <f t="shared" si="2"/>
        <v>-30196.739999999991</v>
      </c>
      <c r="Y18" s="2"/>
      <c r="Z18" s="19">
        <f t="shared" si="3"/>
        <v>-0.27703647230276557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--1293579.41</f>
        <v>1293579.4099999999</v>
      </c>
      <c r="E19" s="2"/>
      <c r="F19" s="19"/>
      <c r="G19" s="2"/>
      <c r="H19" s="2">
        <f>--993200.48</f>
        <v>993200.48</v>
      </c>
      <c r="I19" s="2"/>
      <c r="J19" s="19"/>
      <c r="K19" s="2"/>
      <c r="L19" s="2">
        <f t="shared" si="0"/>
        <v>300378.92999999993</v>
      </c>
      <c r="M19" s="2"/>
      <c r="N19" s="19">
        <f t="shared" si="1"/>
        <v>0.30243534517824633</v>
      </c>
      <c r="O19" s="11"/>
      <c r="P19" s="2">
        <f>--5878609.42</f>
        <v>5878609.4199999999</v>
      </c>
      <c r="Q19" s="2"/>
      <c r="R19" s="19"/>
      <c r="S19" s="2"/>
      <c r="T19" s="2">
        <f>--5543182.53</f>
        <v>5543182.5300000003</v>
      </c>
      <c r="U19" s="2"/>
      <c r="V19" s="19"/>
      <c r="W19" s="2"/>
      <c r="X19" s="2">
        <f t="shared" si="2"/>
        <v>335426.88999999966</v>
      </c>
      <c r="Y19" s="2"/>
      <c r="Z19" s="19">
        <f t="shared" si="3"/>
        <v>6.0511608301666311E-2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--5402.66</f>
        <v>5402.66</v>
      </c>
      <c r="E20" s="2"/>
      <c r="F20" s="19"/>
      <c r="G20" s="2"/>
      <c r="H20" s="2">
        <f>--7298.95</f>
        <v>7298.95</v>
      </c>
      <c r="I20" s="2"/>
      <c r="J20" s="19"/>
      <c r="K20" s="2"/>
      <c r="L20" s="2">
        <f t="shared" si="0"/>
        <v>-1896.29</v>
      </c>
      <c r="M20" s="2"/>
      <c r="N20" s="19">
        <f t="shared" si="1"/>
        <v>-0.25980312236691577</v>
      </c>
      <c r="O20" s="11"/>
      <c r="P20" s="2">
        <f>--30341.45</f>
        <v>30341.45</v>
      </c>
      <c r="Q20" s="2"/>
      <c r="R20" s="19"/>
      <c r="S20" s="2"/>
      <c r="T20" s="2">
        <f>--34277.1</f>
        <v>34277.1</v>
      </c>
      <c r="U20" s="2"/>
      <c r="V20" s="19"/>
      <c r="W20" s="2"/>
      <c r="X20" s="2">
        <f t="shared" si="2"/>
        <v>-3935.6499999999978</v>
      </c>
      <c r="Y20" s="2"/>
      <c r="Z20" s="19">
        <f t="shared" si="3"/>
        <v>-0.11481863984992891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--22208.1</f>
        <v>22208.1</v>
      </c>
      <c r="E21" s="2"/>
      <c r="F21" s="19"/>
      <c r="G21" s="2"/>
      <c r="H21" s="2">
        <f>--15905.43</f>
        <v>15905.43</v>
      </c>
      <c r="I21" s="2"/>
      <c r="J21" s="19"/>
      <c r="K21" s="2"/>
      <c r="L21" s="2">
        <f t="shared" si="0"/>
        <v>6302.6699999999983</v>
      </c>
      <c r="M21" s="2"/>
      <c r="N21" s="19">
        <f t="shared" si="1"/>
        <v>0.39625901343126202</v>
      </c>
      <c r="O21" s="11"/>
      <c r="P21" s="2">
        <f>--211996.16</f>
        <v>211996.16</v>
      </c>
      <c r="Q21" s="2"/>
      <c r="R21" s="19"/>
      <c r="S21" s="2"/>
      <c r="T21" s="2">
        <f>--179810.53</f>
        <v>179810.53</v>
      </c>
      <c r="U21" s="2"/>
      <c r="V21" s="19"/>
      <c r="W21" s="2"/>
      <c r="X21" s="2">
        <f t="shared" si="2"/>
        <v>32185.630000000005</v>
      </c>
      <c r="Y21" s="2"/>
      <c r="Z21" s="19">
        <f t="shared" si="3"/>
        <v>0.17899747028163482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--90106.86</f>
        <v>90106.86</v>
      </c>
      <c r="E22" s="2"/>
      <c r="F22" s="19"/>
      <c r="G22" s="2"/>
      <c r="H22" s="2">
        <f>--72252.47</f>
        <v>72252.47</v>
      </c>
      <c r="I22" s="2"/>
      <c r="J22" s="19"/>
      <c r="K22" s="2"/>
      <c r="L22" s="2">
        <f t="shared" si="0"/>
        <v>17854.39</v>
      </c>
      <c r="M22" s="2"/>
      <c r="N22" s="19">
        <f t="shared" si="1"/>
        <v>0.24711113682341931</v>
      </c>
      <c r="O22" s="11"/>
      <c r="P22" s="2">
        <f>--424497</f>
        <v>424497</v>
      </c>
      <c r="Q22" s="2"/>
      <c r="R22" s="19"/>
      <c r="S22" s="2"/>
      <c r="T22" s="2">
        <f>--381347.99</f>
        <v>381347.99</v>
      </c>
      <c r="U22" s="2"/>
      <c r="V22" s="19"/>
      <c r="W22" s="2"/>
      <c r="X22" s="2">
        <f t="shared" si="2"/>
        <v>43149.010000000009</v>
      </c>
      <c r="Y22" s="2"/>
      <c r="Z22" s="19">
        <f t="shared" si="3"/>
        <v>0.11314864934780437</v>
      </c>
    </row>
    <row r="23" spans="1:26" s="24" customFormat="1" hidden="1" outlineLevel="1" x14ac:dyDescent="0.25">
      <c r="A23" s="44"/>
      <c r="B23" s="11" t="str">
        <f>CONCATENATE("          ", "4158", " - ", "NON-TAXABLE SALES-FOOD")</f>
        <v xml:space="preserve">          4158 - NON-TAXABLE SALES-FOOD</v>
      </c>
      <c r="C23" s="11"/>
      <c r="D23" s="2">
        <f>--65166.99</f>
        <v>65166.99</v>
      </c>
      <c r="E23" s="2"/>
      <c r="F23" s="19"/>
      <c r="G23" s="2"/>
      <c r="H23" s="2">
        <f>--50987.23</f>
        <v>50987.23</v>
      </c>
      <c r="I23" s="2"/>
      <c r="J23" s="19"/>
      <c r="K23" s="2"/>
      <c r="L23" s="2">
        <f t="shared" si="0"/>
        <v>14179.759999999995</v>
      </c>
      <c r="M23" s="2"/>
      <c r="N23" s="19">
        <f t="shared" si="1"/>
        <v>0.2781041449005956</v>
      </c>
      <c r="O23" s="11"/>
      <c r="P23" s="2">
        <f>--272887.26</f>
        <v>272887.26</v>
      </c>
      <c r="Q23" s="2"/>
      <c r="R23" s="19"/>
      <c r="S23" s="2"/>
      <c r="T23" s="2">
        <f>--264481.8</f>
        <v>264481.8</v>
      </c>
      <c r="U23" s="2"/>
      <c r="V23" s="19"/>
      <c r="W23" s="2"/>
      <c r="X23" s="2">
        <f t="shared" si="2"/>
        <v>8405.460000000021</v>
      </c>
      <c r="Y23" s="2"/>
      <c r="Z23" s="19">
        <f t="shared" si="3"/>
        <v>3.1780863560366052E-2</v>
      </c>
    </row>
    <row r="24" spans="1:26" s="24" customFormat="1" hidden="1" outlineLevel="1" x14ac:dyDescent="0.25">
      <c r="A24" s="44"/>
      <c r="B24" s="11" t="str">
        <f>CONCATENATE("          ", "4159", " - ", "NON-TAXABLE SALES-FOOD")</f>
        <v xml:space="preserve">          4159 - NON-TAXABLE SALES-FOOD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--1054.9</f>
        <v>1054.9000000000001</v>
      </c>
      <c r="U24" s="2"/>
      <c r="V24" s="19"/>
      <c r="W24" s="2"/>
      <c r="X24" s="2">
        <f t="shared" si="2"/>
        <v>-1054.9000000000001</v>
      </c>
      <c r="Y24" s="2"/>
      <c r="Z24" s="19">
        <f t="shared" si="3"/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8</v>
      </c>
      <c r="C26" s="10"/>
      <c r="D26" s="4">
        <f>SUM(OSRRefD16x_0)</f>
        <v>450618.89</v>
      </c>
      <c r="E26" s="4"/>
      <c r="F26" s="12">
        <f t="shared" ref="F26:F28" si="4">IF(D$12=0,0,D26/D$12)</f>
        <v>0.26458807838057419</v>
      </c>
      <c r="G26" s="4"/>
      <c r="H26" s="4">
        <f>SUM(OSRRefH16x_0)</f>
        <v>383724.72</v>
      </c>
      <c r="I26" s="4"/>
      <c r="J26" s="12">
        <f t="shared" ref="J26:J28" si="5">IF(H$12=0,0,H26/H$12)</f>
        <v>0.27781813736698413</v>
      </c>
      <c r="K26" s="4"/>
      <c r="L26" s="4">
        <f t="shared" ref="L26:L28" si="6">+D26-H26</f>
        <v>66894.170000000042</v>
      </c>
      <c r="M26" s="4"/>
      <c r="N26" s="12">
        <f t="shared" ref="N26:N28" si="7">IF(H26=0,0,L26/H26)</f>
        <v>0.17432853948007324</v>
      </c>
      <c r="O26" s="10"/>
      <c r="P26" s="4">
        <f>SUM(OSRRefP16x_0)</f>
        <v>2146094.6399999997</v>
      </c>
      <c r="Q26" s="4"/>
      <c r="R26" s="12">
        <f t="shared" ref="R26:R28" si="8">IF(P$12=0,0,P26/P$12)</f>
        <v>0.26960752947608096</v>
      </c>
      <c r="S26" s="4"/>
      <c r="T26" s="4">
        <f>SUM(OSRRefT16x_0)</f>
        <v>2074826.7899999998</v>
      </c>
      <c r="U26" s="4"/>
      <c r="V26" s="12">
        <f t="shared" ref="V26:V28" si="9">IF(T$12=0,0,T26/T$12)</f>
        <v>0.26877711624804113</v>
      </c>
      <c r="W26" s="4"/>
      <c r="X26" s="4">
        <f t="shared" ref="X26:X28" si="10">+P26-T26</f>
        <v>71267.84999999986</v>
      </c>
      <c r="Y26" s="4"/>
      <c r="Z26" s="12">
        <f t="shared" ref="Z26:Z28" si="11">IF(T26=0,0,X26/T26)</f>
        <v>3.4348819064554233E-2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420297.18</v>
      </c>
      <c r="E27" s="2"/>
      <c r="F27" s="19">
        <f t="shared" si="4"/>
        <v>0.24678420206701562</v>
      </c>
      <c r="G27" s="2"/>
      <c r="H27" s="2">
        <v>387346.18</v>
      </c>
      <c r="I27" s="2"/>
      <c r="J27" s="19">
        <f t="shared" si="5"/>
        <v>0.28044008799802256</v>
      </c>
      <c r="K27" s="2"/>
      <c r="L27" s="2">
        <f t="shared" si="6"/>
        <v>32951</v>
      </c>
      <c r="M27" s="2"/>
      <c r="N27" s="19">
        <f t="shared" si="7"/>
        <v>8.5068607104890004E-2</v>
      </c>
      <c r="O27" s="11"/>
      <c r="P27" s="2">
        <v>2181713.59</v>
      </c>
      <c r="Q27" s="2"/>
      <c r="R27" s="19">
        <f t="shared" si="8"/>
        <v>0.27408223293651746</v>
      </c>
      <c r="S27" s="2"/>
      <c r="T27" s="2">
        <v>2150821.59</v>
      </c>
      <c r="U27" s="2"/>
      <c r="V27" s="19">
        <f t="shared" si="9"/>
        <v>0.27862163112142324</v>
      </c>
      <c r="W27" s="2"/>
      <c r="X27" s="2">
        <f t="shared" si="10"/>
        <v>30892</v>
      </c>
      <c r="Y27" s="2"/>
      <c r="Z27" s="19">
        <f t="shared" si="11"/>
        <v>1.4362883534194021E-2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30321.710000000003</v>
      </c>
      <c r="E28" s="2"/>
      <c r="F28" s="19">
        <f t="shared" si="4"/>
        <v>1.780387631355854E-2</v>
      </c>
      <c r="G28" s="2"/>
      <c r="H28" s="2">
        <v>-3621.46</v>
      </c>
      <c r="I28" s="2"/>
      <c r="J28" s="19">
        <f t="shared" si="5"/>
        <v>-2.6219506310384134E-3</v>
      </c>
      <c r="K28" s="2"/>
      <c r="L28" s="2">
        <f t="shared" si="6"/>
        <v>33943.170000000006</v>
      </c>
      <c r="M28" s="2"/>
      <c r="N28" s="19">
        <f t="shared" si="7"/>
        <v>-9.3727861138877699</v>
      </c>
      <c r="O28" s="11"/>
      <c r="P28" s="2">
        <v>-35618.950000000004</v>
      </c>
      <c r="Q28" s="2"/>
      <c r="R28" s="19">
        <f t="shared" si="8"/>
        <v>-4.4747034604364225E-3</v>
      </c>
      <c r="S28" s="2"/>
      <c r="T28" s="2">
        <v>-75994.8</v>
      </c>
      <c r="U28" s="2"/>
      <c r="V28" s="19">
        <f t="shared" si="9"/>
        <v>-9.8445148733820997E-3</v>
      </c>
      <c r="W28" s="2"/>
      <c r="X28" s="2">
        <f t="shared" si="10"/>
        <v>40375.85</v>
      </c>
      <c r="Y28" s="2"/>
      <c r="Z28" s="19">
        <f t="shared" si="11"/>
        <v>-0.53129753614720998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6</v>
      </c>
      <c r="C30" s="29"/>
      <c r="D30" s="21">
        <f>D12-D26</f>
        <v>1252477.08</v>
      </c>
      <c r="E30" s="14"/>
      <c r="F30" s="20">
        <f>IF(D$12=0,0,D30/D$12)</f>
        <v>0.73541192161942592</v>
      </c>
      <c r="G30" s="14"/>
      <c r="H30" s="21">
        <f>H12-H26</f>
        <v>997483.58999999985</v>
      </c>
      <c r="I30" s="14"/>
      <c r="J30" s="20">
        <f>IF(H$12=0,0,H30/H$12)</f>
        <v>0.72218186263301587</v>
      </c>
      <c r="K30" s="15"/>
      <c r="L30" s="21">
        <f>+D30-H30</f>
        <v>254993.49000000022</v>
      </c>
      <c r="M30" s="15"/>
      <c r="N30" s="20">
        <f>IF(H30=0,0,L30/H30)</f>
        <v>0.25563677694186454</v>
      </c>
      <c r="O30" s="28"/>
      <c r="P30" s="21">
        <f>P12-P26</f>
        <v>5813974.7400000002</v>
      </c>
      <c r="Q30" s="14"/>
      <c r="R30" s="20">
        <f>IF(P$12=0,0,P30/P$12)</f>
        <v>0.73039247052391898</v>
      </c>
      <c r="S30" s="14"/>
      <c r="T30" s="21">
        <f>T12-T26</f>
        <v>5644680.0600000005</v>
      </c>
      <c r="U30" s="14"/>
      <c r="V30" s="20">
        <f>IF(T$12=0,0,T30/T$12)</f>
        <v>0.73122288375195887</v>
      </c>
      <c r="W30" s="15"/>
      <c r="X30" s="21">
        <f>+P30-T30</f>
        <v>169294.6799999997</v>
      </c>
      <c r="Y30" s="15"/>
      <c r="Z30" s="20">
        <f>IF(T30=0,0,X30/T30)</f>
        <v>2.9991900019219104E-2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8" t="s">
        <v>9</v>
      </c>
      <c r="C32" s="10"/>
      <c r="D32" s="22">
        <f>SUM(OSRRefD22x_0)</f>
        <v>972605.4</v>
      </c>
      <c r="E32" s="22"/>
      <c r="F32" s="33">
        <f t="shared" ref="F32:F42" si="12">IF(D$12=0,0,D32/D$12)</f>
        <v>0.57108079470119355</v>
      </c>
      <c r="G32" s="22"/>
      <c r="H32" s="22">
        <f>SUM(OSRRefH22x_0)</f>
        <v>837803.57000000007</v>
      </c>
      <c r="I32" s="22"/>
      <c r="J32" s="33">
        <f t="shared" ref="J32:J42" si="13">IF(H$12=0,0,H32/H$12)</f>
        <v>0.6065729288871714</v>
      </c>
      <c r="K32" s="4"/>
      <c r="L32" s="22">
        <f t="shared" ref="L32:L42" si="14">+D32-H32</f>
        <v>134801.82999999996</v>
      </c>
      <c r="M32" s="4"/>
      <c r="N32" s="33">
        <f t="shared" ref="N32:N42" si="15">IF(H32=0,0,L32/H32)</f>
        <v>0.16089908759877922</v>
      </c>
      <c r="O32" s="10"/>
      <c r="P32" s="22">
        <f>SUM(OSRRefP22x_0)</f>
        <v>4917827.4699999988</v>
      </c>
      <c r="Q32" s="22"/>
      <c r="R32" s="33">
        <f t="shared" ref="R32:R42" si="16">IF(P$12=0,0,P32/P$12)</f>
        <v>0.6178121364565291</v>
      </c>
      <c r="S32" s="22"/>
      <c r="T32" s="22">
        <f>SUM(OSRRefT22x_0)</f>
        <v>4482529.6900000004</v>
      </c>
      <c r="U32" s="22"/>
      <c r="V32" s="33">
        <f t="shared" ref="V32:V42" si="17">IF(T$12=0,0,T32/T$12)</f>
        <v>0.58067565417083611</v>
      </c>
      <c r="W32" s="4"/>
      <c r="X32" s="22">
        <f t="shared" ref="X32:X42" si="18">+P32-T32</f>
        <v>435297.7799999984</v>
      </c>
      <c r="Y32" s="4"/>
      <c r="Z32" s="33">
        <f t="shared" ref="Z32:Z42" si="19">IF(T32=0,0,X32/T32)</f>
        <v>9.7109848702418372E-2</v>
      </c>
    </row>
    <row r="33" spans="1:26" s="25" customFormat="1" outlineLevel="1" collapsed="1" x14ac:dyDescent="0.25">
      <c r="A33" s="27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159393.44</v>
      </c>
      <c r="E33" s="1"/>
      <c r="F33" s="5">
        <f t="shared" si="12"/>
        <v>9.3590404068656222E-2</v>
      </c>
      <c r="G33" s="1"/>
      <c r="H33" s="1">
        <f>SUM(OSRRefH22_0x_0)</f>
        <v>142542.04</v>
      </c>
      <c r="I33" s="1"/>
      <c r="J33" s="5">
        <f t="shared" si="13"/>
        <v>0.10320097190842996</v>
      </c>
      <c r="K33" s="1"/>
      <c r="L33" s="1">
        <f t="shared" si="14"/>
        <v>16851.399999999994</v>
      </c>
      <c r="M33" s="1"/>
      <c r="N33" s="5">
        <f t="shared" si="15"/>
        <v>0.11822056145681648</v>
      </c>
      <c r="O33" s="13"/>
      <c r="P33" s="1">
        <f>SUM(OSRRefP22_0x_0)</f>
        <v>810611.16000000015</v>
      </c>
      <c r="Q33" s="1"/>
      <c r="R33" s="5">
        <f t="shared" si="16"/>
        <v>0.10183468526501714</v>
      </c>
      <c r="S33" s="1"/>
      <c r="T33" s="1">
        <f>SUM(OSRRefT22_0x_0)</f>
        <v>756809.08000000019</v>
      </c>
      <c r="U33" s="1"/>
      <c r="V33" s="5">
        <f t="shared" si="17"/>
        <v>9.8038526904085863E-2</v>
      </c>
      <c r="W33" s="1"/>
      <c r="X33" s="1">
        <f t="shared" si="18"/>
        <v>53802.079999999958</v>
      </c>
      <c r="Y33" s="1"/>
      <c r="Z33" s="5">
        <f t="shared" si="19"/>
        <v>7.1090690402393089E-2</v>
      </c>
    </row>
    <row r="34" spans="1:26" s="24" customFormat="1" hidden="1" outlineLevel="2" x14ac:dyDescent="0.25">
      <c r="A34" s="26"/>
      <c r="B34" s="11" t="str">
        <f>CONCATENATE("          ", "6111", " - ", "F.I.C.A.")</f>
        <v xml:space="preserve">          6111 - F.I.C.A.</v>
      </c>
      <c r="C34" s="11"/>
      <c r="D34" s="6">
        <v>23806.94</v>
      </c>
      <c r="E34" s="2"/>
      <c r="F34" s="7">
        <f t="shared" si="12"/>
        <v>1.3978625056578578E-2</v>
      </c>
      <c r="G34" s="2"/>
      <c r="H34" s="6">
        <v>20214.73</v>
      </c>
      <c r="I34" s="2"/>
      <c r="J34" s="7">
        <f t="shared" si="13"/>
        <v>1.4635540384201716E-2</v>
      </c>
      <c r="K34" s="2"/>
      <c r="L34" s="6">
        <f t="shared" si="14"/>
        <v>3592.2099999999991</v>
      </c>
      <c r="M34" s="2"/>
      <c r="N34" s="7">
        <f t="shared" si="15"/>
        <v>0.17770259607721692</v>
      </c>
      <c r="O34" s="11"/>
      <c r="P34" s="6">
        <v>143273.09</v>
      </c>
      <c r="Q34" s="2"/>
      <c r="R34" s="7">
        <f t="shared" si="16"/>
        <v>1.799897502903423E-2</v>
      </c>
      <c r="S34" s="2"/>
      <c r="T34" s="6">
        <v>127405.75999999999</v>
      </c>
      <c r="U34" s="2"/>
      <c r="V34" s="7">
        <f t="shared" si="17"/>
        <v>1.650439108037063E-2</v>
      </c>
      <c r="W34" s="2"/>
      <c r="X34" s="6">
        <f t="shared" si="18"/>
        <v>15867.330000000002</v>
      </c>
      <c r="Y34" s="2"/>
      <c r="Z34" s="7">
        <f t="shared" si="19"/>
        <v>0.12454170046942935</v>
      </c>
    </row>
    <row r="35" spans="1:26" s="24" customFormat="1" hidden="1" outlineLevel="2" x14ac:dyDescent="0.25">
      <c r="A35" s="26"/>
      <c r="B35" s="11" t="str">
        <f>CONCATENATE("          ", "6112", " - ", "COMPENSATION INSURANCE")</f>
        <v xml:space="preserve">          6112 - COMPENSATION INSURANCE</v>
      </c>
      <c r="C35" s="11"/>
      <c r="D35" s="6">
        <v>20424.14</v>
      </c>
      <c r="E35" s="2"/>
      <c r="F35" s="7">
        <f t="shared" si="12"/>
        <v>1.1992360007756933E-2</v>
      </c>
      <c r="G35" s="2"/>
      <c r="H35" s="6">
        <v>16327.390000000001</v>
      </c>
      <c r="I35" s="2"/>
      <c r="J35" s="7">
        <f t="shared" si="13"/>
        <v>1.182109163533776E-2</v>
      </c>
      <c r="K35" s="2"/>
      <c r="L35" s="6">
        <f t="shared" si="14"/>
        <v>4096.7499999999982</v>
      </c>
      <c r="M35" s="2"/>
      <c r="N35" s="7">
        <f t="shared" si="15"/>
        <v>0.25091273008117021</v>
      </c>
      <c r="O35" s="11"/>
      <c r="P35" s="6">
        <v>61928.930000000008</v>
      </c>
      <c r="Q35" s="2"/>
      <c r="R35" s="7">
        <f t="shared" si="16"/>
        <v>7.7799485210014599E-3</v>
      </c>
      <c r="S35" s="2"/>
      <c r="T35" s="6">
        <v>78694.86</v>
      </c>
      <c r="U35" s="2"/>
      <c r="V35" s="7">
        <f t="shared" si="17"/>
        <v>1.0194285921256744E-2</v>
      </c>
      <c r="W35" s="2"/>
      <c r="X35" s="6">
        <f t="shared" si="18"/>
        <v>-16765.929999999993</v>
      </c>
      <c r="Y35" s="2"/>
      <c r="Z35" s="7">
        <f t="shared" si="19"/>
        <v>-0.21304987390536043</v>
      </c>
    </row>
    <row r="36" spans="1:26" s="24" customFormat="1" hidden="1" outlineLevel="2" x14ac:dyDescent="0.25">
      <c r="A36" s="26"/>
      <c r="B36" s="11" t="str">
        <f>CONCATENATE("          ", "6113", " - ", "GROUP INSURANCE")</f>
        <v xml:space="preserve">          6113 - GROUP INSURANCE</v>
      </c>
      <c r="C36" s="11"/>
      <c r="D36" s="6">
        <v>70852.710000000006</v>
      </c>
      <c r="E36" s="2"/>
      <c r="F36" s="7">
        <f t="shared" si="12"/>
        <v>4.1602300309594421E-2</v>
      </c>
      <c r="G36" s="2"/>
      <c r="H36" s="6">
        <v>72825.759999999995</v>
      </c>
      <c r="I36" s="2"/>
      <c r="J36" s="7">
        <f t="shared" si="13"/>
        <v>5.2726123549024985E-2</v>
      </c>
      <c r="K36" s="2"/>
      <c r="L36" s="6">
        <f t="shared" si="14"/>
        <v>-1973.0499999999884</v>
      </c>
      <c r="M36" s="2"/>
      <c r="N36" s="7">
        <f t="shared" si="15"/>
        <v>-2.7092748499981167E-2</v>
      </c>
      <c r="O36" s="11"/>
      <c r="P36" s="6">
        <v>334195.65000000002</v>
      </c>
      <c r="Q36" s="2"/>
      <c r="R36" s="7">
        <f t="shared" si="16"/>
        <v>4.1984012204677547E-2</v>
      </c>
      <c r="S36" s="2"/>
      <c r="T36" s="6">
        <v>321626.18</v>
      </c>
      <c r="U36" s="2"/>
      <c r="V36" s="7">
        <f t="shared" si="17"/>
        <v>4.1664083762034614E-2</v>
      </c>
      <c r="W36" s="2"/>
      <c r="X36" s="6">
        <f t="shared" si="18"/>
        <v>12569.47000000003</v>
      </c>
      <c r="Y36" s="2"/>
      <c r="Z36" s="7">
        <f t="shared" si="19"/>
        <v>3.9080991478989774E-2</v>
      </c>
    </row>
    <row r="37" spans="1:26" s="24" customFormat="1" hidden="1" outlineLevel="2" x14ac:dyDescent="0.25">
      <c r="A37" s="26"/>
      <c r="B37" s="11" t="str">
        <f>CONCATENATE("          ", "6114", " - ", "STATE UNEMPLOYMENT INSURANCE")</f>
        <v xml:space="preserve">          6114 - STATE UNEMPLOYMENT INSURANCE</v>
      </c>
      <c r="C37" s="11"/>
      <c r="D37" s="6">
        <v>1412.8</v>
      </c>
      <c r="E37" s="2"/>
      <c r="F37" s="7">
        <f t="shared" si="12"/>
        <v>8.2954808471539035E-4</v>
      </c>
      <c r="G37" s="2"/>
      <c r="H37" s="6">
        <v>1228.77</v>
      </c>
      <c r="I37" s="2"/>
      <c r="J37" s="7">
        <f t="shared" si="13"/>
        <v>8.8963409147169127E-4</v>
      </c>
      <c r="K37" s="2"/>
      <c r="L37" s="6">
        <f t="shared" si="14"/>
        <v>184.02999999999997</v>
      </c>
      <c r="M37" s="2"/>
      <c r="N37" s="7">
        <f t="shared" si="15"/>
        <v>0.14976765383269447</v>
      </c>
      <c r="O37" s="11"/>
      <c r="P37" s="6">
        <v>6213.17</v>
      </c>
      <c r="Q37" s="2"/>
      <c r="R37" s="7">
        <f t="shared" si="16"/>
        <v>7.8054219170637436E-4</v>
      </c>
      <c r="S37" s="2"/>
      <c r="T37" s="6">
        <v>5924.29</v>
      </c>
      <c r="U37" s="2"/>
      <c r="V37" s="7">
        <f t="shared" si="17"/>
        <v>7.6744410169154781E-4</v>
      </c>
      <c r="W37" s="2"/>
      <c r="X37" s="6">
        <f t="shared" si="18"/>
        <v>288.88000000000011</v>
      </c>
      <c r="Y37" s="2"/>
      <c r="Z37" s="7">
        <f t="shared" si="19"/>
        <v>4.8761961348954913E-2</v>
      </c>
    </row>
    <row r="38" spans="1:26" s="24" customFormat="1" hidden="1" outlineLevel="2" x14ac:dyDescent="0.25">
      <c r="A38" s="26"/>
      <c r="B38" s="11" t="str">
        <f>CONCATENATE("          ", "6115", " - ", "P.E.R.S.")</f>
        <v xml:space="preserve">          6115 - P.E.R.S.</v>
      </c>
      <c r="C38" s="11"/>
      <c r="D38" s="6">
        <v>10725.42</v>
      </c>
      <c r="E38" s="2"/>
      <c r="F38" s="7">
        <f t="shared" si="12"/>
        <v>6.2976016554134647E-3</v>
      </c>
      <c r="G38" s="2"/>
      <c r="H38" s="6">
        <v>9864.89</v>
      </c>
      <c r="I38" s="2"/>
      <c r="J38" s="7">
        <f t="shared" si="13"/>
        <v>7.1422173821123341E-3</v>
      </c>
      <c r="K38" s="2"/>
      <c r="L38" s="6">
        <f t="shared" si="14"/>
        <v>860.53000000000065</v>
      </c>
      <c r="M38" s="2"/>
      <c r="N38" s="7">
        <f t="shared" si="15"/>
        <v>8.7231585957876945E-2</v>
      </c>
      <c r="O38" s="11"/>
      <c r="P38" s="6">
        <v>57459.13</v>
      </c>
      <c r="Q38" s="2"/>
      <c r="R38" s="7">
        <f t="shared" si="16"/>
        <v>7.2184207520060587E-3</v>
      </c>
      <c r="S38" s="2"/>
      <c r="T38" s="6">
        <v>57254.18</v>
      </c>
      <c r="U38" s="2"/>
      <c r="V38" s="7">
        <f t="shared" si="17"/>
        <v>7.4168183424825895E-3</v>
      </c>
      <c r="W38" s="2"/>
      <c r="X38" s="6">
        <f t="shared" si="18"/>
        <v>204.94999999999709</v>
      </c>
      <c r="Y38" s="2"/>
      <c r="Z38" s="7">
        <f t="shared" si="19"/>
        <v>3.5796513023153434E-3</v>
      </c>
    </row>
    <row r="39" spans="1:26" s="24" customFormat="1" hidden="1" outlineLevel="2" x14ac:dyDescent="0.25">
      <c r="A39" s="26"/>
      <c r="B39" s="11" t="str">
        <f>CONCATENATE("          ", "6117", " - ", "RETIREMENT STAFF HOURLY")</f>
        <v xml:space="preserve">          6117 - RETIREMENT STAFF HOURLY</v>
      </c>
      <c r="C39" s="11"/>
      <c r="D39" s="6">
        <v>1827.39</v>
      </c>
      <c r="E39" s="2"/>
      <c r="F39" s="7">
        <f t="shared" si="12"/>
        <v>1.0729812248924529E-3</v>
      </c>
      <c r="G39" s="2"/>
      <c r="H39" s="6">
        <v>1515.27</v>
      </c>
      <c r="I39" s="2"/>
      <c r="J39" s="7">
        <f t="shared" si="13"/>
        <v>1.0970611666823813E-3</v>
      </c>
      <c r="K39" s="2"/>
      <c r="L39" s="6">
        <f t="shared" si="14"/>
        <v>312.12000000000012</v>
      </c>
      <c r="M39" s="2"/>
      <c r="N39" s="7">
        <f t="shared" si="15"/>
        <v>0.20598309212219612</v>
      </c>
      <c r="O39" s="11"/>
      <c r="P39" s="6">
        <v>8572.41</v>
      </c>
      <c r="Q39" s="2"/>
      <c r="R39" s="7">
        <f t="shared" si="16"/>
        <v>1.0769265430699048E-3</v>
      </c>
      <c r="S39" s="2"/>
      <c r="T39" s="6">
        <v>8113.22</v>
      </c>
      <c r="U39" s="2"/>
      <c r="V39" s="7">
        <f t="shared" si="17"/>
        <v>1.0510023707019575E-3</v>
      </c>
      <c r="W39" s="2"/>
      <c r="X39" s="6">
        <f t="shared" si="18"/>
        <v>459.1899999999996</v>
      </c>
      <c r="Y39" s="2"/>
      <c r="Z39" s="7">
        <f t="shared" si="19"/>
        <v>5.6597750338336639E-2</v>
      </c>
    </row>
    <row r="40" spans="1:26" s="24" customFormat="1" hidden="1" outlineLevel="2" x14ac:dyDescent="0.25">
      <c r="A40" s="26"/>
      <c r="B40" s="11" t="str">
        <f>CONCATENATE("          ", "6118", " - ", "VACATION")</f>
        <v xml:space="preserve">          6118 - VACATION</v>
      </c>
      <c r="C40" s="11"/>
      <c r="D40" s="6">
        <v>13962.54</v>
      </c>
      <c r="E40" s="2"/>
      <c r="F40" s="7">
        <f t="shared" si="12"/>
        <v>8.1983283654884116E-3</v>
      </c>
      <c r="G40" s="2"/>
      <c r="H40" s="6">
        <v>12525.96</v>
      </c>
      <c r="I40" s="2"/>
      <c r="J40" s="7">
        <f t="shared" si="13"/>
        <v>9.0688420488868916E-3</v>
      </c>
      <c r="K40" s="2"/>
      <c r="L40" s="6">
        <f t="shared" si="14"/>
        <v>1436.5800000000017</v>
      </c>
      <c r="M40" s="2"/>
      <c r="N40" s="7">
        <f t="shared" si="15"/>
        <v>0.11468821551402063</v>
      </c>
      <c r="O40" s="11"/>
      <c r="P40" s="6">
        <v>84409.22</v>
      </c>
      <c r="Q40" s="2"/>
      <c r="R40" s="7">
        <f t="shared" si="16"/>
        <v>1.0604080940812102E-2</v>
      </c>
      <c r="S40" s="2"/>
      <c r="T40" s="6">
        <v>74136.94</v>
      </c>
      <c r="U40" s="2"/>
      <c r="V40" s="7">
        <f t="shared" si="17"/>
        <v>9.603844059028201E-3</v>
      </c>
      <c r="W40" s="2"/>
      <c r="X40" s="6">
        <f t="shared" si="18"/>
        <v>10272.279999999999</v>
      </c>
      <c r="Y40" s="2"/>
      <c r="Z40" s="7">
        <f t="shared" si="19"/>
        <v>0.13855818705223064</v>
      </c>
    </row>
    <row r="41" spans="1:26" s="24" customFormat="1" hidden="1" outlineLevel="2" x14ac:dyDescent="0.25">
      <c r="A41" s="26"/>
      <c r="B41" s="11" t="str">
        <f>CONCATENATE("          ", "6119", " - ", "SICK LEAVE")</f>
        <v xml:space="preserve">          6119 - SICK LEAVE</v>
      </c>
      <c r="C41" s="11"/>
      <c r="D41" s="6">
        <v>9960.64</v>
      </c>
      <c r="E41" s="2"/>
      <c r="F41" s="7">
        <f t="shared" si="12"/>
        <v>5.8485488636321531E-3</v>
      </c>
      <c r="G41" s="2"/>
      <c r="H41" s="6">
        <v>1960.94</v>
      </c>
      <c r="I41" s="2"/>
      <c r="J41" s="7">
        <f t="shared" si="13"/>
        <v>1.4197279192448534E-3</v>
      </c>
      <c r="K41" s="2"/>
      <c r="L41" s="6">
        <f t="shared" si="14"/>
        <v>7999.6999999999989</v>
      </c>
      <c r="M41" s="2"/>
      <c r="N41" s="7">
        <f t="shared" si="15"/>
        <v>4.0795230858669811</v>
      </c>
      <c r="O41" s="11"/>
      <c r="P41" s="6">
        <v>83883.75</v>
      </c>
      <c r="Q41" s="2"/>
      <c r="R41" s="7">
        <f t="shared" si="16"/>
        <v>1.0538067697093364E-2</v>
      </c>
      <c r="S41" s="2"/>
      <c r="T41" s="6">
        <v>51908.160000000003</v>
      </c>
      <c r="U41" s="2"/>
      <c r="V41" s="7">
        <f t="shared" si="17"/>
        <v>6.7242844664358323E-3</v>
      </c>
      <c r="W41" s="2"/>
      <c r="X41" s="6">
        <f t="shared" si="18"/>
        <v>31975.589999999997</v>
      </c>
      <c r="Y41" s="2"/>
      <c r="Z41" s="7">
        <f t="shared" si="19"/>
        <v>0.61600314863790195</v>
      </c>
    </row>
    <row r="42" spans="1:26" s="24" customFormat="1" hidden="1" outlineLevel="2" x14ac:dyDescent="0.25">
      <c r="A42" s="26"/>
      <c r="B42" s="11" t="str">
        <f>CONCATENATE("          ", "6156", " - ", "EMPLOYEE MEALS")</f>
        <v xml:space="preserve">          6156 - EMPLOYEE MEALS</v>
      </c>
      <c r="C42" s="11"/>
      <c r="D42" s="6">
        <v>6420.86</v>
      </c>
      <c r="E42" s="2"/>
      <c r="F42" s="7">
        <f t="shared" si="12"/>
        <v>3.7701105005844148E-3</v>
      </c>
      <c r="G42" s="2"/>
      <c r="H42" s="6">
        <v>6078.33</v>
      </c>
      <c r="I42" s="2"/>
      <c r="J42" s="7">
        <f t="shared" si="13"/>
        <v>4.400733731467342E-3</v>
      </c>
      <c r="K42" s="2"/>
      <c r="L42" s="6">
        <f t="shared" si="14"/>
        <v>342.52999999999975</v>
      </c>
      <c r="M42" s="2"/>
      <c r="N42" s="7">
        <f t="shared" si="15"/>
        <v>5.6352649494186682E-2</v>
      </c>
      <c r="O42" s="11"/>
      <c r="P42" s="6">
        <v>30675.809999999998</v>
      </c>
      <c r="Q42" s="2"/>
      <c r="R42" s="7">
        <f t="shared" si="16"/>
        <v>3.8537113856160887E-3</v>
      </c>
      <c r="S42" s="2"/>
      <c r="T42" s="6">
        <v>31745.489999999998</v>
      </c>
      <c r="U42" s="2"/>
      <c r="V42" s="7">
        <f t="shared" si="17"/>
        <v>4.1123728000837254E-3</v>
      </c>
      <c r="W42" s="2"/>
      <c r="X42" s="6">
        <f t="shared" si="18"/>
        <v>-1069.6800000000003</v>
      </c>
      <c r="Y42" s="2"/>
      <c r="Z42" s="7">
        <f t="shared" si="19"/>
        <v>-3.3695495013622422E-2</v>
      </c>
    </row>
    <row r="43" spans="1:26" s="25" customFormat="1" outlineLevel="1" collapsed="1" x14ac:dyDescent="0.25">
      <c r="A43" s="27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473078.6</v>
      </c>
      <c r="E43" s="1"/>
      <c r="F43" s="5">
        <f t="shared" ref="F43:F50" si="20">IF(D$12=0,0,D43/D$12)</f>
        <v>0.27777565582519698</v>
      </c>
      <c r="G43" s="1"/>
      <c r="H43" s="1">
        <f>SUM(OSRRefH22_1x_0)</f>
        <v>389229.34</v>
      </c>
      <c r="I43" s="1"/>
      <c r="J43" s="5">
        <f t="shared" ref="J43:J50" si="21">IF(H$12=0,0,H43/H$12)</f>
        <v>0.2818035029053656</v>
      </c>
      <c r="K43" s="1"/>
      <c r="L43" s="1">
        <f t="shared" ref="L43:L50" si="22">+D43-H43</f>
        <v>83849.259999999951</v>
      </c>
      <c r="M43" s="1"/>
      <c r="N43" s="5">
        <f t="shared" ref="N43:N50" si="23">IF(H43=0,0,L43/H43)</f>
        <v>0.21542379102253686</v>
      </c>
      <c r="O43" s="13"/>
      <c r="P43" s="1">
        <f>SUM(OSRRefP22_1x_0)</f>
        <v>2411646.5</v>
      </c>
      <c r="Q43" s="1"/>
      <c r="R43" s="5">
        <f t="shared" ref="R43:R50" si="24">IF(P$12=0,0,P43/P$12)</f>
        <v>0.30296802513547944</v>
      </c>
      <c r="S43" s="1"/>
      <c r="T43" s="1">
        <f>SUM(OSRRefT22_1x_0)</f>
        <v>2138829.17</v>
      </c>
      <c r="U43" s="1"/>
      <c r="V43" s="5">
        <f t="shared" ref="V43:V50" si="25">IF(T$12=0,0,T43/T$12)</f>
        <v>0.27706810960340034</v>
      </c>
      <c r="W43" s="1"/>
      <c r="X43" s="1">
        <f t="shared" ref="X43:X50" si="26">+P43-T43</f>
        <v>272817.33000000007</v>
      </c>
      <c r="Y43" s="1"/>
      <c r="Z43" s="5">
        <f t="shared" ref="Z43:Z50" si="27">IF(T43=0,0,X43/T43)</f>
        <v>0.12755452086900426</v>
      </c>
    </row>
    <row r="44" spans="1:26" s="24" customFormat="1" hidden="1" outlineLevel="2" x14ac:dyDescent="0.25">
      <c r="A44" s="26"/>
      <c r="B44" s="11" t="str">
        <f>CONCATENATE("          ", "6001", " - ", "ADMINISTRATIVE SALARIES")</f>
        <v xml:space="preserve">          6001 - ADMINISTRATIVE SALARIES</v>
      </c>
      <c r="C44" s="11"/>
      <c r="D44" s="6">
        <v>24631.070000000003</v>
      </c>
      <c r="E44" s="2"/>
      <c r="F44" s="7">
        <f t="shared" si="20"/>
        <v>1.4462526148775986E-2</v>
      </c>
      <c r="G44" s="2"/>
      <c r="H44" s="6">
        <v>21197.99</v>
      </c>
      <c r="I44" s="2"/>
      <c r="J44" s="7">
        <f t="shared" si="21"/>
        <v>1.5347424314294781E-2</v>
      </c>
      <c r="K44" s="2"/>
      <c r="L44" s="6">
        <f t="shared" si="22"/>
        <v>3433.0800000000017</v>
      </c>
      <c r="M44" s="2"/>
      <c r="N44" s="7">
        <f t="shared" si="23"/>
        <v>0.16195309083549911</v>
      </c>
      <c r="O44" s="11"/>
      <c r="P44" s="6">
        <v>125023.79</v>
      </c>
      <c r="Q44" s="2"/>
      <c r="R44" s="7">
        <f t="shared" si="24"/>
        <v>1.5706369383428665E-2</v>
      </c>
      <c r="S44" s="2"/>
      <c r="T44" s="6">
        <v>121025.20000000001</v>
      </c>
      <c r="U44" s="2"/>
      <c r="V44" s="7">
        <f t="shared" si="25"/>
        <v>1.5677840871402296E-2</v>
      </c>
      <c r="W44" s="2"/>
      <c r="X44" s="6">
        <f t="shared" si="26"/>
        <v>3998.589999999982</v>
      </c>
      <c r="Y44" s="2"/>
      <c r="Z44" s="7">
        <f t="shared" si="27"/>
        <v>3.3039317431410829E-2</v>
      </c>
    </row>
    <row r="45" spans="1:26" s="24" customFormat="1" hidden="1" outlineLevel="2" x14ac:dyDescent="0.25">
      <c r="A45" s="26"/>
      <c r="B45" s="11" t="str">
        <f>CONCATENATE("          ", "6002", " - ", "STAFF SALARIES")</f>
        <v xml:space="preserve">          6002 - STAFF SALARIES</v>
      </c>
      <c r="C45" s="11"/>
      <c r="D45" s="6">
        <v>97163.4</v>
      </c>
      <c r="E45" s="2"/>
      <c r="F45" s="7">
        <f t="shared" si="20"/>
        <v>5.705104216763545E-2</v>
      </c>
      <c r="G45" s="2"/>
      <c r="H45" s="6">
        <v>89952.81</v>
      </c>
      <c r="I45" s="2"/>
      <c r="J45" s="7">
        <f t="shared" si="21"/>
        <v>6.5126172025420273E-2</v>
      </c>
      <c r="K45" s="2"/>
      <c r="L45" s="6">
        <f t="shared" si="22"/>
        <v>7210.5899999999965</v>
      </c>
      <c r="M45" s="2"/>
      <c r="N45" s="7">
        <f t="shared" si="23"/>
        <v>8.0159697067829189E-2</v>
      </c>
      <c r="O45" s="11"/>
      <c r="P45" s="6">
        <v>501792.26</v>
      </c>
      <c r="Q45" s="2"/>
      <c r="R45" s="7">
        <f t="shared" si="24"/>
        <v>6.3038679193019795E-2</v>
      </c>
      <c r="S45" s="2"/>
      <c r="T45" s="6">
        <v>473146.27</v>
      </c>
      <c r="U45" s="2"/>
      <c r="V45" s="7">
        <f t="shared" si="25"/>
        <v>6.129229226605324E-2</v>
      </c>
      <c r="W45" s="2"/>
      <c r="X45" s="6">
        <f t="shared" si="26"/>
        <v>28645.989999999991</v>
      </c>
      <c r="Y45" s="2"/>
      <c r="Z45" s="7">
        <f t="shared" si="27"/>
        <v>6.054362427923185E-2</v>
      </c>
    </row>
    <row r="46" spans="1:26" s="24" customFormat="1" hidden="1" outlineLevel="2" x14ac:dyDescent="0.25">
      <c r="A46" s="26"/>
      <c r="B46" s="11" t="str">
        <f>CONCATENATE("          ", "6004", " - ", "STAFF HOURLY")</f>
        <v xml:space="preserve">          6004 - STAFF HOURLY</v>
      </c>
      <c r="C46" s="11"/>
      <c r="D46" s="6">
        <v>82178.179999999993</v>
      </c>
      <c r="E46" s="2"/>
      <c r="F46" s="7">
        <f t="shared" si="20"/>
        <v>4.8252230906282979E-2</v>
      </c>
      <c r="G46" s="2"/>
      <c r="H46" s="6">
        <v>66304.920000000013</v>
      </c>
      <c r="I46" s="2"/>
      <c r="J46" s="7">
        <f t="shared" si="21"/>
        <v>4.8005010916854406E-2</v>
      </c>
      <c r="K46" s="2"/>
      <c r="L46" s="6">
        <f t="shared" si="22"/>
        <v>15873.25999999998</v>
      </c>
      <c r="M46" s="2"/>
      <c r="N46" s="7">
        <f t="shared" si="23"/>
        <v>0.23939792099892401</v>
      </c>
      <c r="O46" s="11"/>
      <c r="P46" s="6">
        <v>407808.54</v>
      </c>
      <c r="Q46" s="2"/>
      <c r="R46" s="7">
        <f t="shared" si="24"/>
        <v>5.1231782102884128E-2</v>
      </c>
      <c r="S46" s="2"/>
      <c r="T46" s="6">
        <v>369678.89</v>
      </c>
      <c r="U46" s="2"/>
      <c r="V46" s="7">
        <f t="shared" si="25"/>
        <v>4.7888925702553133E-2</v>
      </c>
      <c r="W46" s="2"/>
      <c r="X46" s="6">
        <f t="shared" si="26"/>
        <v>38129.649999999965</v>
      </c>
      <c r="Y46" s="2"/>
      <c r="Z46" s="7">
        <f t="shared" si="27"/>
        <v>0.10314262196578215</v>
      </c>
    </row>
    <row r="47" spans="1:26" s="24" customFormat="1" hidden="1" outlineLevel="2" x14ac:dyDescent="0.25">
      <c r="A47" s="26"/>
      <c r="B47" s="11" t="str">
        <f>CONCATENATE("          ", "6005", " - ", "TEMPORARY WAGES-HOURLY")</f>
        <v xml:space="preserve">          6005 - TEMPORARY WAGES-HOURLY</v>
      </c>
      <c r="C47" s="11"/>
      <c r="D47" s="6">
        <v>90093.29</v>
      </c>
      <c r="E47" s="2"/>
      <c r="F47" s="7">
        <f t="shared" si="20"/>
        <v>5.2899714159971849E-2</v>
      </c>
      <c r="G47" s="2"/>
      <c r="H47" s="6">
        <v>65727.679999999993</v>
      </c>
      <c r="I47" s="2"/>
      <c r="J47" s="7">
        <f t="shared" si="21"/>
        <v>4.7587086990520638E-2</v>
      </c>
      <c r="K47" s="2"/>
      <c r="L47" s="6">
        <f t="shared" si="22"/>
        <v>24365.61</v>
      </c>
      <c r="M47" s="2"/>
      <c r="N47" s="7">
        <f t="shared" si="23"/>
        <v>0.37070546229533741</v>
      </c>
      <c r="O47" s="11"/>
      <c r="P47" s="6">
        <v>476600.38999999996</v>
      </c>
      <c r="Q47" s="2"/>
      <c r="R47" s="7">
        <f t="shared" si="24"/>
        <v>5.9873898988553789E-2</v>
      </c>
      <c r="S47" s="2"/>
      <c r="T47" s="6">
        <v>376048.07999999996</v>
      </c>
      <c r="U47" s="2"/>
      <c r="V47" s="7">
        <f t="shared" si="25"/>
        <v>4.8714003019506347E-2</v>
      </c>
      <c r="W47" s="2"/>
      <c r="X47" s="6">
        <f t="shared" si="26"/>
        <v>100552.31</v>
      </c>
      <c r="Y47" s="2"/>
      <c r="Z47" s="7">
        <f t="shared" si="27"/>
        <v>0.26739216432111557</v>
      </c>
    </row>
    <row r="48" spans="1:26" s="24" customFormat="1" hidden="1" outlineLevel="2" x14ac:dyDescent="0.25">
      <c r="A48" s="26"/>
      <c r="B48" s="11" t="str">
        <f>CONCATENATE("          ", "6006", " - ", "TEMPORARY PART TIME")</f>
        <v xml:space="preserve">          6006 - TEMPORARY PART TIME</v>
      </c>
      <c r="C48" s="11"/>
      <c r="D48" s="6">
        <v>4423</v>
      </c>
      <c r="E48" s="2"/>
      <c r="F48" s="7">
        <f t="shared" si="20"/>
        <v>2.5970350925086155E-3</v>
      </c>
      <c r="G48" s="2"/>
      <c r="H48" s="6">
        <v>1914.56</v>
      </c>
      <c r="I48" s="2"/>
      <c r="J48" s="7">
        <f t="shared" si="21"/>
        <v>1.3861486251845678E-3</v>
      </c>
      <c r="K48" s="2"/>
      <c r="L48" s="6">
        <f t="shared" si="22"/>
        <v>2508.44</v>
      </c>
      <c r="M48" s="2"/>
      <c r="N48" s="7">
        <f t="shared" si="23"/>
        <v>1.3101913755640984</v>
      </c>
      <c r="O48" s="11"/>
      <c r="P48" s="6">
        <v>37412.19</v>
      </c>
      <c r="Q48" s="2"/>
      <c r="R48" s="7">
        <f t="shared" si="24"/>
        <v>4.6999829039178556E-3</v>
      </c>
      <c r="S48" s="2"/>
      <c r="T48" s="6">
        <v>11058</v>
      </c>
      <c r="U48" s="2"/>
      <c r="V48" s="7">
        <f t="shared" si="25"/>
        <v>1.4324749255193677E-3</v>
      </c>
      <c r="W48" s="2"/>
      <c r="X48" s="6">
        <f t="shared" si="26"/>
        <v>26354.190000000002</v>
      </c>
      <c r="Y48" s="2"/>
      <c r="Z48" s="7">
        <f t="shared" si="27"/>
        <v>2.3832691264243082</v>
      </c>
    </row>
    <row r="49" spans="1:26" s="24" customFormat="1" hidden="1" outlineLevel="2" x14ac:dyDescent="0.25">
      <c r="A49" s="26"/>
      <c r="B49" s="11" t="str">
        <f>CONCATENATE("          ", "6007", " - ", "STUDENT HOURLY")</f>
        <v xml:space="preserve">          6007 - STUDENT HOURLY</v>
      </c>
      <c r="C49" s="11"/>
      <c r="D49" s="6">
        <v>150160.37</v>
      </c>
      <c r="E49" s="2"/>
      <c r="F49" s="7">
        <f t="shared" si="20"/>
        <v>8.8169059551001114E-2</v>
      </c>
      <c r="G49" s="2"/>
      <c r="H49" s="6">
        <v>118976.18</v>
      </c>
      <c r="I49" s="2"/>
      <c r="J49" s="7">
        <f t="shared" si="21"/>
        <v>8.6139200827715853E-2</v>
      </c>
      <c r="K49" s="2"/>
      <c r="L49" s="6">
        <f t="shared" si="22"/>
        <v>31184.190000000002</v>
      </c>
      <c r="M49" s="2"/>
      <c r="N49" s="7">
        <f t="shared" si="23"/>
        <v>0.262104481754247</v>
      </c>
      <c r="O49" s="11"/>
      <c r="P49" s="6">
        <v>744182.57000000007</v>
      </c>
      <c r="Q49" s="2"/>
      <c r="R49" s="7">
        <f t="shared" si="24"/>
        <v>9.3489457751434829E-2</v>
      </c>
      <c r="S49" s="2"/>
      <c r="T49" s="6">
        <v>665679.96</v>
      </c>
      <c r="U49" s="2"/>
      <c r="V49" s="7">
        <f t="shared" si="25"/>
        <v>8.6233482647923285E-2</v>
      </c>
      <c r="W49" s="2"/>
      <c r="X49" s="6">
        <f t="shared" si="26"/>
        <v>78502.610000000102</v>
      </c>
      <c r="Y49" s="2"/>
      <c r="Z49" s="7">
        <f t="shared" si="27"/>
        <v>0.11792845619087002</v>
      </c>
    </row>
    <row r="50" spans="1:26" s="24" customFormat="1" hidden="1" outlineLevel="2" x14ac:dyDescent="0.25">
      <c r="A50" s="26"/>
      <c r="B50" s="11" t="str">
        <f>CONCATENATE("          ", "6008", " - ", "STUDENT HOURLY-FICA EXEMPT")</f>
        <v xml:space="preserve">          6008 - STUDENT HOURLY-FICA EXEMPT</v>
      </c>
      <c r="C50" s="11"/>
      <c r="D50" s="6">
        <v>24429.289999999997</v>
      </c>
      <c r="E50" s="2"/>
      <c r="F50" s="7">
        <f t="shared" si="20"/>
        <v>1.4344047799020978E-2</v>
      </c>
      <c r="G50" s="2"/>
      <c r="H50" s="6">
        <v>25155.200000000001</v>
      </c>
      <c r="I50" s="2"/>
      <c r="J50" s="7">
        <f t="shared" si="21"/>
        <v>1.821245920537504E-2</v>
      </c>
      <c r="K50" s="2"/>
      <c r="L50" s="6">
        <f t="shared" si="22"/>
        <v>-725.91000000000349</v>
      </c>
      <c r="M50" s="2"/>
      <c r="N50" s="7">
        <f t="shared" si="23"/>
        <v>-2.8857254166136763E-2</v>
      </c>
      <c r="O50" s="11"/>
      <c r="P50" s="6">
        <v>118826.76</v>
      </c>
      <c r="Q50" s="2"/>
      <c r="R50" s="7">
        <f t="shared" si="24"/>
        <v>1.4927854812240342E-2</v>
      </c>
      <c r="S50" s="2"/>
      <c r="T50" s="6">
        <v>122192.76999999999</v>
      </c>
      <c r="U50" s="2"/>
      <c r="V50" s="7">
        <f t="shared" si="25"/>
        <v>1.5829090170442685E-2</v>
      </c>
      <c r="W50" s="2"/>
      <c r="X50" s="6">
        <f t="shared" si="26"/>
        <v>-3366.0099999999948</v>
      </c>
      <c r="Y50" s="2"/>
      <c r="Z50" s="7">
        <f t="shared" si="27"/>
        <v>-2.7546719826385759E-2</v>
      </c>
    </row>
    <row r="51" spans="1:26" s="25" customFormat="1" outlineLevel="1" collapsed="1" x14ac:dyDescent="0.25">
      <c r="A51" s="27"/>
      <c r="B51" s="13" t="str">
        <f>CONCATENATE("     ","Advertising/Promo                                 ")</f>
        <v xml:space="preserve">     Advertising/Promo                                 </v>
      </c>
      <c r="C51" s="13"/>
      <c r="D51" s="1">
        <f>SUM(OSRRefD22_2x_0)</f>
        <v>4535.22</v>
      </c>
      <c r="E51" s="1"/>
      <c r="F51" s="5">
        <f t="shared" ref="F51:F60" si="28">IF(D$12=0,0,D51/D$12)</f>
        <v>2.6629268578446581E-3</v>
      </c>
      <c r="G51" s="1"/>
      <c r="H51" s="1">
        <f>SUM(OSRRefH22_2x_0)</f>
        <v>1746.97</v>
      </c>
      <c r="I51" s="1"/>
      <c r="J51" s="5">
        <f t="shared" ref="J51:J60" si="29">IF(H$12=0,0,H51/H$12)</f>
        <v>1.2648128362332256E-3</v>
      </c>
      <c r="K51" s="1"/>
      <c r="L51" s="1">
        <f t="shared" ref="L51:L60" si="30">+D51-H51</f>
        <v>2788.25</v>
      </c>
      <c r="M51" s="1"/>
      <c r="N51" s="5">
        <f t="shared" ref="N51:N60" si="31">IF(H51=0,0,L51/H51)</f>
        <v>1.596049159401707</v>
      </c>
      <c r="O51" s="13"/>
      <c r="P51" s="1">
        <f>SUM(OSRRefP22_2x_0)</f>
        <v>24865.8</v>
      </c>
      <c r="Q51" s="1"/>
      <c r="R51" s="5">
        <f t="shared" ref="R51:R60" si="32">IF(P$12=0,0,P51/P$12)</f>
        <v>3.1238169936654496E-3</v>
      </c>
      <c r="S51" s="1"/>
      <c r="T51" s="1">
        <f>SUM(OSRRefT22_2x_0)</f>
        <v>22290.609999999997</v>
      </c>
      <c r="U51" s="1"/>
      <c r="V51" s="5">
        <f t="shared" ref="V51:V60" si="33">IF(T$12=0,0,T51/T$12)</f>
        <v>2.887569171598053E-3</v>
      </c>
      <c r="W51" s="1"/>
      <c r="X51" s="1">
        <f t="shared" ref="X51:X60" si="34">+P51-T51</f>
        <v>2575.1900000000023</v>
      </c>
      <c r="Y51" s="1"/>
      <c r="Z51" s="5">
        <f t="shared" ref="Z51:Z60" si="35">IF(T51=0,0,X51/T51)</f>
        <v>0.11552801830008254</v>
      </c>
    </row>
    <row r="52" spans="1:26" s="24" customFormat="1" hidden="1" outlineLevel="2" x14ac:dyDescent="0.25">
      <c r="A52" s="26"/>
      <c r="B52" s="11" t="str">
        <f>CONCATENATE("          ", "6362", " - ", "ADVERTISING EXPENSE")</f>
        <v xml:space="preserve">          6362 - ADVERTISING EXPENSE</v>
      </c>
      <c r="C52" s="11"/>
      <c r="D52" s="6">
        <v>4535.22</v>
      </c>
      <c r="E52" s="2"/>
      <c r="F52" s="7">
        <f t="shared" si="28"/>
        <v>2.6629268578446581E-3</v>
      </c>
      <c r="G52" s="2"/>
      <c r="H52" s="6">
        <v>1746.97</v>
      </c>
      <c r="I52" s="2"/>
      <c r="J52" s="7">
        <f t="shared" si="29"/>
        <v>1.2648128362332256E-3</v>
      </c>
      <c r="K52" s="2"/>
      <c r="L52" s="6">
        <f t="shared" si="30"/>
        <v>2788.25</v>
      </c>
      <c r="M52" s="2"/>
      <c r="N52" s="7">
        <f t="shared" si="31"/>
        <v>1.596049159401707</v>
      </c>
      <c r="O52" s="11"/>
      <c r="P52" s="6">
        <v>24865.8</v>
      </c>
      <c r="Q52" s="2"/>
      <c r="R52" s="7">
        <f t="shared" si="32"/>
        <v>3.1238169936654496E-3</v>
      </c>
      <c r="S52" s="2"/>
      <c r="T52" s="6">
        <v>22290.609999999997</v>
      </c>
      <c r="U52" s="2"/>
      <c r="V52" s="7">
        <f t="shared" si="33"/>
        <v>2.887569171598053E-3</v>
      </c>
      <c r="W52" s="2"/>
      <c r="X52" s="6">
        <f t="shared" si="34"/>
        <v>2575.1900000000023</v>
      </c>
      <c r="Y52" s="2"/>
      <c r="Z52" s="7">
        <f t="shared" si="35"/>
        <v>0.11552801830008254</v>
      </c>
    </row>
    <row r="53" spans="1:26" s="25" customFormat="1" outlineLevel="1" collapsed="1" x14ac:dyDescent="0.25">
      <c r="A53" s="27"/>
      <c r="B53" s="13" t="str">
        <f>CONCATENATE("     ","Bad Debts/Over/Short                              ")</f>
        <v xml:space="preserve">     Bad Debts/Over/Short                              </v>
      </c>
      <c r="C53" s="13"/>
      <c r="D53" s="1">
        <f>SUM(OSRRefD22_3x_0)</f>
        <v>8.52</v>
      </c>
      <c r="E53" s="1"/>
      <c r="F53" s="5">
        <f t="shared" si="28"/>
        <v>5.0026540782666519E-6</v>
      </c>
      <c r="G53" s="1"/>
      <c r="H53" s="1">
        <f>SUM(OSRRefH22_3x_0)</f>
        <v>41.52</v>
      </c>
      <c r="I53" s="1"/>
      <c r="J53" s="5">
        <f t="shared" si="29"/>
        <v>3.0060635821109423E-5</v>
      </c>
      <c r="K53" s="1"/>
      <c r="L53" s="1">
        <f t="shared" si="30"/>
        <v>-33</v>
      </c>
      <c r="M53" s="1"/>
      <c r="N53" s="5">
        <f t="shared" si="31"/>
        <v>-0.79479768786127158</v>
      </c>
      <c r="O53" s="13"/>
      <c r="P53" s="1">
        <f>SUM(OSRRefP22_3x_0)</f>
        <v>8.2799999999999994</v>
      </c>
      <c r="Q53" s="1"/>
      <c r="R53" s="5">
        <f t="shared" si="32"/>
        <v>1.040191938628555E-6</v>
      </c>
      <c r="S53" s="1"/>
      <c r="T53" s="1">
        <f>SUM(OSRRefT22_3x_0)</f>
        <v>-321.27</v>
      </c>
      <c r="U53" s="1"/>
      <c r="V53" s="5">
        <f t="shared" si="33"/>
        <v>-4.1617943508917281E-5</v>
      </c>
      <c r="W53" s="1"/>
      <c r="X53" s="1">
        <f t="shared" si="34"/>
        <v>329.54999999999995</v>
      </c>
      <c r="Y53" s="1"/>
      <c r="Z53" s="5">
        <f t="shared" si="35"/>
        <v>-1.0257727145391726</v>
      </c>
    </row>
    <row r="54" spans="1:26" s="24" customFormat="1" hidden="1" outlineLevel="2" x14ac:dyDescent="0.25">
      <c r="A54" s="26"/>
      <c r="B54" s="11" t="str">
        <f>CONCATENATE("          ", "6272", " - ", "CASH (OVER/SHORT)")</f>
        <v xml:space="preserve">          6272 - CASH (OVER/SHORT)</v>
      </c>
      <c r="C54" s="11"/>
      <c r="D54" s="6">
        <v>8.52</v>
      </c>
      <c r="E54" s="2"/>
      <c r="F54" s="7">
        <f t="shared" si="28"/>
        <v>5.0026540782666519E-6</v>
      </c>
      <c r="G54" s="2"/>
      <c r="H54" s="6">
        <v>41.52</v>
      </c>
      <c r="I54" s="2"/>
      <c r="J54" s="7">
        <f t="shared" si="29"/>
        <v>3.0060635821109423E-5</v>
      </c>
      <c r="K54" s="2"/>
      <c r="L54" s="6">
        <f t="shared" si="30"/>
        <v>-33</v>
      </c>
      <c r="M54" s="2"/>
      <c r="N54" s="7">
        <f t="shared" si="31"/>
        <v>-0.79479768786127158</v>
      </c>
      <c r="O54" s="11"/>
      <c r="P54" s="6">
        <v>8.2799999999999994</v>
      </c>
      <c r="Q54" s="2"/>
      <c r="R54" s="7">
        <f t="shared" si="32"/>
        <v>1.040191938628555E-6</v>
      </c>
      <c r="S54" s="2"/>
      <c r="T54" s="6">
        <v>-321.27</v>
      </c>
      <c r="U54" s="2"/>
      <c r="V54" s="7">
        <f t="shared" si="33"/>
        <v>-4.1617943508917281E-5</v>
      </c>
      <c r="W54" s="2"/>
      <c r="X54" s="6">
        <f t="shared" si="34"/>
        <v>329.54999999999995</v>
      </c>
      <c r="Y54" s="2"/>
      <c r="Z54" s="7">
        <f t="shared" si="35"/>
        <v>-1.0257727145391726</v>
      </c>
    </row>
    <row r="55" spans="1:26" s="25" customFormat="1" outlineLevel="1" collapsed="1" x14ac:dyDescent="0.25">
      <c r="A55" s="27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16268.92</v>
      </c>
      <c r="E55" s="1"/>
      <c r="F55" s="5">
        <f t="shared" si="28"/>
        <v>9.5525562191307398E-3</v>
      </c>
      <c r="G55" s="1"/>
      <c r="H55" s="1">
        <f>SUM(OSRRefH22_4x_0)</f>
        <v>15396.98</v>
      </c>
      <c r="I55" s="1"/>
      <c r="J55" s="5">
        <f t="shared" si="29"/>
        <v>1.1147471303586351E-2</v>
      </c>
      <c r="K55" s="1"/>
      <c r="L55" s="1">
        <f t="shared" si="30"/>
        <v>871.94000000000051</v>
      </c>
      <c r="M55" s="1"/>
      <c r="N55" s="5">
        <f t="shared" si="31"/>
        <v>5.6630585998033417E-2</v>
      </c>
      <c r="O55" s="13"/>
      <c r="P55" s="1">
        <f>SUM(OSRRefP22_4x_0)</f>
        <v>80919.520000000004</v>
      </c>
      <c r="Q55" s="1"/>
      <c r="R55" s="5">
        <f t="shared" si="32"/>
        <v>1.0165680239334798E-2</v>
      </c>
      <c r="S55" s="1"/>
      <c r="T55" s="1">
        <f>SUM(OSRRefT22_4x_0)</f>
        <v>78737.509999999995</v>
      </c>
      <c r="U55" s="1"/>
      <c r="V55" s="5">
        <f t="shared" si="33"/>
        <v>1.0199810885587851E-2</v>
      </c>
      <c r="W55" s="1"/>
      <c r="X55" s="1">
        <f t="shared" si="34"/>
        <v>2182.0100000000093</v>
      </c>
      <c r="Y55" s="1"/>
      <c r="Z55" s="5">
        <f t="shared" si="35"/>
        <v>2.7712458776001547E-2</v>
      </c>
    </row>
    <row r="56" spans="1:26" s="24" customFormat="1" hidden="1" outlineLevel="2" x14ac:dyDescent="0.25">
      <c r="A56" s="26"/>
      <c r="B56" s="11" t="str">
        <f>CONCATENATE("          ", "6381", " - ", "BANK/CREDIT CARD FEES")</f>
        <v xml:space="preserve">          6381 - BANK/CREDIT CARD FEES</v>
      </c>
      <c r="C56" s="11"/>
      <c r="D56" s="6">
        <v>16268.92</v>
      </c>
      <c r="E56" s="2"/>
      <c r="F56" s="7">
        <f t="shared" si="28"/>
        <v>9.5525562191307398E-3</v>
      </c>
      <c r="G56" s="2"/>
      <c r="H56" s="6">
        <v>15396.98</v>
      </c>
      <c r="I56" s="2"/>
      <c r="J56" s="7">
        <f t="shared" si="29"/>
        <v>1.1147471303586351E-2</v>
      </c>
      <c r="K56" s="2"/>
      <c r="L56" s="6">
        <f t="shared" si="30"/>
        <v>871.94000000000051</v>
      </c>
      <c r="M56" s="2"/>
      <c r="N56" s="7">
        <f t="shared" si="31"/>
        <v>5.6630585998033417E-2</v>
      </c>
      <c r="O56" s="11"/>
      <c r="P56" s="6">
        <v>80919.520000000004</v>
      </c>
      <c r="Q56" s="2"/>
      <c r="R56" s="7">
        <f t="shared" si="32"/>
        <v>1.0165680239334798E-2</v>
      </c>
      <c r="S56" s="2"/>
      <c r="T56" s="6">
        <v>78737.509999999995</v>
      </c>
      <c r="U56" s="2"/>
      <c r="V56" s="7">
        <f t="shared" si="33"/>
        <v>1.0199810885587851E-2</v>
      </c>
      <c r="W56" s="2"/>
      <c r="X56" s="6">
        <f t="shared" si="34"/>
        <v>2182.0100000000093</v>
      </c>
      <c r="Y56" s="2"/>
      <c r="Z56" s="7">
        <f t="shared" si="35"/>
        <v>2.7712458776001547E-2</v>
      </c>
    </row>
    <row r="57" spans="1:26" s="25" customFormat="1" outlineLevel="1" collapsed="1" x14ac:dyDescent="0.25">
      <c r="A57" s="27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SUM(OSRRefD22_5x_0)</f>
        <v>39571.050000000003</v>
      </c>
      <c r="E57" s="1"/>
      <c r="F57" s="5">
        <f t="shared" si="28"/>
        <v>2.3234774021572022E-2</v>
      </c>
      <c r="G57" s="1"/>
      <c r="H57" s="1">
        <f>SUM(OSRRefH22_5x_0)</f>
        <v>35444.590000000004</v>
      </c>
      <c r="I57" s="1"/>
      <c r="J57" s="5">
        <f t="shared" si="29"/>
        <v>2.56620161806006E-2</v>
      </c>
      <c r="K57" s="1"/>
      <c r="L57" s="1">
        <f t="shared" si="30"/>
        <v>4126.4599999999991</v>
      </c>
      <c r="M57" s="1"/>
      <c r="N57" s="5">
        <f t="shared" si="31"/>
        <v>0.11642002347890042</v>
      </c>
      <c r="O57" s="13"/>
      <c r="P57" s="1">
        <f>SUM(OSRRefP22_5x_0)</f>
        <v>197855.25</v>
      </c>
      <c r="Q57" s="1"/>
      <c r="R57" s="5">
        <f t="shared" si="32"/>
        <v>2.485597053929196E-2</v>
      </c>
      <c r="S57" s="1"/>
      <c r="T57" s="1">
        <f>SUM(OSRRefT22_5x_0)</f>
        <v>196196.81</v>
      </c>
      <c r="U57" s="1"/>
      <c r="V57" s="5">
        <f t="shared" si="33"/>
        <v>2.5415718103806072E-2</v>
      </c>
      <c r="W57" s="1"/>
      <c r="X57" s="1">
        <f t="shared" si="34"/>
        <v>1658.4400000000023</v>
      </c>
      <c r="Y57" s="1"/>
      <c r="Z57" s="5">
        <f t="shared" si="35"/>
        <v>8.4529406976596739E-3</v>
      </c>
    </row>
    <row r="58" spans="1:26" s="24" customFormat="1" hidden="1" outlineLevel="2" x14ac:dyDescent="0.25">
      <c r="A58" s="26"/>
      <c r="B58" s="11" t="str">
        <f>CONCATENATE("          ", "6321", " - ", "BUILDING DEPRECIATION")</f>
        <v xml:space="preserve">          6321 - BUILDING DEPRECIATION</v>
      </c>
      <c r="C58" s="11"/>
      <c r="D58" s="6">
        <v>24042.959999999999</v>
      </c>
      <c r="E58" s="2"/>
      <c r="F58" s="7">
        <f t="shared" si="28"/>
        <v>1.4117207969202111E-2</v>
      </c>
      <c r="G58" s="2"/>
      <c r="H58" s="6">
        <v>21516.510000000002</v>
      </c>
      <c r="I58" s="2"/>
      <c r="J58" s="7">
        <f t="shared" si="29"/>
        <v>1.557803398967387E-2</v>
      </c>
      <c r="K58" s="2"/>
      <c r="L58" s="6">
        <f t="shared" si="30"/>
        <v>2526.4499999999971</v>
      </c>
      <c r="M58" s="2"/>
      <c r="N58" s="7">
        <f t="shared" si="31"/>
        <v>0.11741913535234091</v>
      </c>
      <c r="O58" s="11"/>
      <c r="P58" s="6">
        <v>120214.79999999999</v>
      </c>
      <c r="Q58" s="2"/>
      <c r="R58" s="7">
        <f t="shared" si="32"/>
        <v>1.5102230176792754E-2</v>
      </c>
      <c r="S58" s="2"/>
      <c r="T58" s="6">
        <v>126556.41</v>
      </c>
      <c r="U58" s="2"/>
      <c r="V58" s="7">
        <f t="shared" si="33"/>
        <v>1.6394364621879959E-2</v>
      </c>
      <c r="W58" s="2"/>
      <c r="X58" s="6">
        <f t="shared" si="34"/>
        <v>-6341.6100000000151</v>
      </c>
      <c r="Y58" s="2"/>
      <c r="Z58" s="7">
        <f t="shared" si="35"/>
        <v>-5.0108959317035108E-2</v>
      </c>
    </row>
    <row r="59" spans="1:26" s="24" customFormat="1" hidden="1" outlineLevel="2" x14ac:dyDescent="0.25">
      <c r="A59" s="26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15103.84</v>
      </c>
      <c r="E59" s="2"/>
      <c r="F59" s="7">
        <f t="shared" si="28"/>
        <v>8.8684608889069236E-3</v>
      </c>
      <c r="G59" s="2"/>
      <c r="H59" s="6">
        <v>13503.83</v>
      </c>
      <c r="I59" s="2"/>
      <c r="J59" s="7">
        <f t="shared" si="29"/>
        <v>9.7768235987517344E-3</v>
      </c>
      <c r="K59" s="2"/>
      <c r="L59" s="6">
        <f t="shared" si="30"/>
        <v>1600.0100000000002</v>
      </c>
      <c r="M59" s="2"/>
      <c r="N59" s="7">
        <f t="shared" si="31"/>
        <v>0.11848564444309505</v>
      </c>
      <c r="O59" s="11"/>
      <c r="P59" s="6">
        <v>75519.199999999997</v>
      </c>
      <c r="Q59" s="2"/>
      <c r="R59" s="7">
        <f t="shared" si="32"/>
        <v>9.4872539917484986E-3</v>
      </c>
      <c r="S59" s="2"/>
      <c r="T59" s="6">
        <v>67519.149999999994</v>
      </c>
      <c r="U59" s="2"/>
      <c r="V59" s="7">
        <f t="shared" si="33"/>
        <v>8.7465626123513305E-3</v>
      </c>
      <c r="W59" s="2"/>
      <c r="X59" s="6">
        <f t="shared" si="34"/>
        <v>8000.0500000000029</v>
      </c>
      <c r="Y59" s="2"/>
      <c r="Z59" s="7">
        <f t="shared" si="35"/>
        <v>0.11848564444309509</v>
      </c>
    </row>
    <row r="60" spans="1:26" s="24" customFormat="1" hidden="1" outlineLevel="2" x14ac:dyDescent="0.25">
      <c r="A60" s="26"/>
      <c r="B60" s="11" t="str">
        <f>CONCATENATE("          ", "6326", " - ", "VEHICLES DEPRECIATION EXPENSE")</f>
        <v xml:space="preserve">          6326 - VEHICLES DEPRECIATION EXPENSE</v>
      </c>
      <c r="C60" s="11"/>
      <c r="D60" s="6">
        <v>424.25</v>
      </c>
      <c r="E60" s="2"/>
      <c r="F60" s="7">
        <f t="shared" si="28"/>
        <v>2.4910516346298442E-4</v>
      </c>
      <c r="G60" s="2"/>
      <c r="H60" s="6">
        <v>424.25</v>
      </c>
      <c r="I60" s="2"/>
      <c r="J60" s="7">
        <f t="shared" si="29"/>
        <v>3.0715859217499207E-4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2121.25</v>
      </c>
      <c r="Q60" s="2"/>
      <c r="R60" s="7">
        <f t="shared" si="32"/>
        <v>2.6648637075070316E-4</v>
      </c>
      <c r="S60" s="2"/>
      <c r="T60" s="6">
        <v>2121.25</v>
      </c>
      <c r="U60" s="2"/>
      <c r="V60" s="7">
        <f t="shared" si="33"/>
        <v>2.7479086957478378E-4</v>
      </c>
      <c r="W60" s="2"/>
      <c r="X60" s="6">
        <f t="shared" si="34"/>
        <v>0</v>
      </c>
      <c r="Y60" s="2"/>
      <c r="Z60" s="7">
        <f t="shared" si="35"/>
        <v>0</v>
      </c>
    </row>
    <row r="61" spans="1:26" s="25" customFormat="1" outlineLevel="1" collapsed="1" x14ac:dyDescent="0.25">
      <c r="A61" s="27"/>
      <c r="B61" s="13" t="str">
        <f>CONCATENATE("     ","Donations                                         ")</f>
        <v xml:space="preserve">     Donations                                         </v>
      </c>
      <c r="C61" s="13"/>
      <c r="D61" s="1">
        <f>SUM(OSRRefD22_6x_0)</f>
        <v>16127.990000000002</v>
      </c>
      <c r="E61" s="1"/>
      <c r="F61" s="5">
        <f t="shared" ref="F61:F71" si="36">IF(D$12=0,0,D61/D$12)</f>
        <v>9.4698069187492719E-3</v>
      </c>
      <c r="G61" s="1"/>
      <c r="H61" s="1">
        <f>SUM(OSRRefH22_6x_0)</f>
        <v>11743.22</v>
      </c>
      <c r="I61" s="1"/>
      <c r="J61" s="5">
        <f t="shared" ref="J61:J71" si="37">IF(H$12=0,0,H61/H$12)</f>
        <v>8.5021353513287223E-3</v>
      </c>
      <c r="K61" s="1"/>
      <c r="L61" s="1">
        <f t="shared" ref="L61:L71" si="38">+D61-H61</f>
        <v>4384.7700000000023</v>
      </c>
      <c r="M61" s="1"/>
      <c r="N61" s="5">
        <f t="shared" ref="N61:N71" si="39">IF(H61=0,0,L61/H61)</f>
        <v>0.3733873673489897</v>
      </c>
      <c r="O61" s="13"/>
      <c r="P61" s="1">
        <f>SUM(OSRRefP22_6x_0)</f>
        <v>66407.42</v>
      </c>
      <c r="Q61" s="1"/>
      <c r="R61" s="5">
        <f t="shared" ref="R61:R71" si="40">IF(P$12=0,0,P61/P$12)</f>
        <v>8.3425679890242362E-3</v>
      </c>
      <c r="S61" s="1"/>
      <c r="T61" s="1">
        <f>SUM(OSRRefT22_6x_0)</f>
        <v>56958.79</v>
      </c>
      <c r="U61" s="1"/>
      <c r="V61" s="5">
        <f t="shared" ref="V61:V71" si="41">IF(T$12=0,0,T61/T$12)</f>
        <v>7.3785529447389503E-3</v>
      </c>
      <c r="W61" s="1"/>
      <c r="X61" s="1">
        <f t="shared" ref="X61:X71" si="42">+P61-T61</f>
        <v>9448.6299999999974</v>
      </c>
      <c r="Y61" s="1"/>
      <c r="Z61" s="5">
        <f t="shared" ref="Z61:Z71" si="43">IF(T61=0,0,X61/T61)</f>
        <v>0.16588537080931665</v>
      </c>
    </row>
    <row r="62" spans="1:26" s="24" customFormat="1" hidden="1" outlineLevel="2" x14ac:dyDescent="0.25">
      <c r="A62" s="26"/>
      <c r="B62" s="11" t="str">
        <f>CONCATENATE("          ", "6399", " - ", "DONATION-ON CAMPUS")</f>
        <v xml:space="preserve">          6399 - DONATION-ON CAMPUS</v>
      </c>
      <c r="C62" s="11"/>
      <c r="D62" s="6">
        <v>16127.990000000002</v>
      </c>
      <c r="E62" s="2"/>
      <c r="F62" s="7">
        <f t="shared" si="36"/>
        <v>9.4698069187492719E-3</v>
      </c>
      <c r="G62" s="2"/>
      <c r="H62" s="6">
        <v>11743.22</v>
      </c>
      <c r="I62" s="2"/>
      <c r="J62" s="7">
        <f t="shared" si="37"/>
        <v>8.5021353513287223E-3</v>
      </c>
      <c r="K62" s="2"/>
      <c r="L62" s="6">
        <f t="shared" si="38"/>
        <v>4384.7700000000023</v>
      </c>
      <c r="M62" s="2"/>
      <c r="N62" s="7">
        <f t="shared" si="39"/>
        <v>0.3733873673489897</v>
      </c>
      <c r="O62" s="11"/>
      <c r="P62" s="6">
        <v>66407.42</v>
      </c>
      <c r="Q62" s="2"/>
      <c r="R62" s="7">
        <f t="shared" si="40"/>
        <v>8.3425679890242362E-3</v>
      </c>
      <c r="S62" s="2"/>
      <c r="T62" s="6">
        <v>56958.79</v>
      </c>
      <c r="U62" s="2"/>
      <c r="V62" s="7">
        <f t="shared" si="41"/>
        <v>7.3785529447389503E-3</v>
      </c>
      <c r="W62" s="2"/>
      <c r="X62" s="6">
        <f t="shared" si="42"/>
        <v>9448.6299999999974</v>
      </c>
      <c r="Y62" s="2"/>
      <c r="Z62" s="7">
        <f t="shared" si="43"/>
        <v>0.16588537080931665</v>
      </c>
    </row>
    <row r="63" spans="1:26" s="25" customFormat="1" outlineLevel="1" collapsed="1" x14ac:dyDescent="0.25">
      <c r="A63" s="27"/>
      <c r="B63" s="13" t="str">
        <f>CONCATENATE("     ","Employees' Appreciation                           ")</f>
        <v xml:space="preserve">     Employees' Appreciation                           </v>
      </c>
      <c r="C63" s="13"/>
      <c r="D63" s="1">
        <f>SUM(OSRRefD22_7x_0)</f>
        <v>672.06</v>
      </c>
      <c r="E63" s="1"/>
      <c r="F63" s="5">
        <f t="shared" si="36"/>
        <v>3.9461076289200542E-4</v>
      </c>
      <c r="G63" s="1"/>
      <c r="H63" s="1">
        <f>SUM(OSRRefH22_7x_0)</f>
        <v>598.42999999999995</v>
      </c>
      <c r="I63" s="1"/>
      <c r="J63" s="5">
        <f t="shared" si="37"/>
        <v>4.332655658580566E-4</v>
      </c>
      <c r="K63" s="1"/>
      <c r="L63" s="1">
        <f t="shared" si="38"/>
        <v>73.63</v>
      </c>
      <c r="M63" s="1"/>
      <c r="N63" s="5">
        <f t="shared" si="39"/>
        <v>0.12303861771635781</v>
      </c>
      <c r="O63" s="13"/>
      <c r="P63" s="1">
        <f>SUM(OSRRefP22_7x_0)</f>
        <v>2007.56</v>
      </c>
      <c r="Q63" s="1"/>
      <c r="R63" s="5">
        <f t="shared" si="40"/>
        <v>2.5220383192187703E-4</v>
      </c>
      <c r="S63" s="1"/>
      <c r="T63" s="1">
        <f>SUM(OSRRefT22_7x_0)</f>
        <v>1579.38</v>
      </c>
      <c r="U63" s="1"/>
      <c r="V63" s="5">
        <f t="shared" si="41"/>
        <v>2.0459597104962736E-4</v>
      </c>
      <c r="W63" s="1"/>
      <c r="X63" s="1">
        <f t="shared" si="42"/>
        <v>428.17999999999984</v>
      </c>
      <c r="Y63" s="1"/>
      <c r="Z63" s="5">
        <f t="shared" si="43"/>
        <v>0.27110638351758271</v>
      </c>
    </row>
    <row r="64" spans="1:26" s="24" customFormat="1" hidden="1" outlineLevel="2" x14ac:dyDescent="0.25">
      <c r="A64" s="26"/>
      <c r="B64" s="11" t="str">
        <f>CONCATENATE("          ", "6277", " - ", "EMPLOYEE APPRECIATION")</f>
        <v xml:space="preserve">          6277 - EMPLOYEE APPRECIATION</v>
      </c>
      <c r="C64" s="11"/>
      <c r="D64" s="6">
        <v>672.06</v>
      </c>
      <c r="E64" s="2"/>
      <c r="F64" s="7">
        <f t="shared" si="36"/>
        <v>3.9461076289200542E-4</v>
      </c>
      <c r="G64" s="2"/>
      <c r="H64" s="6">
        <v>598.42999999999995</v>
      </c>
      <c r="I64" s="2"/>
      <c r="J64" s="7">
        <f t="shared" si="37"/>
        <v>4.332655658580566E-4</v>
      </c>
      <c r="K64" s="2"/>
      <c r="L64" s="6">
        <f t="shared" si="38"/>
        <v>73.63</v>
      </c>
      <c r="M64" s="2"/>
      <c r="N64" s="7">
        <f t="shared" si="39"/>
        <v>0.12303861771635781</v>
      </c>
      <c r="O64" s="11"/>
      <c r="P64" s="6">
        <v>2007.56</v>
      </c>
      <c r="Q64" s="2"/>
      <c r="R64" s="7">
        <f t="shared" si="40"/>
        <v>2.5220383192187703E-4</v>
      </c>
      <c r="S64" s="2"/>
      <c r="T64" s="6">
        <v>1579.38</v>
      </c>
      <c r="U64" s="2"/>
      <c r="V64" s="7">
        <f t="shared" si="41"/>
        <v>2.0459597104962736E-4</v>
      </c>
      <c r="W64" s="2"/>
      <c r="X64" s="6">
        <f t="shared" si="42"/>
        <v>428.17999999999984</v>
      </c>
      <c r="Y64" s="2"/>
      <c r="Z64" s="7">
        <f t="shared" si="43"/>
        <v>0.27110638351758271</v>
      </c>
    </row>
    <row r="65" spans="1:26" s="25" customFormat="1" outlineLevel="1" collapsed="1" x14ac:dyDescent="0.25">
      <c r="A65" s="27"/>
      <c r="B65" s="13" t="str">
        <f>CONCATENATE("     ","Equipment Rental                                  ")</f>
        <v xml:space="preserve">     Equipment Rental                                  </v>
      </c>
      <c r="C65" s="13"/>
      <c r="D65" s="1">
        <f>SUM(OSRRefD22_8x_0)</f>
        <v>-290.35000000000002</v>
      </c>
      <c r="E65" s="1"/>
      <c r="F65" s="5">
        <f t="shared" si="36"/>
        <v>-1.7048363986205665E-4</v>
      </c>
      <c r="G65" s="1"/>
      <c r="H65" s="1">
        <f>SUM(OSRRefH22_8x_0)</f>
        <v>2912.54</v>
      </c>
      <c r="I65" s="1"/>
      <c r="J65" s="5">
        <f t="shared" si="37"/>
        <v>2.1086898905205691E-3</v>
      </c>
      <c r="K65" s="1"/>
      <c r="L65" s="1">
        <f t="shared" si="38"/>
        <v>-3202.89</v>
      </c>
      <c r="M65" s="1"/>
      <c r="N65" s="5">
        <f t="shared" si="39"/>
        <v>-1.0996896179966626</v>
      </c>
      <c r="O65" s="13"/>
      <c r="P65" s="1">
        <f>SUM(OSRRefP22_8x_0)</f>
        <v>14762.68</v>
      </c>
      <c r="Q65" s="1"/>
      <c r="R65" s="5">
        <f t="shared" si="40"/>
        <v>1.854591875429106E-3</v>
      </c>
      <c r="S65" s="1"/>
      <c r="T65" s="1">
        <f>SUM(OSRRefT22_8x_0)</f>
        <v>10722.3</v>
      </c>
      <c r="U65" s="1"/>
      <c r="V65" s="5">
        <f t="shared" si="41"/>
        <v>1.3889876916165958E-3</v>
      </c>
      <c r="W65" s="1"/>
      <c r="X65" s="1">
        <f t="shared" si="42"/>
        <v>4040.380000000001</v>
      </c>
      <c r="Y65" s="1"/>
      <c r="Z65" s="5">
        <f t="shared" si="43"/>
        <v>0.37682027177004945</v>
      </c>
    </row>
    <row r="66" spans="1:26" s="24" customFormat="1" hidden="1" outlineLevel="2" x14ac:dyDescent="0.25">
      <c r="A66" s="26"/>
      <c r="B66" s="11" t="str">
        <f>CONCATENATE("          ", "6351", " - ", "EQUIPMENT RENTAL")</f>
        <v xml:space="preserve">          6351 - EQUIPMENT RENTAL</v>
      </c>
      <c r="C66" s="11"/>
      <c r="D66" s="6">
        <v>-290.35000000000002</v>
      </c>
      <c r="E66" s="2"/>
      <c r="F66" s="7">
        <f t="shared" si="36"/>
        <v>-1.7048363986205665E-4</v>
      </c>
      <c r="G66" s="2"/>
      <c r="H66" s="6">
        <v>2912.54</v>
      </c>
      <c r="I66" s="2"/>
      <c r="J66" s="7">
        <f t="shared" si="37"/>
        <v>2.1086898905205691E-3</v>
      </c>
      <c r="K66" s="2"/>
      <c r="L66" s="6">
        <f t="shared" si="38"/>
        <v>-3202.89</v>
      </c>
      <c r="M66" s="2"/>
      <c r="N66" s="7">
        <f t="shared" si="39"/>
        <v>-1.0996896179966626</v>
      </c>
      <c r="O66" s="11"/>
      <c r="P66" s="6">
        <v>14762.68</v>
      </c>
      <c r="Q66" s="2"/>
      <c r="R66" s="7">
        <f t="shared" si="40"/>
        <v>1.854591875429106E-3</v>
      </c>
      <c r="S66" s="2"/>
      <c r="T66" s="6">
        <v>10722.3</v>
      </c>
      <c r="U66" s="2"/>
      <c r="V66" s="7">
        <f t="shared" si="41"/>
        <v>1.3889876916165958E-3</v>
      </c>
      <c r="W66" s="2"/>
      <c r="X66" s="6">
        <f t="shared" si="42"/>
        <v>4040.380000000001</v>
      </c>
      <c r="Y66" s="2"/>
      <c r="Z66" s="7">
        <f t="shared" si="43"/>
        <v>0.37682027177004945</v>
      </c>
    </row>
    <row r="67" spans="1:26" s="25" customFormat="1" outlineLevel="1" collapsed="1" x14ac:dyDescent="0.25">
      <c r="A67" s="27"/>
      <c r="B67" s="13" t="str">
        <f>CONCATENATE("     ","Freight out/Postage                               ")</f>
        <v xml:space="preserve">     Freight out/Postage                               </v>
      </c>
      <c r="C67" s="13"/>
      <c r="D67" s="1">
        <f>SUM(OSRRefD22_9x_0)</f>
        <v>0</v>
      </c>
      <c r="E67" s="1"/>
      <c r="F67" s="5">
        <f t="shared" si="36"/>
        <v>0</v>
      </c>
      <c r="G67" s="1"/>
      <c r="H67" s="1">
        <f>SUM(OSRRefH22_9x_0)</f>
        <v>9.01</v>
      </c>
      <c r="I67" s="1"/>
      <c r="J67" s="5">
        <f t="shared" si="37"/>
        <v>6.5232738137812105E-6</v>
      </c>
      <c r="K67" s="1"/>
      <c r="L67" s="1">
        <f t="shared" si="38"/>
        <v>-9.01</v>
      </c>
      <c r="M67" s="1"/>
      <c r="N67" s="5">
        <f t="shared" si="39"/>
        <v>-1</v>
      </c>
      <c r="O67" s="13"/>
      <c r="P67" s="1">
        <f>SUM(OSRRefP22_9x_0)</f>
        <v>0</v>
      </c>
      <c r="Q67" s="1"/>
      <c r="R67" s="5">
        <f t="shared" si="40"/>
        <v>0</v>
      </c>
      <c r="S67" s="1"/>
      <c r="T67" s="1">
        <f>SUM(OSRRefT22_9x_0)</f>
        <v>12.71</v>
      </c>
      <c r="U67" s="1"/>
      <c r="V67" s="5">
        <f t="shared" si="41"/>
        <v>1.6464782332565713E-6</v>
      </c>
      <c r="W67" s="1"/>
      <c r="X67" s="1">
        <f t="shared" si="42"/>
        <v>-12.71</v>
      </c>
      <c r="Y67" s="1"/>
      <c r="Z67" s="5">
        <f t="shared" si="43"/>
        <v>-1</v>
      </c>
    </row>
    <row r="68" spans="1:26" s="24" customFormat="1" hidden="1" outlineLevel="2" x14ac:dyDescent="0.25">
      <c r="A68" s="26"/>
      <c r="B68" s="11" t="str">
        <f>CONCATENATE("          ", "6307", " - ", "POSTAGE")</f>
        <v xml:space="preserve">          6307 - POSTAGE</v>
      </c>
      <c r="C68" s="11"/>
      <c r="D68" s="6"/>
      <c r="E68" s="2"/>
      <c r="F68" s="7">
        <f t="shared" si="36"/>
        <v>0</v>
      </c>
      <c r="G68" s="2"/>
      <c r="H68" s="6">
        <v>9.01</v>
      </c>
      <c r="I68" s="2"/>
      <c r="J68" s="7">
        <f t="shared" si="37"/>
        <v>6.5232738137812105E-6</v>
      </c>
      <c r="K68" s="2"/>
      <c r="L68" s="6">
        <f t="shared" si="38"/>
        <v>-9.01</v>
      </c>
      <c r="M68" s="2"/>
      <c r="N68" s="7">
        <f t="shared" si="39"/>
        <v>-1</v>
      </c>
      <c r="O68" s="11"/>
      <c r="P68" s="6"/>
      <c r="Q68" s="2"/>
      <c r="R68" s="7">
        <f t="shared" si="40"/>
        <v>0</v>
      </c>
      <c r="S68" s="2"/>
      <c r="T68" s="6">
        <v>12.71</v>
      </c>
      <c r="U68" s="2"/>
      <c r="V68" s="7">
        <f t="shared" si="41"/>
        <v>1.6464782332565713E-6</v>
      </c>
      <c r="W68" s="2"/>
      <c r="X68" s="6">
        <f t="shared" si="42"/>
        <v>-12.71</v>
      </c>
      <c r="Y68" s="2"/>
      <c r="Z68" s="7">
        <f t="shared" si="43"/>
        <v>-1</v>
      </c>
    </row>
    <row r="69" spans="1:26" s="25" customFormat="1" outlineLevel="1" collapsed="1" x14ac:dyDescent="0.25">
      <c r="A69" s="27"/>
      <c r="B69" s="13" t="str">
        <f>CONCATENATE("     ","General                                           ")</f>
        <v xml:space="preserve">     General                                           </v>
      </c>
      <c r="C69" s="13"/>
      <c r="D69" s="1">
        <f>SUM(OSRRefD22_10x_0)</f>
        <v>22053.200000000001</v>
      </c>
      <c r="E69" s="1"/>
      <c r="F69" s="5">
        <f t="shared" si="36"/>
        <v>1.2948888605496495E-2</v>
      </c>
      <c r="G69" s="1"/>
      <c r="H69" s="1">
        <f>SUM(OSRRefH22_10x_0)</f>
        <v>2744.5</v>
      </c>
      <c r="I69" s="1"/>
      <c r="J69" s="5">
        <f t="shared" si="37"/>
        <v>1.9870282998804144E-3</v>
      </c>
      <c r="K69" s="1"/>
      <c r="L69" s="1">
        <f t="shared" si="38"/>
        <v>19308.7</v>
      </c>
      <c r="M69" s="1"/>
      <c r="N69" s="5">
        <f t="shared" si="39"/>
        <v>7.0354162871196939</v>
      </c>
      <c r="O69" s="13"/>
      <c r="P69" s="1">
        <f>SUM(OSRRefP22_10x_0)</f>
        <v>68002.070000000007</v>
      </c>
      <c r="Q69" s="1"/>
      <c r="R69" s="5">
        <f t="shared" si="40"/>
        <v>8.5428991574945309E-3</v>
      </c>
      <c r="S69" s="1"/>
      <c r="T69" s="1">
        <f>SUM(OSRRefT22_10x_0)</f>
        <v>35591.79</v>
      </c>
      <c r="U69" s="1"/>
      <c r="V69" s="5">
        <f t="shared" si="41"/>
        <v>4.6106300171234382E-3</v>
      </c>
      <c r="W69" s="1"/>
      <c r="X69" s="1">
        <f t="shared" si="42"/>
        <v>32410.280000000006</v>
      </c>
      <c r="Y69" s="1"/>
      <c r="Z69" s="5">
        <f t="shared" si="43"/>
        <v>0.91061112689190415</v>
      </c>
    </row>
    <row r="70" spans="1:26" s="24" customFormat="1" hidden="1" outlineLevel="2" x14ac:dyDescent="0.25">
      <c r="A70" s="26"/>
      <c r="B70" s="11" t="str">
        <f>CONCATENATE("          ", "6269", " - ", "ENTERTAINMENT")</f>
        <v xml:space="preserve">          6269 - ENTERTAINMENT</v>
      </c>
      <c r="C70" s="11"/>
      <c r="D70" s="6">
        <v>600</v>
      </c>
      <c r="E70" s="2"/>
      <c r="F70" s="7">
        <f t="shared" si="36"/>
        <v>3.5229958297652478E-4</v>
      </c>
      <c r="G70" s="2"/>
      <c r="H70" s="6">
        <v>300</v>
      </c>
      <c r="I70" s="2"/>
      <c r="J70" s="7">
        <f t="shared" si="37"/>
        <v>2.1720112587506806E-4</v>
      </c>
      <c r="K70" s="2"/>
      <c r="L70" s="6">
        <f t="shared" si="38"/>
        <v>300</v>
      </c>
      <c r="M70" s="2"/>
      <c r="N70" s="7">
        <f t="shared" si="39"/>
        <v>1</v>
      </c>
      <c r="O70" s="11"/>
      <c r="P70" s="6">
        <v>6100</v>
      </c>
      <c r="Q70" s="2"/>
      <c r="R70" s="7">
        <f t="shared" si="40"/>
        <v>7.6632497894132674E-4</v>
      </c>
      <c r="S70" s="2"/>
      <c r="T70" s="6">
        <v>4360</v>
      </c>
      <c r="U70" s="2"/>
      <c r="V70" s="7">
        <f t="shared" si="41"/>
        <v>5.6480291872530687E-4</v>
      </c>
      <c r="W70" s="2"/>
      <c r="X70" s="6">
        <f t="shared" si="42"/>
        <v>1740</v>
      </c>
      <c r="Y70" s="2"/>
      <c r="Z70" s="7">
        <f t="shared" si="43"/>
        <v>0.39908256880733944</v>
      </c>
    </row>
    <row r="71" spans="1:26" s="24" customFormat="1" hidden="1" outlineLevel="2" x14ac:dyDescent="0.25">
      <c r="A71" s="26"/>
      <c r="B71" s="11" t="str">
        <f>CONCATENATE("          ", "6279", " - ", "GENERAL EXPENSE")</f>
        <v xml:space="preserve">          6279 - GENERAL EXPENSE</v>
      </c>
      <c r="C71" s="11"/>
      <c r="D71" s="6">
        <v>21453.200000000001</v>
      </c>
      <c r="E71" s="2"/>
      <c r="F71" s="7">
        <f t="shared" si="36"/>
        <v>1.259658902251997E-2</v>
      </c>
      <c r="G71" s="2"/>
      <c r="H71" s="6">
        <v>2444.5</v>
      </c>
      <c r="I71" s="2"/>
      <c r="J71" s="7">
        <f t="shared" si="37"/>
        <v>1.7698271740053462E-3</v>
      </c>
      <c r="K71" s="2"/>
      <c r="L71" s="6">
        <f t="shared" si="38"/>
        <v>19008.7</v>
      </c>
      <c r="M71" s="2"/>
      <c r="N71" s="7">
        <f t="shared" si="39"/>
        <v>7.7761096338719575</v>
      </c>
      <c r="O71" s="11"/>
      <c r="P71" s="6">
        <v>61902.07</v>
      </c>
      <c r="Q71" s="2"/>
      <c r="R71" s="7">
        <f t="shared" si="40"/>
        <v>7.7765741785532022E-3</v>
      </c>
      <c r="S71" s="2"/>
      <c r="T71" s="6">
        <v>31231.79</v>
      </c>
      <c r="U71" s="2"/>
      <c r="V71" s="7">
        <f t="shared" si="41"/>
        <v>4.0458270983981309E-3</v>
      </c>
      <c r="W71" s="2"/>
      <c r="X71" s="6">
        <f t="shared" si="42"/>
        <v>30670.28</v>
      </c>
      <c r="Y71" s="2"/>
      <c r="Z71" s="7">
        <f t="shared" si="43"/>
        <v>0.98202120339564269</v>
      </c>
    </row>
    <row r="72" spans="1:26" s="25" customFormat="1" outlineLevel="1" collapsed="1" x14ac:dyDescent="0.25">
      <c r="A72" s="27"/>
      <c r="B72" s="13" t="str">
        <f>CONCATENATE("     ","Insurance                                         ")</f>
        <v xml:space="preserve">     Insurance                                         </v>
      </c>
      <c r="C72" s="13"/>
      <c r="D72" s="1">
        <f>SUM(OSRRefD22_11x_0)</f>
        <v>4246.03</v>
      </c>
      <c r="E72" s="1"/>
      <c r="F72" s="5">
        <f t="shared" ref="F72:F85" si="44">IF(D$12=0,0,D72/D$12)</f>
        <v>2.4931243305096893E-3</v>
      </c>
      <c r="G72" s="1"/>
      <c r="H72" s="1">
        <f>SUM(OSRRefH22_11x_0)</f>
        <v>3998.11</v>
      </c>
      <c r="I72" s="1"/>
      <c r="J72" s="5">
        <f t="shared" ref="J72:J85" si="45">IF(H$12=0,0,H72/H$12)</f>
        <v>2.8946466445745615E-3</v>
      </c>
      <c r="K72" s="1"/>
      <c r="L72" s="1">
        <f t="shared" ref="L72:L85" si="46">+D72-H72</f>
        <v>247.91999999999962</v>
      </c>
      <c r="M72" s="1"/>
      <c r="N72" s="5">
        <f t="shared" ref="N72:N85" si="47">IF(H72=0,0,L72/H72)</f>
        <v>6.2009299393963553E-2</v>
      </c>
      <c r="O72" s="13"/>
      <c r="P72" s="1">
        <f>SUM(OSRRefP22_11x_0)</f>
        <v>21230.15</v>
      </c>
      <c r="Q72" s="1"/>
      <c r="R72" s="5">
        <f t="shared" ref="R72:R85" si="48">IF(P$12=0,0,P72/P$12)</f>
        <v>2.6670810248641329E-3</v>
      </c>
      <c r="S72" s="1"/>
      <c r="T72" s="1">
        <f>SUM(OSRRefT22_11x_0)</f>
        <v>24578.550000000003</v>
      </c>
      <c r="U72" s="1"/>
      <c r="V72" s="5">
        <f t="shared" ref="V72:V85" si="49">IF(T$12=0,0,T72/T$12)</f>
        <v>3.1839533894577735E-3</v>
      </c>
      <c r="W72" s="1"/>
      <c r="X72" s="1">
        <f t="shared" ref="X72:X85" si="50">+P72-T72</f>
        <v>-3348.4000000000015</v>
      </c>
      <c r="Y72" s="1"/>
      <c r="Z72" s="5">
        <f t="shared" ref="Z72:Z85" si="51">IF(T72=0,0,X72/T72)</f>
        <v>-0.13623260932805234</v>
      </c>
    </row>
    <row r="73" spans="1:26" s="24" customFormat="1" hidden="1" outlineLevel="2" x14ac:dyDescent="0.25">
      <c r="A73" s="26"/>
      <c r="B73" s="11" t="str">
        <f>CONCATENATE("          ", "6314", " - ", "LIABILITY INSURANCE")</f>
        <v xml:space="preserve">          6314 - LIABILITY INSURANCE</v>
      </c>
      <c r="C73" s="11"/>
      <c r="D73" s="6">
        <v>4246.03</v>
      </c>
      <c r="E73" s="2"/>
      <c r="F73" s="7">
        <f t="shared" si="44"/>
        <v>2.4931243305096893E-3</v>
      </c>
      <c r="G73" s="2"/>
      <c r="H73" s="6">
        <v>3998.11</v>
      </c>
      <c r="I73" s="2"/>
      <c r="J73" s="7">
        <f t="shared" si="45"/>
        <v>2.8946466445745615E-3</v>
      </c>
      <c r="K73" s="2"/>
      <c r="L73" s="6">
        <f t="shared" si="46"/>
        <v>247.91999999999962</v>
      </c>
      <c r="M73" s="2"/>
      <c r="N73" s="7">
        <f t="shared" si="47"/>
        <v>6.2009299393963553E-2</v>
      </c>
      <c r="O73" s="11"/>
      <c r="P73" s="6">
        <v>21230.15</v>
      </c>
      <c r="Q73" s="2"/>
      <c r="R73" s="7">
        <f t="shared" si="48"/>
        <v>2.6670810248641329E-3</v>
      </c>
      <c r="S73" s="2"/>
      <c r="T73" s="6">
        <v>24578.550000000003</v>
      </c>
      <c r="U73" s="2"/>
      <c r="V73" s="7">
        <f t="shared" si="49"/>
        <v>3.1839533894577735E-3</v>
      </c>
      <c r="W73" s="2"/>
      <c r="X73" s="6">
        <f t="shared" si="50"/>
        <v>-3348.4000000000015</v>
      </c>
      <c r="Y73" s="2"/>
      <c r="Z73" s="7">
        <f t="shared" si="51"/>
        <v>-0.13623260932805234</v>
      </c>
    </row>
    <row r="74" spans="1:26" s="25" customFormat="1" outlineLevel="1" collapsed="1" x14ac:dyDescent="0.25">
      <c r="A74" s="27"/>
      <c r="B74" s="13" t="str">
        <f>CONCATENATE("     ","Interest                                          ")</f>
        <v xml:space="preserve">     Interest                                          </v>
      </c>
      <c r="C74" s="13"/>
      <c r="D74" s="1">
        <f>SUM(OSRRefD22_12x_0)</f>
        <v>7754</v>
      </c>
      <c r="E74" s="1"/>
      <c r="F74" s="5">
        <f t="shared" si="44"/>
        <v>4.5528849439999556E-3</v>
      </c>
      <c r="G74" s="1"/>
      <c r="H74" s="1">
        <f>SUM(OSRRefH22_12x_0)</f>
        <v>7949</v>
      </c>
      <c r="I74" s="1"/>
      <c r="J74" s="5">
        <f t="shared" si="45"/>
        <v>5.7551058319363869E-3</v>
      </c>
      <c r="K74" s="1"/>
      <c r="L74" s="1">
        <f t="shared" si="46"/>
        <v>-195</v>
      </c>
      <c r="M74" s="1"/>
      <c r="N74" s="5">
        <f t="shared" si="47"/>
        <v>-2.4531387595924017E-2</v>
      </c>
      <c r="O74" s="13"/>
      <c r="P74" s="1">
        <f>SUM(OSRRefP22_12x_0)</f>
        <v>38377.049999999996</v>
      </c>
      <c r="Q74" s="1"/>
      <c r="R74" s="5">
        <f t="shared" si="48"/>
        <v>4.8211954152590558E-3</v>
      </c>
      <c r="S74" s="1"/>
      <c r="T74" s="1">
        <f>SUM(OSRRefT22_12x_0)</f>
        <v>39345.100000000006</v>
      </c>
      <c r="U74" s="1"/>
      <c r="V74" s="5">
        <f t="shared" si="49"/>
        <v>5.0968411278759342E-3</v>
      </c>
      <c r="W74" s="1"/>
      <c r="X74" s="1">
        <f t="shared" si="50"/>
        <v>-968.05000000001019</v>
      </c>
      <c r="Y74" s="1"/>
      <c r="Z74" s="5">
        <f t="shared" si="51"/>
        <v>-2.4604080304790433E-2</v>
      </c>
    </row>
    <row r="75" spans="1:26" s="24" customFormat="1" hidden="1" outlineLevel="2" x14ac:dyDescent="0.25">
      <c r="A75" s="26"/>
      <c r="B75" s="11" t="str">
        <f>CONCATENATE("          ", "6401", " - ", "INTEREST EXPENSE")</f>
        <v xml:space="preserve">          6401 - INTEREST EXPENSE</v>
      </c>
      <c r="C75" s="11"/>
      <c r="D75" s="6">
        <v>7754</v>
      </c>
      <c r="E75" s="2"/>
      <c r="F75" s="7">
        <f t="shared" si="44"/>
        <v>4.5528849439999556E-3</v>
      </c>
      <c r="G75" s="2"/>
      <c r="H75" s="6">
        <v>7949</v>
      </c>
      <c r="I75" s="2"/>
      <c r="J75" s="7">
        <f t="shared" si="45"/>
        <v>5.7551058319363869E-3</v>
      </c>
      <c r="K75" s="2"/>
      <c r="L75" s="6">
        <f t="shared" si="46"/>
        <v>-195</v>
      </c>
      <c r="M75" s="2"/>
      <c r="N75" s="7">
        <f t="shared" si="47"/>
        <v>-2.4531387595924017E-2</v>
      </c>
      <c r="O75" s="11"/>
      <c r="P75" s="6">
        <v>38377.049999999996</v>
      </c>
      <c r="Q75" s="2"/>
      <c r="R75" s="7">
        <f t="shared" si="48"/>
        <v>4.8211954152590558E-3</v>
      </c>
      <c r="S75" s="2"/>
      <c r="T75" s="6">
        <v>39345.100000000006</v>
      </c>
      <c r="U75" s="2"/>
      <c r="V75" s="7">
        <f t="shared" si="49"/>
        <v>5.0968411278759342E-3</v>
      </c>
      <c r="W75" s="2"/>
      <c r="X75" s="6">
        <f t="shared" si="50"/>
        <v>-968.05000000001019</v>
      </c>
      <c r="Y75" s="2"/>
      <c r="Z75" s="7">
        <f t="shared" si="51"/>
        <v>-2.4604080304790433E-2</v>
      </c>
    </row>
    <row r="76" spans="1:26" s="25" customFormat="1" outlineLevel="1" collapsed="1" x14ac:dyDescent="0.25">
      <c r="A76" s="27"/>
      <c r="B76" s="13" t="str">
        <f>CONCATENATE("     ","Professional Services                             ")</f>
        <v xml:space="preserve">     Professional Services                             </v>
      </c>
      <c r="C76" s="13"/>
      <c r="D76" s="1">
        <f>SUM(OSRRefD22_13x_0)</f>
        <v>0</v>
      </c>
      <c r="E76" s="1"/>
      <c r="F76" s="5">
        <f t="shared" si="44"/>
        <v>0</v>
      </c>
      <c r="G76" s="1"/>
      <c r="H76" s="1">
        <f>SUM(OSRRefH22_13x_0)</f>
        <v>0</v>
      </c>
      <c r="I76" s="1"/>
      <c r="J76" s="5">
        <f t="shared" si="45"/>
        <v>0</v>
      </c>
      <c r="K76" s="1"/>
      <c r="L76" s="1">
        <f t="shared" si="46"/>
        <v>0</v>
      </c>
      <c r="M76" s="1"/>
      <c r="N76" s="5">
        <f t="shared" si="47"/>
        <v>0</v>
      </c>
      <c r="O76" s="13"/>
      <c r="P76" s="1">
        <f>SUM(OSRRefP22_13x_0)</f>
        <v>125</v>
      </c>
      <c r="Q76" s="1"/>
      <c r="R76" s="5">
        <f t="shared" si="48"/>
        <v>1.5703380716010796E-5</v>
      </c>
      <c r="S76" s="1"/>
      <c r="T76" s="1">
        <f>SUM(OSRRefT22_13x_0)</f>
        <v>0</v>
      </c>
      <c r="U76" s="1"/>
      <c r="V76" s="5">
        <f t="shared" si="49"/>
        <v>0</v>
      </c>
      <c r="W76" s="1"/>
      <c r="X76" s="1">
        <f t="shared" si="50"/>
        <v>125</v>
      </c>
      <c r="Y76" s="1"/>
      <c r="Z76" s="5">
        <f t="shared" si="51"/>
        <v>0</v>
      </c>
    </row>
    <row r="77" spans="1:26" s="24" customFormat="1" hidden="1" outlineLevel="2" x14ac:dyDescent="0.25">
      <c r="A77" s="26"/>
      <c r="B77" s="11" t="str">
        <f>CONCATENATE("          ", "6336", " - ", "PROFESSIONAL SERVICES")</f>
        <v xml:space="preserve">          6336 - PROFESSIONAL SERVICES</v>
      </c>
      <c r="C77" s="11"/>
      <c r="D77" s="6"/>
      <c r="E77" s="2"/>
      <c r="F77" s="7">
        <f t="shared" si="44"/>
        <v>0</v>
      </c>
      <c r="G77" s="2"/>
      <c r="H77" s="6"/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1"/>
      <c r="P77" s="6">
        <v>125</v>
      </c>
      <c r="Q77" s="2"/>
      <c r="R77" s="7">
        <f t="shared" si="48"/>
        <v>1.5703380716010796E-5</v>
      </c>
      <c r="S77" s="2"/>
      <c r="T77" s="6"/>
      <c r="U77" s="2"/>
      <c r="V77" s="7">
        <f t="shared" si="49"/>
        <v>0</v>
      </c>
      <c r="W77" s="2"/>
      <c r="X77" s="6">
        <f t="shared" si="50"/>
        <v>125</v>
      </c>
      <c r="Y77" s="2"/>
      <c r="Z77" s="7">
        <f t="shared" si="51"/>
        <v>0</v>
      </c>
    </row>
    <row r="78" spans="1:26" s="25" customFormat="1" outlineLevel="1" collapsed="1" x14ac:dyDescent="0.25">
      <c r="A78" s="27"/>
      <c r="B78" s="13" t="str">
        <f>CONCATENATE("     ","R/H Commissions                                   ")</f>
        <v xml:space="preserve">     R/H Commissions                                   </v>
      </c>
      <c r="C78" s="13"/>
      <c r="D78" s="1">
        <f>SUM(OSRRefD22_14x_0)</f>
        <v>88207.73000000001</v>
      </c>
      <c r="E78" s="1"/>
      <c r="F78" s="5">
        <f t="shared" si="44"/>
        <v>5.1792577490509834E-2</v>
      </c>
      <c r="G78" s="1"/>
      <c r="H78" s="1">
        <f>SUM(OSRRefH22_14x_0)</f>
        <v>64000.460000000006</v>
      </c>
      <c r="I78" s="1"/>
      <c r="J78" s="5">
        <f t="shared" si="45"/>
        <v>4.6336573228407535E-2</v>
      </c>
      <c r="K78" s="1"/>
      <c r="L78" s="1">
        <f t="shared" si="46"/>
        <v>24207.270000000004</v>
      </c>
      <c r="M78" s="1"/>
      <c r="N78" s="5">
        <f t="shared" si="47"/>
        <v>0.37823587517964719</v>
      </c>
      <c r="O78" s="13"/>
      <c r="P78" s="1">
        <f>SUM(OSRRefP22_14x_0)</f>
        <v>406895.16</v>
      </c>
      <c r="Q78" s="1"/>
      <c r="R78" s="5">
        <f t="shared" si="48"/>
        <v>5.1117036871857015E-2</v>
      </c>
      <c r="S78" s="1"/>
      <c r="T78" s="1">
        <f>SUM(OSRRefT22_14x_0)</f>
        <v>377282.20999999996</v>
      </c>
      <c r="U78" s="1"/>
      <c r="V78" s="5">
        <f t="shared" si="49"/>
        <v>4.8873874630994067E-2</v>
      </c>
      <c r="W78" s="1"/>
      <c r="X78" s="1">
        <f t="shared" si="50"/>
        <v>29612.950000000012</v>
      </c>
      <c r="Y78" s="1"/>
      <c r="Z78" s="5">
        <f t="shared" si="51"/>
        <v>7.8490183780465059E-2</v>
      </c>
    </row>
    <row r="79" spans="1:26" s="24" customFormat="1" hidden="1" outlineLevel="2" x14ac:dyDescent="0.25">
      <c r="A79" s="26"/>
      <c r="B79" s="11" t="str">
        <f>CONCATENATE("          ", "6387", " - ", "COMMISSION DUE HOUSING")</f>
        <v xml:space="preserve">          6387 - COMMISSION DUE HOUSING</v>
      </c>
      <c r="C79" s="11"/>
      <c r="D79" s="6">
        <v>88207.73000000001</v>
      </c>
      <c r="E79" s="2"/>
      <c r="F79" s="7">
        <f t="shared" si="44"/>
        <v>5.1792577490509834E-2</v>
      </c>
      <c r="G79" s="2"/>
      <c r="H79" s="6">
        <v>64000.460000000006</v>
      </c>
      <c r="I79" s="2"/>
      <c r="J79" s="7">
        <f t="shared" si="45"/>
        <v>4.6336573228407535E-2</v>
      </c>
      <c r="K79" s="2"/>
      <c r="L79" s="6">
        <f t="shared" si="46"/>
        <v>24207.270000000004</v>
      </c>
      <c r="M79" s="2"/>
      <c r="N79" s="7">
        <f t="shared" si="47"/>
        <v>0.37823587517964719</v>
      </c>
      <c r="O79" s="11"/>
      <c r="P79" s="6">
        <v>406895.16</v>
      </c>
      <c r="Q79" s="2"/>
      <c r="R79" s="7">
        <f t="shared" si="48"/>
        <v>5.1117036871857015E-2</v>
      </c>
      <c r="S79" s="2"/>
      <c r="T79" s="6">
        <v>377282.20999999996</v>
      </c>
      <c r="U79" s="2"/>
      <c r="V79" s="7">
        <f t="shared" si="49"/>
        <v>4.8873874630994067E-2</v>
      </c>
      <c r="W79" s="2"/>
      <c r="X79" s="6">
        <f t="shared" si="50"/>
        <v>29612.950000000012</v>
      </c>
      <c r="Y79" s="2"/>
      <c r="Z79" s="7">
        <f t="shared" si="51"/>
        <v>7.8490183780465059E-2</v>
      </c>
    </row>
    <row r="80" spans="1:26" s="25" customFormat="1" outlineLevel="1" collapsed="1" x14ac:dyDescent="0.25">
      <c r="A80" s="27"/>
      <c r="B80" s="13" t="str">
        <f>CONCATENATE("     ","Rent                                              ")</f>
        <v xml:space="preserve">     Rent                                              </v>
      </c>
      <c r="C80" s="13"/>
      <c r="D80" s="1">
        <f>SUM(OSRRefD22_15x_0)</f>
        <v>1850</v>
      </c>
      <c r="E80" s="1"/>
      <c r="F80" s="5">
        <f t="shared" si="44"/>
        <v>1.0862570475109515E-3</v>
      </c>
      <c r="G80" s="1"/>
      <c r="H80" s="1">
        <f>SUM(OSRRefH22_15x_0)</f>
        <v>1850</v>
      </c>
      <c r="I80" s="1"/>
      <c r="J80" s="5">
        <f t="shared" si="45"/>
        <v>1.3394069428962531E-3</v>
      </c>
      <c r="K80" s="1"/>
      <c r="L80" s="1">
        <f t="shared" si="46"/>
        <v>0</v>
      </c>
      <c r="M80" s="1"/>
      <c r="N80" s="5">
        <f t="shared" si="47"/>
        <v>0</v>
      </c>
      <c r="O80" s="13"/>
      <c r="P80" s="1">
        <f>SUM(OSRRefP22_15x_0)</f>
        <v>9250</v>
      </c>
      <c r="Q80" s="1"/>
      <c r="R80" s="5">
        <f t="shared" si="48"/>
        <v>1.1620501729847988E-3</v>
      </c>
      <c r="S80" s="1"/>
      <c r="T80" s="1">
        <f>SUM(OSRRefT22_15x_0)</f>
        <v>9250</v>
      </c>
      <c r="U80" s="1"/>
      <c r="V80" s="5">
        <f t="shared" si="49"/>
        <v>1.198263072983736E-3</v>
      </c>
      <c r="W80" s="1"/>
      <c r="X80" s="1">
        <f t="shared" si="50"/>
        <v>0</v>
      </c>
      <c r="Y80" s="1"/>
      <c r="Z80" s="5">
        <f t="shared" si="51"/>
        <v>0</v>
      </c>
    </row>
    <row r="81" spans="1:26" s="24" customFormat="1" hidden="1" outlineLevel="2" x14ac:dyDescent="0.25">
      <c r="A81" s="26"/>
      <c r="B81" s="11" t="str">
        <f>CONCATENATE("          ", "6273", " - ", "RENT")</f>
        <v xml:space="preserve">          6273 - RENT</v>
      </c>
      <c r="C81" s="11"/>
      <c r="D81" s="6">
        <v>1850</v>
      </c>
      <c r="E81" s="2"/>
      <c r="F81" s="7">
        <f t="shared" si="44"/>
        <v>1.0862570475109515E-3</v>
      </c>
      <c r="G81" s="2"/>
      <c r="H81" s="6">
        <v>1850</v>
      </c>
      <c r="I81" s="2"/>
      <c r="J81" s="7">
        <f t="shared" si="45"/>
        <v>1.3394069428962531E-3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9250</v>
      </c>
      <c r="Q81" s="2"/>
      <c r="R81" s="7">
        <f t="shared" si="48"/>
        <v>1.1620501729847988E-3</v>
      </c>
      <c r="S81" s="2"/>
      <c r="T81" s="6">
        <v>9250</v>
      </c>
      <c r="U81" s="2"/>
      <c r="V81" s="7">
        <f t="shared" si="49"/>
        <v>1.198263072983736E-3</v>
      </c>
      <c r="W81" s="2"/>
      <c r="X81" s="6">
        <f t="shared" si="50"/>
        <v>0</v>
      </c>
      <c r="Y81" s="2"/>
      <c r="Z81" s="7">
        <f t="shared" si="51"/>
        <v>0</v>
      </c>
    </row>
    <row r="82" spans="1:26" s="25" customFormat="1" outlineLevel="1" collapsed="1" x14ac:dyDescent="0.25">
      <c r="A82" s="27"/>
      <c r="B82" s="13" t="str">
        <f>CONCATENATE("     ","Repair and Maintenance                            ")</f>
        <v xml:space="preserve">     Repair and Maintenance                            </v>
      </c>
      <c r="C82" s="13"/>
      <c r="D82" s="1">
        <f>SUM(OSRRefD22_16x_0)</f>
        <v>29158.249999999996</v>
      </c>
      <c r="E82" s="1"/>
      <c r="F82" s="5">
        <f t="shared" si="44"/>
        <v>1.7120732192208755E-2</v>
      </c>
      <c r="G82" s="1"/>
      <c r="H82" s="1">
        <f>SUM(OSRRefH22_16x_0)</f>
        <v>56815.86</v>
      </c>
      <c r="I82" s="1"/>
      <c r="J82" s="5">
        <f t="shared" si="45"/>
        <v>4.1134895865200818E-2</v>
      </c>
      <c r="K82" s="1"/>
      <c r="L82" s="1">
        <f t="shared" si="46"/>
        <v>-27657.610000000004</v>
      </c>
      <c r="M82" s="1"/>
      <c r="N82" s="5">
        <f t="shared" si="47"/>
        <v>-0.4867938283430015</v>
      </c>
      <c r="O82" s="13"/>
      <c r="P82" s="1">
        <f>SUM(OSRRefP22_16x_0)</f>
        <v>142114.77000000002</v>
      </c>
      <c r="Q82" s="1"/>
      <c r="R82" s="5">
        <f t="shared" si="48"/>
        <v>1.7853458709426479E-2</v>
      </c>
      <c r="S82" s="1"/>
      <c r="T82" s="1">
        <f>SUM(OSRRefT22_16x_0)</f>
        <v>152380.85999999999</v>
      </c>
      <c r="U82" s="1"/>
      <c r="V82" s="5">
        <f t="shared" si="49"/>
        <v>1.97397143316221E-2</v>
      </c>
      <c r="W82" s="1"/>
      <c r="X82" s="1">
        <f t="shared" si="50"/>
        <v>-10266.089999999967</v>
      </c>
      <c r="Y82" s="1"/>
      <c r="Z82" s="5">
        <f t="shared" si="51"/>
        <v>-6.7371256468824026E-2</v>
      </c>
    </row>
    <row r="83" spans="1:26" s="24" customFormat="1" hidden="1" outlineLevel="2" x14ac:dyDescent="0.25">
      <c r="A83" s="26"/>
      <c r="B83" s="11" t="str">
        <f>CONCATENATE("          ", "6371", " - ", "COMPUTER SOFTWARE MAINTENANCE")</f>
        <v xml:space="preserve">          6371 - COMPUTER SOFTWARE MAINTENANCE</v>
      </c>
      <c r="C83" s="11"/>
      <c r="D83" s="6">
        <v>16477.5</v>
      </c>
      <c r="E83" s="2"/>
      <c r="F83" s="7">
        <f t="shared" si="44"/>
        <v>9.6750272974928126E-3</v>
      </c>
      <c r="G83" s="2"/>
      <c r="H83" s="6">
        <v>17681.009999999998</v>
      </c>
      <c r="I83" s="2"/>
      <c r="J83" s="7">
        <f t="shared" si="45"/>
        <v>1.2801117595361122E-2</v>
      </c>
      <c r="K83" s="2"/>
      <c r="L83" s="6">
        <f t="shared" si="46"/>
        <v>-1203.5099999999984</v>
      </c>
      <c r="M83" s="2"/>
      <c r="N83" s="7">
        <f t="shared" si="47"/>
        <v>-6.806794408237983E-2</v>
      </c>
      <c r="O83" s="11"/>
      <c r="P83" s="6">
        <v>33750.620000000003</v>
      </c>
      <c r="Q83" s="2"/>
      <c r="R83" s="7">
        <f t="shared" si="48"/>
        <v>4.2399906820912662E-3</v>
      </c>
      <c r="S83" s="2"/>
      <c r="T83" s="6">
        <v>24155.5</v>
      </c>
      <c r="U83" s="2"/>
      <c r="V83" s="7">
        <f t="shared" si="49"/>
        <v>3.1291506658874197E-3</v>
      </c>
      <c r="W83" s="2"/>
      <c r="X83" s="6">
        <f t="shared" si="50"/>
        <v>9595.1200000000026</v>
      </c>
      <c r="Y83" s="2"/>
      <c r="Z83" s="7">
        <f t="shared" si="51"/>
        <v>0.39722299269317557</v>
      </c>
    </row>
    <row r="84" spans="1:26" s="24" customFormat="1" hidden="1" outlineLevel="2" x14ac:dyDescent="0.25">
      <c r="A84" s="26"/>
      <c r="B84" s="11" t="str">
        <f>CONCATENATE("          ", "6373", " - ", "MAINTENANCE CONTRACTS")</f>
        <v xml:space="preserve">          6373 - MAINTENANCE CONTRACTS</v>
      </c>
      <c r="C84" s="11"/>
      <c r="D84" s="6">
        <v>8630.8799999999992</v>
      </c>
      <c r="E84" s="2"/>
      <c r="F84" s="7">
        <f t="shared" si="44"/>
        <v>5.0677590412007137E-3</v>
      </c>
      <c r="G84" s="2"/>
      <c r="H84" s="6">
        <v>24462.66</v>
      </c>
      <c r="I84" s="2"/>
      <c r="J84" s="7">
        <f t="shared" si="45"/>
        <v>1.7711057646329974E-2</v>
      </c>
      <c r="K84" s="2"/>
      <c r="L84" s="6">
        <f t="shared" si="46"/>
        <v>-15831.78</v>
      </c>
      <c r="M84" s="2"/>
      <c r="N84" s="7">
        <f t="shared" si="47"/>
        <v>-0.64718145941610605</v>
      </c>
      <c r="O84" s="11"/>
      <c r="P84" s="6">
        <v>41326.92</v>
      </c>
      <c r="Q84" s="2"/>
      <c r="R84" s="7">
        <f t="shared" si="48"/>
        <v>5.1917788686409666E-3</v>
      </c>
      <c r="S84" s="2"/>
      <c r="T84" s="6">
        <v>61643.590000000004</v>
      </c>
      <c r="U84" s="2"/>
      <c r="V84" s="7">
        <f t="shared" si="49"/>
        <v>7.9854310900702163E-3</v>
      </c>
      <c r="W84" s="2"/>
      <c r="X84" s="6">
        <f t="shared" si="50"/>
        <v>-20316.670000000006</v>
      </c>
      <c r="Y84" s="2"/>
      <c r="Z84" s="7">
        <f t="shared" si="51"/>
        <v>-0.32958284876010635</v>
      </c>
    </row>
    <row r="85" spans="1:26" s="24" customFormat="1" hidden="1" outlineLevel="2" x14ac:dyDescent="0.25">
      <c r="A85" s="26"/>
      <c r="B85" s="11" t="str">
        <f>CONCATENATE("          ", "6375", " - ", "OUTSIDE REPAIRS &amp; MAINTENANCE")</f>
        <v xml:space="preserve">          6375 - OUTSIDE REPAIRS &amp; MAINTENANCE</v>
      </c>
      <c r="C85" s="11"/>
      <c r="D85" s="6">
        <v>4049.87</v>
      </c>
      <c r="E85" s="2"/>
      <c r="F85" s="7">
        <f t="shared" si="44"/>
        <v>2.3779458535152309E-3</v>
      </c>
      <c r="G85" s="2"/>
      <c r="H85" s="6">
        <v>14672.19</v>
      </c>
      <c r="I85" s="2"/>
      <c r="J85" s="7">
        <f t="shared" si="45"/>
        <v>1.0622720623509717E-2</v>
      </c>
      <c r="K85" s="2"/>
      <c r="L85" s="6">
        <f t="shared" si="46"/>
        <v>-10622.32</v>
      </c>
      <c r="M85" s="2"/>
      <c r="N85" s="7">
        <f t="shared" si="47"/>
        <v>-0.72397644796039307</v>
      </c>
      <c r="O85" s="11"/>
      <c r="P85" s="6">
        <v>67037.23</v>
      </c>
      <c r="Q85" s="2"/>
      <c r="R85" s="7">
        <f t="shared" si="48"/>
        <v>8.4216891586942413E-3</v>
      </c>
      <c r="S85" s="2"/>
      <c r="T85" s="6">
        <v>66581.77</v>
      </c>
      <c r="U85" s="2"/>
      <c r="V85" s="7">
        <f t="shared" si="49"/>
        <v>8.6251325756644681E-3</v>
      </c>
      <c r="W85" s="2"/>
      <c r="X85" s="6">
        <f t="shared" si="50"/>
        <v>455.45999999999185</v>
      </c>
      <c r="Y85" s="2"/>
      <c r="Z85" s="7">
        <f t="shared" si="51"/>
        <v>6.8406111763023398E-3</v>
      </c>
    </row>
    <row r="86" spans="1:26" s="25" customFormat="1" outlineLevel="1" collapsed="1" x14ac:dyDescent="0.25">
      <c r="A86" s="27"/>
      <c r="B86" s="13" t="str">
        <f>CONCATENATE("     ","Royalty &amp; Commissions                             ")</f>
        <v xml:space="preserve">     Royalty &amp; Commissions                             </v>
      </c>
      <c r="C86" s="13"/>
      <c r="D86" s="1">
        <f>SUM(OSRRefD22_17x_0)</f>
        <v>22370.73</v>
      </c>
      <c r="E86" s="1"/>
      <c r="F86" s="5">
        <f t="shared" ref="F86:F88" si="52">IF(D$12=0,0,D86/D$12)</f>
        <v>1.3135331416467388E-2</v>
      </c>
      <c r="G86" s="1"/>
      <c r="H86" s="1">
        <f>SUM(OSRRefH22_17x_0)</f>
        <v>19566.11</v>
      </c>
      <c r="I86" s="1"/>
      <c r="J86" s="5">
        <f t="shared" ref="J86:J88" si="53">IF(H$12=0,0,H86/H$12)</f>
        <v>1.4165937069984761E-2</v>
      </c>
      <c r="K86" s="1"/>
      <c r="L86" s="1">
        <f t="shared" ref="L86:L88" si="54">+D86-H86</f>
        <v>2804.619999999999</v>
      </c>
      <c r="M86" s="1"/>
      <c r="N86" s="5">
        <f t="shared" ref="N86:N88" si="55">IF(H86=0,0,L86/H86)</f>
        <v>0.1433407049229509</v>
      </c>
      <c r="O86" s="13"/>
      <c r="P86" s="1">
        <f>SUM(OSRRefP22_17x_0)</f>
        <v>114719.6</v>
      </c>
      <c r="Q86" s="1"/>
      <c r="R86" s="5">
        <f t="shared" ref="R86:R88" si="56">IF(P$12=0,0,P86/P$12)</f>
        <v>1.4411884435107776E-2</v>
      </c>
      <c r="S86" s="1"/>
      <c r="T86" s="1">
        <f>SUM(OSRRefT22_17x_0)</f>
        <v>116265.57</v>
      </c>
      <c r="U86" s="1"/>
      <c r="V86" s="5">
        <f t="shared" ref="V86:V88" si="57">IF(T$12=0,0,T86/T$12)</f>
        <v>1.5061269101665477E-2</v>
      </c>
      <c r="W86" s="1"/>
      <c r="X86" s="1">
        <f t="shared" ref="X86:X88" si="58">+P86-T86</f>
        <v>-1545.9700000000012</v>
      </c>
      <c r="Y86" s="1"/>
      <c r="Z86" s="5">
        <f t="shared" ref="Z86:Z88" si="59">IF(T86=0,0,X86/T86)</f>
        <v>-1.3296885741840866E-2</v>
      </c>
    </row>
    <row r="87" spans="1:26" s="24" customFormat="1" hidden="1" outlineLevel="2" x14ac:dyDescent="0.25">
      <c r="A87" s="26"/>
      <c r="B87" s="11" t="str">
        <f>CONCATENATE("          ", "6254", " - ", "ROYALTY &amp; COMMISSIONS")</f>
        <v xml:space="preserve">          6254 - ROYALTY &amp; COMMISSIONS</v>
      </c>
      <c r="C87" s="11"/>
      <c r="D87" s="6">
        <v>8007.21</v>
      </c>
      <c r="E87" s="2"/>
      <c r="F87" s="7">
        <f t="shared" si="52"/>
        <v>4.7015612396757653E-3</v>
      </c>
      <c r="G87" s="2"/>
      <c r="H87" s="6">
        <v>6964.75</v>
      </c>
      <c r="I87" s="2"/>
      <c r="J87" s="7">
        <f t="shared" si="53"/>
        <v>5.0425051381279345E-3</v>
      </c>
      <c r="K87" s="2"/>
      <c r="L87" s="6">
        <f t="shared" si="54"/>
        <v>1042.46</v>
      </c>
      <c r="M87" s="2"/>
      <c r="N87" s="7">
        <f t="shared" si="55"/>
        <v>0.14967658566351988</v>
      </c>
      <c r="O87" s="11"/>
      <c r="P87" s="6">
        <v>52986.720000000001</v>
      </c>
      <c r="Q87" s="2"/>
      <c r="R87" s="7">
        <f t="shared" si="56"/>
        <v>6.6565650964213081E-3</v>
      </c>
      <c r="S87" s="2"/>
      <c r="T87" s="6">
        <v>56045.57</v>
      </c>
      <c r="U87" s="2"/>
      <c r="V87" s="7">
        <f t="shared" si="57"/>
        <v>7.2602526416567651E-3</v>
      </c>
      <c r="W87" s="2"/>
      <c r="X87" s="6">
        <f t="shared" si="58"/>
        <v>-3058.8499999999985</v>
      </c>
      <c r="Y87" s="2"/>
      <c r="Z87" s="7">
        <f t="shared" si="59"/>
        <v>-5.4577908655403067E-2</v>
      </c>
    </row>
    <row r="88" spans="1:26" s="24" customFormat="1" hidden="1" outlineLevel="2" x14ac:dyDescent="0.25">
      <c r="A88" s="26"/>
      <c r="B88" s="11" t="str">
        <f>CONCATENATE("          ", "6259", " - ", "ROYALTY &amp; COMMISSIONS")</f>
        <v xml:space="preserve">          6259 - ROYALTY &amp; COMMISSIONS</v>
      </c>
      <c r="C88" s="11"/>
      <c r="D88" s="6">
        <v>14363.52</v>
      </c>
      <c r="E88" s="2"/>
      <c r="F88" s="7">
        <f t="shared" si="52"/>
        <v>8.4337701767916232E-3</v>
      </c>
      <c r="G88" s="2"/>
      <c r="H88" s="6">
        <v>12601.36</v>
      </c>
      <c r="I88" s="2"/>
      <c r="J88" s="7">
        <f t="shared" si="53"/>
        <v>9.1234319318568256E-3</v>
      </c>
      <c r="K88" s="2"/>
      <c r="L88" s="6">
        <f t="shared" si="54"/>
        <v>1762.1599999999999</v>
      </c>
      <c r="M88" s="2"/>
      <c r="N88" s="7">
        <f t="shared" si="55"/>
        <v>0.13983887453417723</v>
      </c>
      <c r="O88" s="11"/>
      <c r="P88" s="6">
        <v>61732.88</v>
      </c>
      <c r="Q88" s="2"/>
      <c r="R88" s="7">
        <f t="shared" si="56"/>
        <v>7.755319338686467E-3</v>
      </c>
      <c r="S88" s="2"/>
      <c r="T88" s="6">
        <v>60220</v>
      </c>
      <c r="U88" s="2"/>
      <c r="V88" s="7">
        <f t="shared" si="57"/>
        <v>7.8010164600087108E-3</v>
      </c>
      <c r="W88" s="2"/>
      <c r="X88" s="6">
        <f t="shared" si="58"/>
        <v>1512.8799999999974</v>
      </c>
      <c r="Y88" s="2"/>
      <c r="Z88" s="7">
        <f t="shared" si="59"/>
        <v>2.5122550647625329E-2</v>
      </c>
    </row>
    <row r="89" spans="1:26" s="25" customFormat="1" outlineLevel="1" collapsed="1" x14ac:dyDescent="0.25">
      <c r="A89" s="27"/>
      <c r="B89" s="13" t="str">
        <f>CONCATENATE("     ","Services                                          ")</f>
        <v xml:space="preserve">     Services                                          </v>
      </c>
      <c r="C89" s="13"/>
      <c r="D89" s="1">
        <f>SUM(OSRRefD22_18x_0)</f>
        <v>38464.04</v>
      </c>
      <c r="E89" s="1"/>
      <c r="F89" s="5">
        <f t="shared" ref="F89:F94" si="60">IF(D$12=0,0,D89/D$12)</f>
        <v>2.2584775419320618E-2</v>
      </c>
      <c r="G89" s="1"/>
      <c r="H89" s="1">
        <f>SUM(OSRRefH22_18x_0)</f>
        <v>35679.089999999997</v>
      </c>
      <c r="I89" s="1"/>
      <c r="J89" s="5">
        <f t="shared" ref="J89:J94" si="61">IF(H$12=0,0,H89/H$12)</f>
        <v>2.5831795060659607E-2</v>
      </c>
      <c r="K89" s="1"/>
      <c r="L89" s="1">
        <f t="shared" ref="L89:L94" si="62">+D89-H89</f>
        <v>2784.9500000000044</v>
      </c>
      <c r="M89" s="1"/>
      <c r="N89" s="5">
        <f t="shared" ref="N89:N94" si="63">IF(H89=0,0,L89/H89)</f>
        <v>7.8055522155974402E-2</v>
      </c>
      <c r="O89" s="13"/>
      <c r="P89" s="1">
        <f>SUM(OSRRefP22_18x_0)</f>
        <v>198607.78999999998</v>
      </c>
      <c r="Q89" s="1"/>
      <c r="R89" s="5">
        <f t="shared" ref="R89:R94" si="64">IF(P$12=0,0,P89/P$12)</f>
        <v>2.4950509916284169E-2</v>
      </c>
      <c r="S89" s="1"/>
      <c r="T89" s="1">
        <f>SUM(OSRRefT22_18x_0)</f>
        <v>191064.42</v>
      </c>
      <c r="U89" s="1"/>
      <c r="V89" s="5">
        <f t="shared" ref="V89:V94" si="65">IF(T$12=0,0,T89/T$12)</f>
        <v>2.4750858275357317E-2</v>
      </c>
      <c r="W89" s="1"/>
      <c r="X89" s="1">
        <f t="shared" ref="X89:X94" si="66">+P89-T89</f>
        <v>7543.3699999999662</v>
      </c>
      <c r="Y89" s="1"/>
      <c r="Z89" s="5">
        <f t="shared" ref="Z89:Z94" si="67">IF(T89=0,0,X89/T89)</f>
        <v>3.9480767795489952E-2</v>
      </c>
    </row>
    <row r="90" spans="1:26" s="24" customFormat="1" hidden="1" outlineLevel="2" x14ac:dyDescent="0.25">
      <c r="A90" s="26"/>
      <c r="B90" s="11" t="str">
        <f>CONCATENATE("          ", "6282", " - ", "JANITORIAL/EXTERMINATOR EXPENS")</f>
        <v xml:space="preserve">          6282 - JANITORIAL/EXTERMINATOR EXPENS</v>
      </c>
      <c r="C90" s="11"/>
      <c r="D90" s="6">
        <v>2785.87</v>
      </c>
      <c r="E90" s="2"/>
      <c r="F90" s="7">
        <f t="shared" si="60"/>
        <v>1.6357680653780187E-3</v>
      </c>
      <c r="G90" s="2"/>
      <c r="H90" s="6">
        <v>2799.99</v>
      </c>
      <c r="I90" s="2"/>
      <c r="J90" s="7">
        <f t="shared" si="61"/>
        <v>2.0272032681297727E-3</v>
      </c>
      <c r="K90" s="2"/>
      <c r="L90" s="6">
        <f t="shared" si="62"/>
        <v>-14.119999999999891</v>
      </c>
      <c r="M90" s="2"/>
      <c r="N90" s="7">
        <f t="shared" si="63"/>
        <v>-5.0428751531255084E-3</v>
      </c>
      <c r="O90" s="11"/>
      <c r="P90" s="6">
        <v>14199.35</v>
      </c>
      <c r="Q90" s="2"/>
      <c r="R90" s="7">
        <f t="shared" si="64"/>
        <v>1.783822391759103E-3</v>
      </c>
      <c r="S90" s="2"/>
      <c r="T90" s="6">
        <v>13749.55</v>
      </c>
      <c r="U90" s="2"/>
      <c r="V90" s="7">
        <f t="shared" si="65"/>
        <v>1.7811435713668677E-3</v>
      </c>
      <c r="W90" s="2"/>
      <c r="X90" s="6">
        <f t="shared" si="66"/>
        <v>449.80000000000109</v>
      </c>
      <c r="Y90" s="2"/>
      <c r="Z90" s="7">
        <f t="shared" si="67"/>
        <v>3.2713797906113375E-2</v>
      </c>
    </row>
    <row r="91" spans="1:26" s="24" customFormat="1" hidden="1" outlineLevel="2" x14ac:dyDescent="0.25">
      <c r="A91" s="26"/>
      <c r="B91" s="11" t="str">
        <f>CONCATENATE("          ", "6283", " - ", "PLANT SERVICE")</f>
        <v xml:space="preserve">          6283 - PLANT SERVICE</v>
      </c>
      <c r="C91" s="11"/>
      <c r="D91" s="6">
        <v>199.78</v>
      </c>
      <c r="E91" s="2"/>
      <c r="F91" s="7">
        <f t="shared" si="60"/>
        <v>1.1730401781175022E-4</v>
      </c>
      <c r="G91" s="2"/>
      <c r="H91" s="6">
        <v>176</v>
      </c>
      <c r="I91" s="2"/>
      <c r="J91" s="7">
        <f t="shared" si="61"/>
        <v>1.2742466051337328E-4</v>
      </c>
      <c r="K91" s="2"/>
      <c r="L91" s="6">
        <f t="shared" si="62"/>
        <v>23.78</v>
      </c>
      <c r="M91" s="2"/>
      <c r="N91" s="7">
        <f t="shared" si="63"/>
        <v>0.13511363636363638</v>
      </c>
      <c r="O91" s="11"/>
      <c r="P91" s="6">
        <v>799.12</v>
      </c>
      <c r="Q91" s="2"/>
      <c r="R91" s="7">
        <f t="shared" si="64"/>
        <v>1.0039108478222837E-4</v>
      </c>
      <c r="S91" s="2"/>
      <c r="T91" s="6">
        <v>880</v>
      </c>
      <c r="U91" s="2"/>
      <c r="V91" s="7">
        <f t="shared" si="65"/>
        <v>1.1399691937575001E-4</v>
      </c>
      <c r="W91" s="2"/>
      <c r="X91" s="6">
        <f t="shared" si="66"/>
        <v>-80.88</v>
      </c>
      <c r="Y91" s="2"/>
      <c r="Z91" s="7">
        <f t="shared" si="67"/>
        <v>-9.1909090909090899E-2</v>
      </c>
    </row>
    <row r="92" spans="1:26" s="24" customFormat="1" hidden="1" outlineLevel="2" x14ac:dyDescent="0.25">
      <c r="A92" s="26"/>
      <c r="B92" s="11" t="str">
        <f>CONCATENATE("          ", "6284", " - ", "TRASH REMOVAL EXPENSE")</f>
        <v xml:space="preserve">          6284 - TRASH REMOVAL EXPENSE</v>
      </c>
      <c r="C92" s="11"/>
      <c r="D92" s="6">
        <v>4199</v>
      </c>
      <c r="E92" s="2"/>
      <c r="F92" s="7">
        <f t="shared" si="60"/>
        <v>2.4655099148640463E-3</v>
      </c>
      <c r="G92" s="2"/>
      <c r="H92" s="6">
        <v>4199</v>
      </c>
      <c r="I92" s="2"/>
      <c r="J92" s="7">
        <f t="shared" si="61"/>
        <v>3.0400917584980361E-3</v>
      </c>
      <c r="K92" s="2"/>
      <c r="L92" s="6">
        <f t="shared" si="62"/>
        <v>0</v>
      </c>
      <c r="M92" s="2"/>
      <c r="N92" s="7">
        <f t="shared" si="63"/>
        <v>0</v>
      </c>
      <c r="O92" s="11"/>
      <c r="P92" s="6">
        <v>13220</v>
      </c>
      <c r="Q92" s="2"/>
      <c r="R92" s="7">
        <f t="shared" si="64"/>
        <v>1.6607895445253016E-3</v>
      </c>
      <c r="S92" s="2"/>
      <c r="T92" s="6">
        <v>30501.27</v>
      </c>
      <c r="U92" s="2"/>
      <c r="V92" s="7">
        <f t="shared" si="65"/>
        <v>3.9511941102817983E-3</v>
      </c>
      <c r="W92" s="2"/>
      <c r="X92" s="6">
        <f t="shared" si="66"/>
        <v>-17281.27</v>
      </c>
      <c r="Y92" s="2"/>
      <c r="Z92" s="7">
        <f t="shared" si="67"/>
        <v>-0.56657542456428867</v>
      </c>
    </row>
    <row r="93" spans="1:26" s="24" customFormat="1" hidden="1" outlineLevel="2" x14ac:dyDescent="0.25">
      <c r="A93" s="26"/>
      <c r="B93" s="11" t="str">
        <f>CONCATENATE("          ", "6285", " - ", "JANITORIAL SERVICES")</f>
        <v xml:space="preserve">          6285 - JANITORIAL SERVICES</v>
      </c>
      <c r="C93" s="11"/>
      <c r="D93" s="6">
        <v>24757.47</v>
      </c>
      <c r="E93" s="2"/>
      <c r="F93" s="7">
        <f t="shared" si="60"/>
        <v>1.4536743927589708E-2</v>
      </c>
      <c r="G93" s="2"/>
      <c r="H93" s="6">
        <v>21512.289999999997</v>
      </c>
      <c r="I93" s="2"/>
      <c r="J93" s="7">
        <f t="shared" si="61"/>
        <v>1.5574978693836557E-2</v>
      </c>
      <c r="K93" s="2"/>
      <c r="L93" s="6">
        <f t="shared" si="62"/>
        <v>3245.1800000000039</v>
      </c>
      <c r="M93" s="2"/>
      <c r="N93" s="7">
        <f t="shared" si="63"/>
        <v>0.15085237322479403</v>
      </c>
      <c r="O93" s="11"/>
      <c r="P93" s="6">
        <v>128974.31</v>
      </c>
      <c r="Q93" s="2"/>
      <c r="R93" s="7">
        <f t="shared" si="64"/>
        <v>1.6202661540118384E-2</v>
      </c>
      <c r="S93" s="2"/>
      <c r="T93" s="6">
        <v>108901.31</v>
      </c>
      <c r="U93" s="2"/>
      <c r="V93" s="7">
        <f t="shared" si="65"/>
        <v>1.4107288472708588E-2</v>
      </c>
      <c r="W93" s="2"/>
      <c r="X93" s="6">
        <f t="shared" si="66"/>
        <v>20073</v>
      </c>
      <c r="Y93" s="2"/>
      <c r="Z93" s="7">
        <f t="shared" si="67"/>
        <v>0.18432285158002232</v>
      </c>
    </row>
    <row r="94" spans="1:26" s="24" customFormat="1" hidden="1" outlineLevel="2" x14ac:dyDescent="0.25">
      <c r="A94" s="26"/>
      <c r="B94" s="11" t="str">
        <f>CONCATENATE("          ", "6286", " - ", "LAUNDRY EXPENSE")</f>
        <v xml:space="preserve">          6286 - LAUNDRY EXPENSE</v>
      </c>
      <c r="C94" s="11"/>
      <c r="D94" s="6">
        <v>6521.92</v>
      </c>
      <c r="E94" s="2"/>
      <c r="F94" s="7">
        <f t="shared" si="60"/>
        <v>3.8294494936770944E-3</v>
      </c>
      <c r="G94" s="2"/>
      <c r="H94" s="6">
        <v>6991.81</v>
      </c>
      <c r="I94" s="2"/>
      <c r="J94" s="7">
        <f t="shared" si="61"/>
        <v>5.0620966796818658E-3</v>
      </c>
      <c r="K94" s="2"/>
      <c r="L94" s="6">
        <f t="shared" si="62"/>
        <v>-469.89000000000033</v>
      </c>
      <c r="M94" s="2"/>
      <c r="N94" s="7">
        <f t="shared" si="63"/>
        <v>-6.7205773612269259E-2</v>
      </c>
      <c r="O94" s="11"/>
      <c r="P94" s="6">
        <v>41415.009999999995</v>
      </c>
      <c r="Q94" s="2"/>
      <c r="R94" s="7">
        <f t="shared" si="64"/>
        <v>5.2028453550991534E-3</v>
      </c>
      <c r="S94" s="2"/>
      <c r="T94" s="6">
        <v>37032.29</v>
      </c>
      <c r="U94" s="2"/>
      <c r="V94" s="7">
        <f t="shared" si="65"/>
        <v>4.7972352016243105E-3</v>
      </c>
      <c r="W94" s="2"/>
      <c r="X94" s="6">
        <f t="shared" si="66"/>
        <v>4382.7199999999939</v>
      </c>
      <c r="Y94" s="2"/>
      <c r="Z94" s="7">
        <f t="shared" si="67"/>
        <v>0.11834860874118219</v>
      </c>
    </row>
    <row r="95" spans="1:26" s="25" customFormat="1" outlineLevel="1" collapsed="1" x14ac:dyDescent="0.25">
      <c r="A95" s="27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SUM(OSRRefD22_19x_0)</f>
        <v>454.78</v>
      </c>
      <c r="E95" s="1"/>
      <c r="F95" s="5">
        <f t="shared" ref="F95:F105" si="68">IF(D$12=0,0,D95/D$12)</f>
        <v>2.6703134057677326E-4</v>
      </c>
      <c r="G95" s="1"/>
      <c r="H95" s="1">
        <f>SUM(OSRRefH22_19x_0)</f>
        <v>387.42</v>
      </c>
      <c r="I95" s="1"/>
      <c r="J95" s="5">
        <f t="shared" ref="J95:J105" si="69">IF(H$12=0,0,H95/H$12)</f>
        <v>2.8049353395506293E-4</v>
      </c>
      <c r="K95" s="1"/>
      <c r="L95" s="1">
        <f t="shared" ref="L95:L105" si="70">+D95-H95</f>
        <v>67.359999999999957</v>
      </c>
      <c r="M95" s="1"/>
      <c r="N95" s="5">
        <f t="shared" ref="N95:N105" si="71">IF(H95=0,0,L95/H95)</f>
        <v>0.17386815342522316</v>
      </c>
      <c r="O95" s="13"/>
      <c r="P95" s="1">
        <f>SUM(OSRRefP22_19x_0)</f>
        <v>2151.1799999999998</v>
      </c>
      <c r="Q95" s="1"/>
      <c r="R95" s="5">
        <f t="shared" ref="R95:R105" si="72">IF(P$12=0,0,P95/P$12)</f>
        <v>2.702463882293448E-4</v>
      </c>
      <c r="S95" s="1"/>
      <c r="T95" s="1">
        <f>SUM(OSRRefT22_19x_0)</f>
        <v>1508.01</v>
      </c>
      <c r="U95" s="1"/>
      <c r="V95" s="5">
        <f t="shared" ref="V95:V105" si="73">IF(T$12=0,0,T95/T$12)</f>
        <v>1.9535056180434632E-4</v>
      </c>
      <c r="W95" s="1"/>
      <c r="X95" s="1">
        <f t="shared" ref="X95:X105" si="74">+P95-T95</f>
        <v>643.16999999999985</v>
      </c>
      <c r="Y95" s="1"/>
      <c r="Z95" s="5">
        <f t="shared" ref="Z95:Z105" si="75">IF(T95=0,0,X95/T95)</f>
        <v>0.42650247677402658</v>
      </c>
    </row>
    <row r="96" spans="1:26" s="24" customFormat="1" hidden="1" outlineLevel="2" x14ac:dyDescent="0.25">
      <c r="A96" s="26"/>
      <c r="B96" s="11" t="str">
        <f>CONCATENATE("          ", "6275", " - ", "SUBSCRIPTIONS")</f>
        <v xml:space="preserve">          6275 - SUBSCRIPTIONS</v>
      </c>
      <c r="C96" s="11"/>
      <c r="D96" s="6">
        <v>454.78</v>
      </c>
      <c r="E96" s="2"/>
      <c r="F96" s="7">
        <f t="shared" si="68"/>
        <v>2.6703134057677326E-4</v>
      </c>
      <c r="G96" s="2"/>
      <c r="H96" s="6">
        <v>387.42</v>
      </c>
      <c r="I96" s="2"/>
      <c r="J96" s="7">
        <f t="shared" si="69"/>
        <v>2.8049353395506293E-4</v>
      </c>
      <c r="K96" s="2"/>
      <c r="L96" s="6">
        <f t="shared" si="70"/>
        <v>67.359999999999957</v>
      </c>
      <c r="M96" s="2"/>
      <c r="N96" s="7">
        <f t="shared" si="71"/>
        <v>0.17386815342522316</v>
      </c>
      <c r="O96" s="11"/>
      <c r="P96" s="6">
        <v>2151.1799999999998</v>
      </c>
      <c r="Q96" s="2"/>
      <c r="R96" s="7">
        <f t="shared" si="72"/>
        <v>2.702463882293448E-4</v>
      </c>
      <c r="S96" s="2"/>
      <c r="T96" s="6">
        <v>1508.01</v>
      </c>
      <c r="U96" s="2"/>
      <c r="V96" s="7">
        <f t="shared" si="73"/>
        <v>1.9535056180434632E-4</v>
      </c>
      <c r="W96" s="2"/>
      <c r="X96" s="6">
        <f t="shared" si="74"/>
        <v>643.16999999999985</v>
      </c>
      <c r="Y96" s="2"/>
      <c r="Z96" s="7">
        <f t="shared" si="75"/>
        <v>0.42650247677402658</v>
      </c>
    </row>
    <row r="97" spans="1:26" s="25" customFormat="1" outlineLevel="1" collapsed="1" x14ac:dyDescent="0.25">
      <c r="A97" s="27"/>
      <c r="B97" s="13" t="str">
        <f>CONCATENATE("     ","Supplies                                          ")</f>
        <v xml:space="preserve">     Supplies                                          </v>
      </c>
      <c r="C97" s="13"/>
      <c r="D97" s="1">
        <f>SUM(OSRRefD22_20x_0)</f>
        <v>31866.7</v>
      </c>
      <c r="E97" s="1"/>
      <c r="F97" s="5">
        <f t="shared" si="68"/>
        <v>1.8711041868063372E-2</v>
      </c>
      <c r="G97" s="1"/>
      <c r="H97" s="1">
        <f>SUM(OSRRefH22_20x_0)</f>
        <v>27645.379999999997</v>
      </c>
      <c r="I97" s="1"/>
      <c r="J97" s="5">
        <f t="shared" si="69"/>
        <v>2.001535887081363E-2</v>
      </c>
      <c r="K97" s="1"/>
      <c r="L97" s="1">
        <f t="shared" si="70"/>
        <v>4221.3200000000033</v>
      </c>
      <c r="M97" s="1"/>
      <c r="N97" s="5">
        <f t="shared" si="71"/>
        <v>0.15269531473251602</v>
      </c>
      <c r="O97" s="13"/>
      <c r="P97" s="1">
        <f>SUM(OSRRefP22_20x_0)</f>
        <v>228073.06000000003</v>
      </c>
      <c r="Q97" s="1"/>
      <c r="R97" s="5">
        <f t="shared" si="72"/>
        <v>2.8652144737964586E-2</v>
      </c>
      <c r="S97" s="1"/>
      <c r="T97" s="1">
        <f>SUM(OSRRefT22_20x_0)</f>
        <v>204513.41999999998</v>
      </c>
      <c r="U97" s="1"/>
      <c r="V97" s="5">
        <f t="shared" si="73"/>
        <v>2.6493068012498747E-2</v>
      </c>
      <c r="W97" s="1"/>
      <c r="X97" s="1">
        <f t="shared" si="74"/>
        <v>23559.640000000043</v>
      </c>
      <c r="Y97" s="1"/>
      <c r="Z97" s="5">
        <f t="shared" si="75"/>
        <v>0.11519850384390445</v>
      </c>
    </row>
    <row r="98" spans="1:26" s="24" customFormat="1" hidden="1" outlineLevel="2" x14ac:dyDescent="0.25">
      <c r="A98" s="26"/>
      <c r="B98" s="11" t="str">
        <f>CONCATENATE("          ", "6234", " - ", "EXPENDABLE SUPPLIES &amp; EQUIPMEN")</f>
        <v xml:space="preserve">          6234 - EXPENDABLE SUPPLIES &amp; EQUIPMEN</v>
      </c>
      <c r="C98" s="11"/>
      <c r="D98" s="6">
        <v>555.83000000000004</v>
      </c>
      <c r="E98" s="2"/>
      <c r="F98" s="7">
        <f t="shared" si="68"/>
        <v>3.2636446200973634E-4</v>
      </c>
      <c r="G98" s="2"/>
      <c r="H98" s="6">
        <v>710.95</v>
      </c>
      <c r="I98" s="2"/>
      <c r="J98" s="7">
        <f t="shared" si="69"/>
        <v>5.1473046813626556E-4</v>
      </c>
      <c r="K98" s="2"/>
      <c r="L98" s="6">
        <f t="shared" si="70"/>
        <v>-155.12</v>
      </c>
      <c r="M98" s="2"/>
      <c r="N98" s="7">
        <f t="shared" si="71"/>
        <v>-0.21818693297700259</v>
      </c>
      <c r="O98" s="11"/>
      <c r="P98" s="6">
        <v>12302.72</v>
      </c>
      <c r="Q98" s="2"/>
      <c r="R98" s="7">
        <f t="shared" si="72"/>
        <v>1.5455543680198424E-3</v>
      </c>
      <c r="S98" s="2"/>
      <c r="T98" s="6">
        <v>6879.19</v>
      </c>
      <c r="U98" s="2"/>
      <c r="V98" s="7">
        <f t="shared" si="73"/>
        <v>8.9114371340962006E-4</v>
      </c>
      <c r="W98" s="2"/>
      <c r="X98" s="6">
        <f t="shared" si="74"/>
        <v>5423.53</v>
      </c>
      <c r="Y98" s="2"/>
      <c r="Z98" s="7">
        <f t="shared" si="75"/>
        <v>0.78839659901819836</v>
      </c>
    </row>
    <row r="99" spans="1:26" s="24" customFormat="1" hidden="1" outlineLevel="2" x14ac:dyDescent="0.25">
      <c r="A99" s="26"/>
      <c r="B99" s="11" t="str">
        <f>CONCATENATE("          ", "6237", " - ", "JANITORIAL SUPPLIES")</f>
        <v xml:space="preserve">          6237 - JANITORIAL SUPPLIES</v>
      </c>
      <c r="C99" s="11"/>
      <c r="D99" s="6">
        <v>13258.98</v>
      </c>
      <c r="E99" s="2"/>
      <c r="F99" s="7">
        <f t="shared" si="68"/>
        <v>7.7852218744901376E-3</v>
      </c>
      <c r="G99" s="2"/>
      <c r="H99" s="6">
        <v>10716.9</v>
      </c>
      <c r="I99" s="2"/>
      <c r="J99" s="7">
        <f t="shared" si="69"/>
        <v>7.7590758196350567E-3</v>
      </c>
      <c r="K99" s="2"/>
      <c r="L99" s="6">
        <f t="shared" si="70"/>
        <v>2542.08</v>
      </c>
      <c r="M99" s="2"/>
      <c r="N99" s="7">
        <f t="shared" si="71"/>
        <v>0.23720292248691319</v>
      </c>
      <c r="O99" s="11"/>
      <c r="P99" s="6">
        <v>69601.48</v>
      </c>
      <c r="Q99" s="2"/>
      <c r="R99" s="7">
        <f t="shared" si="72"/>
        <v>8.7438283107024867E-3</v>
      </c>
      <c r="S99" s="2"/>
      <c r="T99" s="6">
        <v>71413.37</v>
      </c>
      <c r="U99" s="2"/>
      <c r="V99" s="7">
        <f t="shared" si="73"/>
        <v>9.2510274798188689E-3</v>
      </c>
      <c r="W99" s="2"/>
      <c r="X99" s="6">
        <f t="shared" si="74"/>
        <v>-1811.8899999999994</v>
      </c>
      <c r="Y99" s="2"/>
      <c r="Z99" s="7">
        <f t="shared" si="75"/>
        <v>-2.5371859639168402E-2</v>
      </c>
    </row>
    <row r="100" spans="1:26" s="24" customFormat="1" hidden="1" outlineLevel="2" x14ac:dyDescent="0.25">
      <c r="A100" s="26"/>
      <c r="B100" s="11" t="str">
        <f>CONCATENATE("          ", "6239", " - ", "KITCHEN SUPPLIES")</f>
        <v xml:space="preserve">          6239 - KITCHEN SUPPLIES</v>
      </c>
      <c r="C100" s="11"/>
      <c r="D100" s="6">
        <v>4934.26</v>
      </c>
      <c r="E100" s="2"/>
      <c r="F100" s="7">
        <f t="shared" si="68"/>
        <v>2.8972295671629124E-3</v>
      </c>
      <c r="G100" s="2"/>
      <c r="H100" s="6">
        <v>4987.75</v>
      </c>
      <c r="I100" s="2"/>
      <c r="J100" s="7">
        <f t="shared" si="69"/>
        <v>3.6111497186112358E-3</v>
      </c>
      <c r="K100" s="2"/>
      <c r="L100" s="6">
        <f t="shared" si="70"/>
        <v>-53.489999999999782</v>
      </c>
      <c r="M100" s="2"/>
      <c r="N100" s="7">
        <f t="shared" si="71"/>
        <v>-1.0724274472457477E-2</v>
      </c>
      <c r="O100" s="11"/>
      <c r="P100" s="6">
        <v>51806.23</v>
      </c>
      <c r="Q100" s="2"/>
      <c r="R100" s="7">
        <f t="shared" si="72"/>
        <v>6.5082636252097601E-3</v>
      </c>
      <c r="S100" s="2"/>
      <c r="T100" s="6">
        <v>28190.57</v>
      </c>
      <c r="U100" s="2"/>
      <c r="V100" s="7">
        <f t="shared" si="73"/>
        <v>3.6518615175527695E-3</v>
      </c>
      <c r="W100" s="2"/>
      <c r="X100" s="6">
        <f t="shared" si="74"/>
        <v>23615.660000000003</v>
      </c>
      <c r="Y100" s="2"/>
      <c r="Z100" s="7">
        <f t="shared" si="75"/>
        <v>0.83771488125284466</v>
      </c>
    </row>
    <row r="101" spans="1:26" s="24" customFormat="1" hidden="1" outlineLevel="2" x14ac:dyDescent="0.25">
      <c r="A101" s="26"/>
      <c r="B101" s="11" t="str">
        <f>CONCATENATE("          ", "6241", " - ", "OFFICE EXPENSE")</f>
        <v xml:space="preserve">          6241 - OFFICE EXPENSE</v>
      </c>
      <c r="C101" s="11"/>
      <c r="D101" s="6">
        <v>3675.98</v>
      </c>
      <c r="E101" s="2"/>
      <c r="F101" s="7">
        <f t="shared" si="68"/>
        <v>2.1584103683834096E-3</v>
      </c>
      <c r="G101" s="2"/>
      <c r="H101" s="6">
        <v>2028.38</v>
      </c>
      <c r="I101" s="2"/>
      <c r="J101" s="7">
        <f t="shared" si="69"/>
        <v>1.4685547323415686E-3</v>
      </c>
      <c r="K101" s="2"/>
      <c r="L101" s="6">
        <f t="shared" si="70"/>
        <v>1647.6</v>
      </c>
      <c r="M101" s="2"/>
      <c r="N101" s="7">
        <f t="shared" si="71"/>
        <v>0.81227383429140487</v>
      </c>
      <c r="O101" s="11"/>
      <c r="P101" s="6">
        <v>39246.33</v>
      </c>
      <c r="Q101" s="2"/>
      <c r="R101" s="7">
        <f t="shared" si="72"/>
        <v>4.9304004935695677E-3</v>
      </c>
      <c r="S101" s="2"/>
      <c r="T101" s="6">
        <v>16373.089999999998</v>
      </c>
      <c r="U101" s="2"/>
      <c r="V101" s="7">
        <f t="shared" si="73"/>
        <v>2.1210020689339756E-3</v>
      </c>
      <c r="W101" s="2"/>
      <c r="X101" s="6">
        <f t="shared" si="74"/>
        <v>22873.240000000005</v>
      </c>
      <c r="Y101" s="2"/>
      <c r="Z101" s="7">
        <f t="shared" si="75"/>
        <v>1.3970020319927399</v>
      </c>
    </row>
    <row r="102" spans="1:26" s="24" customFormat="1" hidden="1" outlineLevel="2" x14ac:dyDescent="0.25">
      <c r="A102" s="26"/>
      <c r="B102" s="11" t="str">
        <f>CONCATENATE("          ", "6243", " - ", "PAPER SUPPLIES")</f>
        <v xml:space="preserve">          6243 - PAPER SUPPLIES</v>
      </c>
      <c r="C102" s="11"/>
      <c r="D102" s="6">
        <v>7359.61</v>
      </c>
      <c r="E102" s="2"/>
      <c r="F102" s="7">
        <f t="shared" si="68"/>
        <v>4.3213125564497698E-3</v>
      </c>
      <c r="G102" s="2"/>
      <c r="H102" s="6">
        <v>10272.26</v>
      </c>
      <c r="I102" s="2"/>
      <c r="J102" s="7">
        <f t="shared" si="69"/>
        <v>7.437154790938089E-3</v>
      </c>
      <c r="K102" s="2"/>
      <c r="L102" s="6">
        <f t="shared" si="70"/>
        <v>-2912.6500000000005</v>
      </c>
      <c r="M102" s="2"/>
      <c r="N102" s="7">
        <f t="shared" si="71"/>
        <v>-0.28354519842760995</v>
      </c>
      <c r="O102" s="11"/>
      <c r="P102" s="6">
        <v>50085.89</v>
      </c>
      <c r="Q102" s="2"/>
      <c r="R102" s="7">
        <f t="shared" si="72"/>
        <v>6.2921423933619035E-3</v>
      </c>
      <c r="S102" s="2"/>
      <c r="T102" s="6">
        <v>59131.839999999997</v>
      </c>
      <c r="U102" s="2"/>
      <c r="V102" s="7">
        <f t="shared" si="73"/>
        <v>7.6600540875224419E-3</v>
      </c>
      <c r="W102" s="2"/>
      <c r="X102" s="6">
        <f t="shared" si="74"/>
        <v>-9045.9499999999971</v>
      </c>
      <c r="Y102" s="2"/>
      <c r="Z102" s="7">
        <f t="shared" si="75"/>
        <v>-0.15297934243209746</v>
      </c>
    </row>
    <row r="103" spans="1:26" s="24" customFormat="1" hidden="1" outlineLevel="2" x14ac:dyDescent="0.25">
      <c r="A103" s="26"/>
      <c r="B103" s="11" t="str">
        <f>CONCATENATE("          ", "6245", " - ", "PRINTING")</f>
        <v xml:space="preserve">          6245 - PRINTING</v>
      </c>
      <c r="C103" s="11"/>
      <c r="D103" s="6">
        <v>15.99</v>
      </c>
      <c r="E103" s="2"/>
      <c r="F103" s="7">
        <f t="shared" si="68"/>
        <v>9.3887838863243857E-6</v>
      </c>
      <c r="G103" s="2"/>
      <c r="H103" s="6"/>
      <c r="I103" s="2"/>
      <c r="J103" s="7">
        <f t="shared" si="69"/>
        <v>0</v>
      </c>
      <c r="K103" s="2"/>
      <c r="L103" s="6">
        <f t="shared" si="70"/>
        <v>15.99</v>
      </c>
      <c r="M103" s="2"/>
      <c r="N103" s="7">
        <f t="shared" si="71"/>
        <v>0</v>
      </c>
      <c r="O103" s="11"/>
      <c r="P103" s="6">
        <v>1622.34</v>
      </c>
      <c r="Q103" s="2"/>
      <c r="R103" s="7">
        <f t="shared" si="72"/>
        <v>2.0380978136650362E-4</v>
      </c>
      <c r="S103" s="2"/>
      <c r="T103" s="6">
        <v>1828.87</v>
      </c>
      <c r="U103" s="2"/>
      <c r="V103" s="7">
        <f t="shared" si="73"/>
        <v>2.3691539311219081E-4</v>
      </c>
      <c r="W103" s="2"/>
      <c r="X103" s="6">
        <f t="shared" si="74"/>
        <v>-206.52999999999997</v>
      </c>
      <c r="Y103" s="2"/>
      <c r="Z103" s="7">
        <f t="shared" si="75"/>
        <v>-0.11292765478136772</v>
      </c>
    </row>
    <row r="104" spans="1:26" s="24" customFormat="1" hidden="1" outlineLevel="2" x14ac:dyDescent="0.25">
      <c r="A104" s="26"/>
      <c r="B104" s="11" t="str">
        <f>CONCATENATE("          ", "6247", " - ", "STORE SUPPLIES")</f>
        <v xml:space="preserve">          6247 - STORE SUPPLIES</v>
      </c>
      <c r="C104" s="11"/>
      <c r="D104" s="6">
        <v>1245.1400000000001</v>
      </c>
      <c r="E104" s="2"/>
      <c r="F104" s="7">
        <f t="shared" si="68"/>
        <v>7.3110383791231688E-4</v>
      </c>
      <c r="G104" s="2"/>
      <c r="H104" s="6">
        <v>-1252.79</v>
      </c>
      <c r="I104" s="2"/>
      <c r="J104" s="7">
        <f t="shared" si="69"/>
        <v>-9.0702466161675507E-4</v>
      </c>
      <c r="K104" s="2"/>
      <c r="L104" s="6">
        <f t="shared" si="70"/>
        <v>2497.9300000000003</v>
      </c>
      <c r="M104" s="2"/>
      <c r="N104" s="7">
        <f t="shared" si="71"/>
        <v>-1.9938936294191367</v>
      </c>
      <c r="O104" s="11"/>
      <c r="P104" s="6">
        <v>3559.67</v>
      </c>
      <c r="Q104" s="2"/>
      <c r="R104" s="7">
        <f t="shared" si="72"/>
        <v>4.4719082586689715E-4</v>
      </c>
      <c r="S104" s="2"/>
      <c r="T104" s="6">
        <v>3551.99</v>
      </c>
      <c r="U104" s="2"/>
      <c r="V104" s="7">
        <f t="shared" si="73"/>
        <v>4.6013172460621619E-4</v>
      </c>
      <c r="W104" s="2"/>
      <c r="X104" s="6">
        <f t="shared" si="74"/>
        <v>7.680000000000291</v>
      </c>
      <c r="Y104" s="2"/>
      <c r="Z104" s="7">
        <f t="shared" si="75"/>
        <v>2.162168249347631E-3</v>
      </c>
    </row>
    <row r="105" spans="1:26" s="24" customFormat="1" hidden="1" outlineLevel="2" x14ac:dyDescent="0.25">
      <c r="A105" s="26"/>
      <c r="B105" s="11" t="str">
        <f>CONCATENATE("          ", "6248", " - ", "UNIFORMS")</f>
        <v xml:space="preserve">          6248 - UNIFORMS</v>
      </c>
      <c r="C105" s="11"/>
      <c r="D105" s="6">
        <v>820.91</v>
      </c>
      <c r="E105" s="2"/>
      <c r="F105" s="7">
        <f t="shared" si="68"/>
        <v>4.8201041776876495E-4</v>
      </c>
      <c r="G105" s="2"/>
      <c r="H105" s="6">
        <v>181.93</v>
      </c>
      <c r="I105" s="2"/>
      <c r="J105" s="7">
        <f t="shared" si="69"/>
        <v>1.3171800276817045E-4</v>
      </c>
      <c r="K105" s="2"/>
      <c r="L105" s="6">
        <f t="shared" si="70"/>
        <v>638.98</v>
      </c>
      <c r="M105" s="2"/>
      <c r="N105" s="7">
        <f t="shared" si="71"/>
        <v>3.5122299785631834</v>
      </c>
      <c r="O105" s="11"/>
      <c r="P105" s="6">
        <v>-151.6</v>
      </c>
      <c r="Q105" s="2"/>
      <c r="R105" s="7">
        <f t="shared" si="72"/>
        <v>-1.9045060132377893E-5</v>
      </c>
      <c r="S105" s="2"/>
      <c r="T105" s="6">
        <v>17144.5</v>
      </c>
      <c r="U105" s="2"/>
      <c r="V105" s="7">
        <f t="shared" si="73"/>
        <v>2.2209320275426662E-3</v>
      </c>
      <c r="W105" s="2"/>
      <c r="X105" s="6">
        <f t="shared" si="74"/>
        <v>-17296.099999999999</v>
      </c>
      <c r="Y105" s="2"/>
      <c r="Z105" s="7">
        <f t="shared" si="75"/>
        <v>-1.0088424859284317</v>
      </c>
    </row>
    <row r="106" spans="1:26" s="25" customFormat="1" outlineLevel="1" collapsed="1" x14ac:dyDescent="0.25">
      <c r="A106" s="27"/>
      <c r="B106" s="13" t="str">
        <f>CONCATENATE("     ","Telephone/Data Lines                              ")</f>
        <v xml:space="preserve">     Telephone/Data Lines                              </v>
      </c>
      <c r="C106" s="13"/>
      <c r="D106" s="1">
        <f>SUM(OSRRefD22_21x_0)</f>
        <v>2184.87</v>
      </c>
      <c r="E106" s="1"/>
      <c r="F106" s="5">
        <f t="shared" ref="F106:F113" si="76">IF(D$12=0,0,D106/D$12)</f>
        <v>1.2828813164298663E-3</v>
      </c>
      <c r="G106" s="1"/>
      <c r="H106" s="1">
        <f>SUM(OSRRefH22_21x_0)</f>
        <v>2631.18</v>
      </c>
      <c r="I106" s="1"/>
      <c r="J106" s="5">
        <f t="shared" ref="J106:J113" si="77">IF(H$12=0,0,H106/H$12)</f>
        <v>1.9049841945998718E-3</v>
      </c>
      <c r="K106" s="1"/>
      <c r="L106" s="1">
        <f t="shared" ref="L106:L113" si="78">+D106-H106</f>
        <v>-446.30999999999995</v>
      </c>
      <c r="M106" s="1"/>
      <c r="N106" s="5">
        <f t="shared" ref="N106:N113" si="79">IF(H106=0,0,L106/H106)</f>
        <v>-0.16962351492486261</v>
      </c>
      <c r="O106" s="13"/>
      <c r="P106" s="1">
        <f>SUM(OSRRefP22_21x_0)</f>
        <v>11538.23</v>
      </c>
      <c r="Q106" s="1"/>
      <c r="R106" s="5">
        <f t="shared" ref="R106:R113" si="80">IF(P$12=0,0,P106/P$12)</f>
        <v>1.4495137478311778E-3</v>
      </c>
      <c r="S106" s="1"/>
      <c r="T106" s="1">
        <f>SUM(OSRRefT22_21x_0)</f>
        <v>13099.65</v>
      </c>
      <c r="U106" s="1"/>
      <c r="V106" s="5">
        <f t="shared" ref="V106:V113" si="81">IF(T$12=0,0,T106/T$12)</f>
        <v>1.6969542555687995E-3</v>
      </c>
      <c r="W106" s="1"/>
      <c r="X106" s="1">
        <f t="shared" ref="X106:X113" si="82">+P106-T106</f>
        <v>-1561.42</v>
      </c>
      <c r="Y106" s="1"/>
      <c r="Z106" s="5">
        <f t="shared" ref="Z106:Z113" si="83">IF(T106=0,0,X106/T106)</f>
        <v>-0.11919555102617246</v>
      </c>
    </row>
    <row r="107" spans="1:26" s="24" customFormat="1" hidden="1" outlineLevel="2" x14ac:dyDescent="0.25">
      <c r="A107" s="26"/>
      <c r="B107" s="11" t="str">
        <f>CONCATENATE("          ", "6309", " - ", "TELEPHONE")</f>
        <v xml:space="preserve">          6309 - TELEPHONE</v>
      </c>
      <c r="C107" s="11"/>
      <c r="D107" s="6">
        <v>2184.87</v>
      </c>
      <c r="E107" s="2"/>
      <c r="F107" s="7">
        <f t="shared" si="76"/>
        <v>1.2828813164298663E-3</v>
      </c>
      <c r="G107" s="2"/>
      <c r="H107" s="6">
        <v>2631.18</v>
      </c>
      <c r="I107" s="2"/>
      <c r="J107" s="7">
        <f t="shared" si="77"/>
        <v>1.9049841945998718E-3</v>
      </c>
      <c r="K107" s="2"/>
      <c r="L107" s="6">
        <f t="shared" si="78"/>
        <v>-446.30999999999995</v>
      </c>
      <c r="M107" s="2"/>
      <c r="N107" s="7">
        <f t="shared" si="79"/>
        <v>-0.16962351492486261</v>
      </c>
      <c r="O107" s="11"/>
      <c r="P107" s="6">
        <v>11538.23</v>
      </c>
      <c r="Q107" s="2"/>
      <c r="R107" s="7">
        <f t="shared" si="80"/>
        <v>1.4495137478311778E-3</v>
      </c>
      <c r="S107" s="2"/>
      <c r="T107" s="6">
        <v>13099.65</v>
      </c>
      <c r="U107" s="2"/>
      <c r="V107" s="7">
        <f t="shared" si="81"/>
        <v>1.6969542555687995E-3</v>
      </c>
      <c r="W107" s="2"/>
      <c r="X107" s="6">
        <f t="shared" si="82"/>
        <v>-1561.42</v>
      </c>
      <c r="Y107" s="2"/>
      <c r="Z107" s="7">
        <f t="shared" si="83"/>
        <v>-0.11919555102617246</v>
      </c>
    </row>
    <row r="108" spans="1:26" s="25" customFormat="1" outlineLevel="1" collapsed="1" x14ac:dyDescent="0.25">
      <c r="A108" s="27"/>
      <c r="B108" s="13" t="str">
        <f>CONCATENATE("     ","Training                                          ")</f>
        <v xml:space="preserve">     Training                                          </v>
      </c>
      <c r="C108" s="13"/>
      <c r="D108" s="1">
        <f>SUM(OSRRefD22_22x_0)</f>
        <v>610</v>
      </c>
      <c r="E108" s="1"/>
      <c r="F108" s="5">
        <f t="shared" si="76"/>
        <v>3.5817124269280022E-4</v>
      </c>
      <c r="G108" s="1"/>
      <c r="H108" s="1">
        <f>SUM(OSRRefH22_22x_0)</f>
        <v>474.88</v>
      </c>
      <c r="I108" s="1"/>
      <c r="J108" s="5">
        <f t="shared" si="77"/>
        <v>3.438149021851744E-4</v>
      </c>
      <c r="K108" s="1"/>
      <c r="L108" s="1">
        <f t="shared" si="78"/>
        <v>135.12</v>
      </c>
      <c r="M108" s="1"/>
      <c r="N108" s="5">
        <f t="shared" si="79"/>
        <v>0.28453504043126687</v>
      </c>
      <c r="O108" s="13"/>
      <c r="P108" s="1">
        <f>SUM(OSRRefP22_22x_0)</f>
        <v>5909.77</v>
      </c>
      <c r="Q108" s="1"/>
      <c r="R108" s="5">
        <f t="shared" si="80"/>
        <v>7.4242694603247298E-4</v>
      </c>
      <c r="S108" s="1"/>
      <c r="T108" s="1">
        <f>SUM(OSRRefT22_22x_0)</f>
        <v>7172.82</v>
      </c>
      <c r="U108" s="1"/>
      <c r="V108" s="5">
        <f t="shared" si="81"/>
        <v>9.291811173145081E-4</v>
      </c>
      <c r="W108" s="1"/>
      <c r="X108" s="1">
        <f t="shared" si="82"/>
        <v>-1263.0499999999993</v>
      </c>
      <c r="Y108" s="1"/>
      <c r="Z108" s="5">
        <f t="shared" si="83"/>
        <v>-0.17608834461202139</v>
      </c>
    </row>
    <row r="109" spans="1:26" s="24" customFormat="1" hidden="1" outlineLevel="2" x14ac:dyDescent="0.25">
      <c r="A109" s="26"/>
      <c r="B109" s="11" t="str">
        <f>CONCATENATE("          ", "6376", " - ", "TRAINING")</f>
        <v xml:space="preserve">          6376 - TRAINING</v>
      </c>
      <c r="C109" s="11"/>
      <c r="D109" s="6">
        <v>610</v>
      </c>
      <c r="E109" s="2"/>
      <c r="F109" s="7">
        <f t="shared" si="76"/>
        <v>3.5817124269280022E-4</v>
      </c>
      <c r="G109" s="2"/>
      <c r="H109" s="6">
        <v>474.88</v>
      </c>
      <c r="I109" s="2"/>
      <c r="J109" s="7">
        <f t="shared" si="77"/>
        <v>3.438149021851744E-4</v>
      </c>
      <c r="K109" s="2"/>
      <c r="L109" s="6">
        <f t="shared" si="78"/>
        <v>135.12</v>
      </c>
      <c r="M109" s="2"/>
      <c r="N109" s="7">
        <f t="shared" si="79"/>
        <v>0.28453504043126687</v>
      </c>
      <c r="O109" s="11"/>
      <c r="P109" s="6">
        <v>5909.77</v>
      </c>
      <c r="Q109" s="2"/>
      <c r="R109" s="7">
        <f t="shared" si="80"/>
        <v>7.4242694603247298E-4</v>
      </c>
      <c r="S109" s="2"/>
      <c r="T109" s="6">
        <v>7172.82</v>
      </c>
      <c r="U109" s="2"/>
      <c r="V109" s="7">
        <f t="shared" si="81"/>
        <v>9.291811173145081E-4</v>
      </c>
      <c r="W109" s="2"/>
      <c r="X109" s="6">
        <f t="shared" si="82"/>
        <v>-1263.0499999999993</v>
      </c>
      <c r="Y109" s="2"/>
      <c r="Z109" s="7">
        <f t="shared" si="83"/>
        <v>-0.17608834461202139</v>
      </c>
    </row>
    <row r="110" spans="1:26" s="25" customFormat="1" outlineLevel="1" collapsed="1" x14ac:dyDescent="0.25">
      <c r="A110" s="27"/>
      <c r="B110" s="13" t="str">
        <f>CONCATENATE("     ","Travel                                            ")</f>
        <v xml:space="preserve">     Travel                                            </v>
      </c>
      <c r="C110" s="13"/>
      <c r="D110" s="1">
        <f>SUM(OSRRefD22_23x_0)</f>
        <v>328.62</v>
      </c>
      <c r="E110" s="1"/>
      <c r="F110" s="5">
        <f t="shared" si="76"/>
        <v>1.9295448159624263E-4</v>
      </c>
      <c r="G110" s="1"/>
      <c r="H110" s="1">
        <f>SUM(OSRRefH22_23x_0)</f>
        <v>705.94</v>
      </c>
      <c r="I110" s="1"/>
      <c r="J110" s="5">
        <f t="shared" si="77"/>
        <v>5.1110320933415185E-4</v>
      </c>
      <c r="K110" s="1"/>
      <c r="L110" s="1">
        <f t="shared" si="78"/>
        <v>-377.32000000000005</v>
      </c>
      <c r="M110" s="1"/>
      <c r="N110" s="5">
        <f t="shared" si="79"/>
        <v>-0.53449301640366043</v>
      </c>
      <c r="O110" s="13"/>
      <c r="P110" s="1">
        <f>SUM(OSRRefP22_23x_0)</f>
        <v>3409.4699999999993</v>
      </c>
      <c r="Q110" s="1"/>
      <c r="R110" s="5">
        <f t="shared" si="80"/>
        <v>4.2832164359853851E-4</v>
      </c>
      <c r="S110" s="1"/>
      <c r="T110" s="1">
        <f>SUM(OSRRefT22_23x_0)</f>
        <v>4008.58</v>
      </c>
      <c r="U110" s="1"/>
      <c r="V110" s="5">
        <f t="shared" si="81"/>
        <v>5.1927928530823178E-4</v>
      </c>
      <c r="W110" s="1"/>
      <c r="X110" s="1">
        <f t="shared" si="82"/>
        <v>-599.11000000000058</v>
      </c>
      <c r="Y110" s="1"/>
      <c r="Z110" s="5">
        <f t="shared" si="83"/>
        <v>-0.1494569149175021</v>
      </c>
    </row>
    <row r="111" spans="1:26" s="24" customFormat="1" hidden="1" outlineLevel="2" x14ac:dyDescent="0.25">
      <c r="A111" s="26"/>
      <c r="B111" s="11" t="str">
        <f>CONCATENATE("          ", "6292", " - ", "TRAVEL/CONFERENCE")</f>
        <v xml:space="preserve">          6292 - TRAVEL/CONFERENCE</v>
      </c>
      <c r="C111" s="11"/>
      <c r="D111" s="6">
        <v>180.57</v>
      </c>
      <c r="E111" s="2"/>
      <c r="F111" s="7">
        <f t="shared" si="76"/>
        <v>1.0602455949678514E-4</v>
      </c>
      <c r="G111" s="2"/>
      <c r="H111" s="6">
        <v>447.07</v>
      </c>
      <c r="I111" s="2"/>
      <c r="J111" s="7">
        <f t="shared" si="77"/>
        <v>3.2368035781655559E-4</v>
      </c>
      <c r="K111" s="2"/>
      <c r="L111" s="6">
        <f t="shared" si="78"/>
        <v>-266.5</v>
      </c>
      <c r="M111" s="2"/>
      <c r="N111" s="7">
        <f t="shared" si="79"/>
        <v>-0.59610351846467002</v>
      </c>
      <c r="O111" s="11"/>
      <c r="P111" s="6">
        <v>2705.93</v>
      </c>
      <c r="Q111" s="2"/>
      <c r="R111" s="7">
        <f t="shared" si="80"/>
        <v>3.399379918470007E-4</v>
      </c>
      <c r="S111" s="2"/>
      <c r="T111" s="6">
        <v>1747.31</v>
      </c>
      <c r="U111" s="2"/>
      <c r="V111" s="7">
        <f t="shared" si="81"/>
        <v>2.2634995135732016E-4</v>
      </c>
      <c r="W111" s="2"/>
      <c r="X111" s="6">
        <f t="shared" si="82"/>
        <v>958.61999999999989</v>
      </c>
      <c r="Y111" s="2"/>
      <c r="Z111" s="7">
        <f t="shared" si="83"/>
        <v>0.54862617394738189</v>
      </c>
    </row>
    <row r="112" spans="1:26" s="24" customFormat="1" hidden="1" outlineLevel="2" x14ac:dyDescent="0.25">
      <c r="A112" s="26"/>
      <c r="B112" s="11" t="str">
        <f>CONCATENATE("          ", "6294", " - ", "TRAVEL OPERATIONAL")</f>
        <v xml:space="preserve">          6294 - TRAVEL OPERATIONAL</v>
      </c>
      <c r="C112" s="11"/>
      <c r="D112" s="6"/>
      <c r="E112" s="2"/>
      <c r="F112" s="7">
        <f t="shared" si="76"/>
        <v>0</v>
      </c>
      <c r="G112" s="2"/>
      <c r="H112" s="6">
        <v>120.15</v>
      </c>
      <c r="I112" s="2"/>
      <c r="J112" s="7">
        <f t="shared" si="77"/>
        <v>8.6989050912964766E-5</v>
      </c>
      <c r="K112" s="2"/>
      <c r="L112" s="6">
        <f t="shared" si="78"/>
        <v>-120.15</v>
      </c>
      <c r="M112" s="2"/>
      <c r="N112" s="7">
        <f t="shared" si="79"/>
        <v>-1</v>
      </c>
      <c r="O112" s="11"/>
      <c r="P112" s="6">
        <v>45.49</v>
      </c>
      <c r="Q112" s="2"/>
      <c r="R112" s="7">
        <f t="shared" si="80"/>
        <v>5.7147743101706484E-6</v>
      </c>
      <c r="S112" s="2"/>
      <c r="T112" s="6">
        <v>1776.78</v>
      </c>
      <c r="U112" s="2"/>
      <c r="V112" s="7">
        <f t="shared" si="81"/>
        <v>2.3016755273686944E-4</v>
      </c>
      <c r="W112" s="2"/>
      <c r="X112" s="6">
        <f t="shared" si="82"/>
        <v>-1731.29</v>
      </c>
      <c r="Y112" s="2"/>
      <c r="Z112" s="7">
        <f t="shared" si="83"/>
        <v>-0.97439750560001803</v>
      </c>
    </row>
    <row r="113" spans="1:26" s="24" customFormat="1" hidden="1" outlineLevel="2" x14ac:dyDescent="0.25">
      <c r="A113" s="26"/>
      <c r="B113" s="11" t="str">
        <f>CONCATENATE("          ", "6298", " - ", "VEHICLE MILEAGE")</f>
        <v xml:space="preserve">          6298 - VEHICLE MILEAGE</v>
      </c>
      <c r="C113" s="11"/>
      <c r="D113" s="6">
        <v>148.05000000000001</v>
      </c>
      <c r="E113" s="2"/>
      <c r="F113" s="7">
        <f t="shared" si="76"/>
        <v>8.6929922099457507E-5</v>
      </c>
      <c r="G113" s="2"/>
      <c r="H113" s="6">
        <v>138.72</v>
      </c>
      <c r="I113" s="2"/>
      <c r="J113" s="7">
        <f t="shared" si="77"/>
        <v>1.0043380060463148E-4</v>
      </c>
      <c r="K113" s="2"/>
      <c r="L113" s="6">
        <f t="shared" si="78"/>
        <v>9.3300000000000125</v>
      </c>
      <c r="M113" s="2"/>
      <c r="N113" s="7">
        <f t="shared" si="79"/>
        <v>6.7257785467128114E-2</v>
      </c>
      <c r="O113" s="11"/>
      <c r="P113" s="6">
        <v>658.05</v>
      </c>
      <c r="Q113" s="2"/>
      <c r="R113" s="7">
        <f t="shared" si="80"/>
        <v>8.266887744136722E-5</v>
      </c>
      <c r="S113" s="2"/>
      <c r="T113" s="6">
        <v>484.49</v>
      </c>
      <c r="U113" s="2"/>
      <c r="V113" s="7">
        <f t="shared" si="81"/>
        <v>6.2761781214042191E-5</v>
      </c>
      <c r="W113" s="2"/>
      <c r="X113" s="6">
        <f t="shared" si="82"/>
        <v>173.55999999999995</v>
      </c>
      <c r="Y113" s="2"/>
      <c r="Z113" s="7">
        <f t="shared" si="83"/>
        <v>0.3582323680571321</v>
      </c>
    </row>
    <row r="114" spans="1:26" s="25" customFormat="1" outlineLevel="1" collapsed="1" x14ac:dyDescent="0.25">
      <c r="A114" s="27"/>
      <c r="B114" s="13" t="str">
        <f>CONCATENATE("     ","Utilities                                         ")</f>
        <v xml:space="preserve">     Utilities                                         </v>
      </c>
      <c r="C114" s="13"/>
      <c r="D114" s="1">
        <f>SUM(OSRRefD22_24x_0)</f>
        <v>13691</v>
      </c>
      <c r="E114" s="1"/>
      <c r="F114" s="5">
        <f t="shared" ref="F114:F115" si="84">IF(D$12=0,0,D114/D$12)</f>
        <v>8.0388893175526686E-3</v>
      </c>
      <c r="G114" s="1"/>
      <c r="H114" s="1">
        <f>SUM(OSRRefH22_24x_0)</f>
        <v>13691</v>
      </c>
      <c r="I114" s="1"/>
      <c r="J114" s="5">
        <f t="shared" ref="J114:J115" si="85">IF(H$12=0,0,H114/H$12)</f>
        <v>9.9123353811851906E-3</v>
      </c>
      <c r="K114" s="1"/>
      <c r="L114" s="1">
        <f t="shared" ref="L114:L115" si="86">+D114-H114</f>
        <v>0</v>
      </c>
      <c r="M114" s="1"/>
      <c r="N114" s="5">
        <f t="shared" ref="N114:N115" si="87">IF(H114=0,0,L114/H114)</f>
        <v>0</v>
      </c>
      <c r="O114" s="13"/>
      <c r="P114" s="1">
        <f>SUM(OSRRefP22_24x_0)</f>
        <v>58340</v>
      </c>
      <c r="Q114" s="1"/>
      <c r="R114" s="5">
        <f t="shared" ref="R114:R115" si="88">IF(P$12=0,0,P114/P$12)</f>
        <v>7.3290818477765585E-3</v>
      </c>
      <c r="S114" s="1"/>
      <c r="T114" s="1">
        <f>SUM(OSRRefT22_24x_0)</f>
        <v>44653.619999999995</v>
      </c>
      <c r="U114" s="1"/>
      <c r="V114" s="5">
        <f t="shared" ref="V114:V115" si="89">IF(T$12=0,0,T114/T$12)</f>
        <v>5.7845171806538385E-3</v>
      </c>
      <c r="W114" s="1"/>
      <c r="X114" s="1">
        <f t="shared" ref="X114:X115" si="90">+P114-T114</f>
        <v>13686.380000000005</v>
      </c>
      <c r="Y114" s="1"/>
      <c r="Z114" s="5">
        <f t="shared" ref="Z114:Z115" si="91">IF(T114=0,0,X114/T114)</f>
        <v>0.30650101828250442</v>
      </c>
    </row>
    <row r="115" spans="1:26" s="24" customFormat="1" hidden="1" outlineLevel="2" x14ac:dyDescent="0.25">
      <c r="A115" s="26"/>
      <c r="B115" s="11" t="str">
        <f>CONCATENATE("          ", "6274", " - ", "UTILITIES")</f>
        <v xml:space="preserve">          6274 - UTILITIES</v>
      </c>
      <c r="C115" s="11"/>
      <c r="D115" s="6">
        <v>13691</v>
      </c>
      <c r="E115" s="2"/>
      <c r="F115" s="7">
        <f t="shared" si="84"/>
        <v>8.0388893175526686E-3</v>
      </c>
      <c r="G115" s="2"/>
      <c r="H115" s="6">
        <v>13691</v>
      </c>
      <c r="I115" s="2"/>
      <c r="J115" s="7">
        <f t="shared" si="85"/>
        <v>9.9123353811851906E-3</v>
      </c>
      <c r="K115" s="2"/>
      <c r="L115" s="6">
        <f t="shared" si="86"/>
        <v>0</v>
      </c>
      <c r="M115" s="2"/>
      <c r="N115" s="7">
        <f t="shared" si="87"/>
        <v>0</v>
      </c>
      <c r="O115" s="11"/>
      <c r="P115" s="6">
        <v>58340</v>
      </c>
      <c r="Q115" s="2"/>
      <c r="R115" s="7">
        <f t="shared" si="88"/>
        <v>7.3290818477765585E-3</v>
      </c>
      <c r="S115" s="2"/>
      <c r="T115" s="6">
        <v>44653.619999999995</v>
      </c>
      <c r="U115" s="2"/>
      <c r="V115" s="7">
        <f t="shared" si="89"/>
        <v>5.7845171806538385E-3</v>
      </c>
      <c r="W115" s="2"/>
      <c r="X115" s="6">
        <f t="shared" si="90"/>
        <v>13686.380000000005</v>
      </c>
      <c r="Y115" s="2"/>
      <c r="Z115" s="7">
        <f t="shared" si="91"/>
        <v>0.30650101828250442</v>
      </c>
    </row>
    <row r="116" spans="1:26" s="53" customFormat="1" x14ac:dyDescent="0.25">
      <c r="A116" s="37"/>
      <c r="B116" s="37"/>
      <c r="C116" s="37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7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collapsed="1" x14ac:dyDescent="0.25">
      <c r="A117" s="10"/>
      <c r="B117" s="28" t="s">
        <v>0</v>
      </c>
      <c r="C117" s="10"/>
      <c r="D117" s="4">
        <f>SUM(OSRRefD25x_0)</f>
        <v>66542.63</v>
      </c>
      <c r="E117" s="4"/>
      <c r="F117" s="12">
        <f t="shared" ref="F117:F120" si="92">IF(D$12=0,0,D117/D$12)</f>
        <v>3.9071567998601987E-2</v>
      </c>
      <c r="G117" s="4"/>
      <c r="H117" s="4">
        <f>SUM(OSRRefH25x_0)</f>
        <v>93308.69</v>
      </c>
      <c r="I117" s="4"/>
      <c r="J117" s="12">
        <f t="shared" ref="J117:J120" si="93">IF(H$12=0,0,H117/H$12)</f>
        <v>6.7555841739759023E-2</v>
      </c>
      <c r="K117" s="4"/>
      <c r="L117" s="4">
        <f t="shared" ref="L117:L120" si="94">+D117-H117</f>
        <v>-26766.059999999998</v>
      </c>
      <c r="M117" s="4"/>
      <c r="N117" s="12">
        <f t="shared" ref="N117:N120" si="95">IF(H117=0,0,L117/H117)</f>
        <v>-0.28685495423845297</v>
      </c>
      <c r="O117" s="10"/>
      <c r="P117" s="4">
        <f>SUM(OSRRefP25x_0)</f>
        <v>493067.26</v>
      </c>
      <c r="Q117" s="4"/>
      <c r="R117" s="12">
        <f t="shared" ref="R117:R120" si="96">IF(P$12=0,0,P117/P$12)</f>
        <v>6.1942583219042245E-2</v>
      </c>
      <c r="S117" s="4"/>
      <c r="T117" s="4">
        <f>SUM(OSRRefT25x_0)</f>
        <v>426231.95</v>
      </c>
      <c r="U117" s="4"/>
      <c r="V117" s="12">
        <f t="shared" ref="V117:V120" si="97">IF(T$12=0,0,T117/T$12)</f>
        <v>5.521491959036217E-2</v>
      </c>
      <c r="W117" s="4"/>
      <c r="X117" s="4">
        <f t="shared" ref="X117:X120" si="98">+P117-T117</f>
        <v>66835.31</v>
      </c>
      <c r="Y117" s="4"/>
      <c r="Z117" s="12">
        <f t="shared" ref="Z117:Z120" si="99">IF(T117=0,0,X117/T117)</f>
        <v>0.1568050213035414</v>
      </c>
    </row>
    <row r="118" spans="1:26" s="24" customFormat="1" hidden="1" outlineLevel="1" x14ac:dyDescent="0.25">
      <c r="A118" s="44"/>
      <c r="B118" s="11" t="str">
        <f>CONCATENATE("          ", "9150", " - ", "MISC. INCOME")</f>
        <v xml:space="preserve">          9150 - MISC. INCOME</v>
      </c>
      <c r="C118" s="11"/>
      <c r="D118" s="2">
        <f>--48346.26</f>
        <v>48346.26</v>
      </c>
      <c r="E118" s="2"/>
      <c r="F118" s="19">
        <f t="shared" si="92"/>
        <v>2.8387278727457738E-2</v>
      </c>
      <c r="G118" s="2"/>
      <c r="H118" s="2">
        <f>--71607.8</f>
        <v>71607.8</v>
      </c>
      <c r="I118" s="2"/>
      <c r="J118" s="19">
        <f t="shared" si="93"/>
        <v>5.1844315938122332E-2</v>
      </c>
      <c r="K118" s="2"/>
      <c r="L118" s="2">
        <f t="shared" si="94"/>
        <v>-23261.54</v>
      </c>
      <c r="M118" s="2"/>
      <c r="N118" s="19">
        <f t="shared" si="95"/>
        <v>-0.32484645527442541</v>
      </c>
      <c r="O118" s="11"/>
      <c r="P118" s="2">
        <f>--165642.94</f>
        <v>165642.94</v>
      </c>
      <c r="Q118" s="2"/>
      <c r="R118" s="19">
        <f t="shared" si="96"/>
        <v>2.0809233197914664E-2</v>
      </c>
      <c r="S118" s="2"/>
      <c r="T118" s="2">
        <f>--147915.28</f>
        <v>147915.28</v>
      </c>
      <c r="U118" s="2"/>
      <c r="V118" s="19">
        <f t="shared" si="97"/>
        <v>1.9161234373410781E-2</v>
      </c>
      <c r="W118" s="2"/>
      <c r="X118" s="2">
        <f t="shared" si="98"/>
        <v>17727.660000000003</v>
      </c>
      <c r="Y118" s="2"/>
      <c r="Z118" s="19">
        <f t="shared" si="99"/>
        <v>0.1198500925665016</v>
      </c>
    </row>
    <row r="119" spans="1:26" s="24" customFormat="1" hidden="1" outlineLevel="1" x14ac:dyDescent="0.25">
      <c r="A119" s="44"/>
      <c r="B119" s="11" t="str">
        <f>CONCATENATE("          ", "9160", " - ", "MISC. INCOME")</f>
        <v xml:space="preserve">          9160 - MISC. INCOME</v>
      </c>
      <c r="C119" s="11"/>
      <c r="D119" s="2">
        <f>--7692.32</f>
        <v>7692.32</v>
      </c>
      <c r="E119" s="2"/>
      <c r="F119" s="19">
        <f t="shared" si="92"/>
        <v>4.5166685468699683E-3</v>
      </c>
      <c r="G119" s="2"/>
      <c r="H119" s="2">
        <f>--14981.17</f>
        <v>14981.17</v>
      </c>
      <c r="I119" s="2"/>
      <c r="J119" s="19">
        <f t="shared" si="93"/>
        <v>1.0846423303085979E-2</v>
      </c>
      <c r="K119" s="2"/>
      <c r="L119" s="2">
        <f t="shared" si="94"/>
        <v>-7288.85</v>
      </c>
      <c r="M119" s="2"/>
      <c r="N119" s="19">
        <f t="shared" si="95"/>
        <v>-0.48653409580159629</v>
      </c>
      <c r="O119" s="11"/>
      <c r="P119" s="2">
        <f>--104050.2</f>
        <v>104050.2</v>
      </c>
      <c r="Q119" s="2"/>
      <c r="R119" s="19">
        <f t="shared" si="96"/>
        <v>1.3071519233416531E-2</v>
      </c>
      <c r="S119" s="2"/>
      <c r="T119" s="2">
        <f>--60385.67</f>
        <v>60385.67</v>
      </c>
      <c r="U119" s="2"/>
      <c r="V119" s="19">
        <f t="shared" si="97"/>
        <v>7.8224776755007348E-3</v>
      </c>
      <c r="W119" s="2"/>
      <c r="X119" s="2">
        <f t="shared" si="98"/>
        <v>43664.53</v>
      </c>
      <c r="Y119" s="2"/>
      <c r="Z119" s="19">
        <f t="shared" si="99"/>
        <v>0.72309423742421008</v>
      </c>
    </row>
    <row r="120" spans="1:26" s="24" customFormat="1" hidden="1" outlineLevel="1" x14ac:dyDescent="0.25">
      <c r="A120" s="44"/>
      <c r="B120" s="11" t="str">
        <f>CONCATENATE("          ", "9165", " - ", "OTHER INCOME")</f>
        <v xml:space="preserve">          9165 - OTHER INCOME</v>
      </c>
      <c r="C120" s="11"/>
      <c r="D120" s="2">
        <f>--10504.05</f>
        <v>10504.05</v>
      </c>
      <c r="E120" s="2"/>
      <c r="F120" s="19">
        <f t="shared" si="92"/>
        <v>6.1676207242742755E-3</v>
      </c>
      <c r="G120" s="2"/>
      <c r="H120" s="2">
        <f>--6719.72</f>
        <v>6719.72</v>
      </c>
      <c r="I120" s="2"/>
      <c r="J120" s="19">
        <f t="shared" si="93"/>
        <v>4.8651024985507082E-3</v>
      </c>
      <c r="K120" s="2"/>
      <c r="L120" s="2">
        <f t="shared" si="94"/>
        <v>3784.329999999999</v>
      </c>
      <c r="M120" s="2"/>
      <c r="N120" s="19">
        <f t="shared" si="95"/>
        <v>0.56316781056353526</v>
      </c>
      <c r="O120" s="11"/>
      <c r="P120" s="2">
        <f>--223374.12</f>
        <v>223374.12</v>
      </c>
      <c r="Q120" s="2"/>
      <c r="R120" s="19">
        <f t="shared" si="96"/>
        <v>2.8061830787711049E-2</v>
      </c>
      <c r="S120" s="2"/>
      <c r="T120" s="2">
        <f>--217931</f>
        <v>217931</v>
      </c>
      <c r="U120" s="2"/>
      <c r="V120" s="19">
        <f t="shared" si="97"/>
        <v>2.8231207541450653E-2</v>
      </c>
      <c r="W120" s="2"/>
      <c r="X120" s="2">
        <f t="shared" si="98"/>
        <v>5443.1199999999953</v>
      </c>
      <c r="Y120" s="2"/>
      <c r="Z120" s="19">
        <f t="shared" si="99"/>
        <v>2.4976345724105314E-2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10"/>
      <c r="B122" s="29" t="s">
        <v>3</v>
      </c>
      <c r="C122" s="29"/>
      <c r="D122" s="21">
        <f>+D30-D32+D117</f>
        <v>346414.31000000006</v>
      </c>
      <c r="E122" s="14"/>
      <c r="F122" s="20">
        <f>IF(D$12=0,0,D122/D$12)</f>
        <v>0.20340269491683435</v>
      </c>
      <c r="G122" s="14"/>
      <c r="H122" s="21">
        <f>+H30-H32+H117</f>
        <v>252988.70999999979</v>
      </c>
      <c r="I122" s="14"/>
      <c r="J122" s="20">
        <f>IF(H$12=0,0,H122/H$12)</f>
        <v>0.18316477548560348</v>
      </c>
      <c r="K122" s="15"/>
      <c r="L122" s="21">
        <f>+D122-H122</f>
        <v>93425.600000000268</v>
      </c>
      <c r="M122" s="15"/>
      <c r="N122" s="20">
        <f>IF(H122=0,0,L122/H122)</f>
        <v>0.36928762552289524</v>
      </c>
      <c r="O122" s="28"/>
      <c r="P122" s="21">
        <f>+P30-P32+P117</f>
        <v>1389214.5300000014</v>
      </c>
      <c r="Q122" s="14"/>
      <c r="R122" s="20">
        <f>IF(P$12=0,0,P122/P$12)</f>
        <v>0.17452291728643218</v>
      </c>
      <c r="S122" s="14"/>
      <c r="T122" s="21">
        <f>+T30-T32+T117</f>
        <v>1588382.32</v>
      </c>
      <c r="U122" s="14"/>
      <c r="V122" s="20">
        <f>IF(T$12=0,0,T122/T$12)</f>
        <v>0.20576214917148497</v>
      </c>
      <c r="W122" s="15"/>
      <c r="X122" s="21">
        <f>+P122-T122</f>
        <v>-199167.78999999864</v>
      </c>
      <c r="Y122" s="15"/>
      <c r="Z122" s="20">
        <f>IF(T122=0,0,X122/T122)</f>
        <v>-0.12539033423640641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51"/>
      <c r="B124" s="10" t="s">
        <v>13</v>
      </c>
      <c r="C124" s="10"/>
      <c r="D124" s="4">
        <v>213074.57</v>
      </c>
      <c r="E124" s="4"/>
      <c r="F124" s="12">
        <f>IF(D$12=0,0,D124/D$12)</f>
        <v>0.12511013692317058</v>
      </c>
      <c r="G124" s="4"/>
      <c r="H124" s="4">
        <v>230156.99000000002</v>
      </c>
      <c r="I124" s="4"/>
      <c r="J124" s="12">
        <f>IF(H$12=0,0,H124/H$12)</f>
        <v>0.16663452452005595</v>
      </c>
      <c r="K124" s="4"/>
      <c r="L124" s="4">
        <f>+D124-H124</f>
        <v>-17082.420000000013</v>
      </c>
      <c r="M124" s="4"/>
      <c r="N124" s="12">
        <f>IF(H124=0,0,L124/H124)</f>
        <v>-7.4220730815084138E-2</v>
      </c>
      <c r="O124" s="10"/>
      <c r="P124" s="4">
        <v>842917.49</v>
      </c>
      <c r="Q124" s="4"/>
      <c r="R124" s="12">
        <f>IF(P$12=0,0,P124/P$12)</f>
        <v>0.10589323406123377</v>
      </c>
      <c r="S124" s="4"/>
      <c r="T124" s="4">
        <v>812264.95999999996</v>
      </c>
      <c r="U124" s="4"/>
      <c r="V124" s="12">
        <f>IF(T$12=0,0,T124/T$12)</f>
        <v>0.105222389950985</v>
      </c>
      <c r="W124" s="4"/>
      <c r="X124" s="4">
        <f>+P124-T124</f>
        <v>30652.530000000028</v>
      </c>
      <c r="Y124" s="4"/>
      <c r="Z124" s="12">
        <f>IF(T124=0,0,X124/T124)</f>
        <v>3.7737107359647803E-2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9" t="s">
        <v>4</v>
      </c>
      <c r="C126" s="29"/>
      <c r="D126" s="31">
        <f>+D122-D124</f>
        <v>133339.74000000005</v>
      </c>
      <c r="E126" s="14"/>
      <c r="F126" s="32">
        <f>IF(D$12=0,0,D126/D$12)</f>
        <v>7.8292557993663775E-2</v>
      </c>
      <c r="G126" s="14"/>
      <c r="H126" s="31">
        <f>+H122-H124</f>
        <v>22831.719999999768</v>
      </c>
      <c r="I126" s="14"/>
      <c r="J126" s="32">
        <f>IF(H$12=0,0,H126/H$12)</f>
        <v>1.6530250965547531E-2</v>
      </c>
      <c r="K126" s="15"/>
      <c r="L126" s="31">
        <f>D126-H126</f>
        <v>110508.02000000028</v>
      </c>
      <c r="M126" s="15"/>
      <c r="N126" s="32">
        <f>IF(H126=0,0,L126/H126)</f>
        <v>4.8401092865540312</v>
      </c>
      <c r="O126" s="28"/>
      <c r="P126" s="31">
        <f>+P122-P124</f>
        <v>546297.04000000143</v>
      </c>
      <c r="Q126" s="14"/>
      <c r="R126" s="32">
        <f>IF(P$12=0,0,P126/P$12)</f>
        <v>6.8629683225198398E-2</v>
      </c>
      <c r="S126" s="14"/>
      <c r="T126" s="31">
        <f>+T122-T124</f>
        <v>776117.3600000001</v>
      </c>
      <c r="U126" s="14"/>
      <c r="V126" s="32">
        <f>IF(T$12=0,0,T126/T$12)</f>
        <v>0.10053975922049996</v>
      </c>
      <c r="W126" s="15"/>
      <c r="X126" s="31">
        <f>P126-T126</f>
        <v>-229820.31999999867</v>
      </c>
      <c r="Y126" s="15"/>
      <c r="Z126" s="32">
        <f>IF(T126=0,0,X126/T126)</f>
        <v>-0.29611542254382589</v>
      </c>
    </row>
    <row r="127" spans="1:26" ht="15.75" thickTop="1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9" t="s">
        <v>5</v>
      </c>
      <c r="C129" s="29"/>
      <c r="D129" s="34">
        <f>SUM(D126:D128)</f>
        <v>133339.74000000005</v>
      </c>
      <c r="E129" s="14"/>
      <c r="F129" s="30">
        <f>IF(D$12=0,0,D129/D$12)</f>
        <v>7.8292557993663775E-2</v>
      </c>
      <c r="G129" s="14"/>
      <c r="H129" s="34">
        <f>SUM(H126:H128)</f>
        <v>22831.719999999768</v>
      </c>
      <c r="I129" s="14"/>
      <c r="J129" s="30">
        <f>IF(H$12=0,0,H129/H$12)</f>
        <v>1.6530250965547531E-2</v>
      </c>
      <c r="K129" s="15"/>
      <c r="L129" s="34">
        <f>+D129-H129</f>
        <v>110508.02000000028</v>
      </c>
      <c r="M129" s="15"/>
      <c r="N129" s="30">
        <f>IF(H129=0,0,L129/H129)</f>
        <v>4.8401092865540312</v>
      </c>
      <c r="O129" s="28"/>
      <c r="P129" s="34">
        <f>SUM(P126:P128)</f>
        <v>546297.04000000143</v>
      </c>
      <c r="Q129" s="14"/>
      <c r="R129" s="30">
        <f>IF(P$12=0,0,P129/P$12)</f>
        <v>6.8629683225198398E-2</v>
      </c>
      <c r="S129" s="14"/>
      <c r="T129" s="34">
        <f>SUM(T126:T128)</f>
        <v>776117.3600000001</v>
      </c>
      <c r="U129" s="14"/>
      <c r="V129" s="30">
        <f>IF(T$12=0,0,T129/T$12)</f>
        <v>0.10053975922049996</v>
      </c>
      <c r="W129" s="15"/>
      <c r="X129" s="34">
        <f>+P129-T129</f>
        <v>-229820.31999999867</v>
      </c>
      <c r="Y129" s="15"/>
      <c r="Z129" s="30">
        <f>IF(T129=0,0,X129/T129)</f>
        <v>-0.29611542254382589</v>
      </c>
    </row>
    <row r="130" spans="1:26" ht="15.75" thickTop="1" x14ac:dyDescent="0.25">
      <c r="A130" s="9"/>
      <c r="C130" s="9"/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6" x14ac:dyDescent="0.25">
      <c r="A131" s="9"/>
      <c r="B131" s="59">
        <v>43815.491358217594</v>
      </c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6" x14ac:dyDescent="0.25">
      <c r="A132" s="9"/>
      <c r="B132" s="62" t="s">
        <v>313</v>
      </c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25">
      <c r="A133" s="9"/>
      <c r="B133" s="61"/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4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312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860114.22000000009</v>
      </c>
      <c r="E12" s="4"/>
      <c r="F12" s="12"/>
      <c r="G12" s="4"/>
      <c r="H12" s="4">
        <f>SUM(OSRRefH13x_0)</f>
        <v>785511.76999999979</v>
      </c>
      <c r="I12" s="4"/>
      <c r="J12" s="12"/>
      <c r="K12" s="4"/>
      <c r="L12" s="4">
        <f t="shared" ref="L12:L30" si="0">+D12-H12</f>
        <v>74602.450000000303</v>
      </c>
      <c r="M12" s="4"/>
      <c r="N12" s="12">
        <f t="shared" ref="N12:N30" si="1">IF(H12=0,0,L12/H12)</f>
        <v>9.4973051772350048E-2</v>
      </c>
      <c r="O12" s="10"/>
      <c r="P12" s="4">
        <f>SUM(OSRRefP13x_0)</f>
        <v>4089195.04</v>
      </c>
      <c r="Q12" s="4"/>
      <c r="R12" s="12"/>
      <c r="S12" s="4"/>
      <c r="T12" s="4">
        <f>SUM(OSRRefT13x_0)</f>
        <v>4075914.5899999994</v>
      </c>
      <c r="U12" s="4"/>
      <c r="V12" s="12"/>
      <c r="W12" s="4"/>
      <c r="X12" s="4">
        <f t="shared" ref="X12:X30" si="2">+P12-T12</f>
        <v>13280.450000000652</v>
      </c>
      <c r="Y12" s="4"/>
      <c r="Z12" s="12">
        <f t="shared" ref="Z12:Z30" si="3">IF(T12=0,0,X12/T12)</f>
        <v>3.2582748501608456E-3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--29698.86</f>
        <v>29698.86</v>
      </c>
      <c r="E13" s="2"/>
      <c r="F13" s="19"/>
      <c r="G13" s="2"/>
      <c r="H13" s="2">
        <f>--27782.6</f>
        <v>27782.6</v>
      </c>
      <c r="I13" s="2"/>
      <c r="J13" s="19"/>
      <c r="K13" s="2"/>
      <c r="L13" s="2">
        <f t="shared" si="0"/>
        <v>1916.260000000002</v>
      </c>
      <c r="M13" s="2"/>
      <c r="N13" s="19">
        <f t="shared" si="1"/>
        <v>6.8973386220152255E-2</v>
      </c>
      <c r="O13" s="11"/>
      <c r="P13" s="2">
        <f>--161513.73</f>
        <v>161513.73000000001</v>
      </c>
      <c r="Q13" s="2"/>
      <c r="R13" s="19"/>
      <c r="S13" s="2"/>
      <c r="T13" s="2">
        <f>--164054.02</f>
        <v>164054.01999999999</v>
      </c>
      <c r="U13" s="2"/>
      <c r="V13" s="19"/>
      <c r="W13" s="2"/>
      <c r="X13" s="2">
        <f t="shared" si="2"/>
        <v>-2540.289999999979</v>
      </c>
      <c r="Y13" s="2"/>
      <c r="Z13" s="19">
        <f t="shared" si="3"/>
        <v>-1.5484472736480211E-2</v>
      </c>
    </row>
    <row r="14" spans="1:26" s="24" customFormat="1" hidden="1" outlineLevel="1" x14ac:dyDescent="0.25">
      <c r="A14" s="44"/>
      <c r="B14" s="11" t="str">
        <f>CONCATENATE("          ", "4033", " - ", "TAXABLE SALES-CANDY")</f>
        <v xml:space="preserve">          4033 - TAXABLE SALES-CANDY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--19.99</f>
        <v>19.989999999999998</v>
      </c>
      <c r="U14" s="2"/>
      <c r="V14" s="19"/>
      <c r="W14" s="2"/>
      <c r="X14" s="2">
        <f t="shared" si="2"/>
        <v>-19.989999999999998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--237.09</f>
        <v>237.09</v>
      </c>
      <c r="E15" s="2"/>
      <c r="F15" s="19"/>
      <c r="G15" s="2"/>
      <c r="H15" s="2">
        <f>--127.98</f>
        <v>127.98</v>
      </c>
      <c r="I15" s="2"/>
      <c r="J15" s="19"/>
      <c r="K15" s="2"/>
      <c r="L15" s="2">
        <f t="shared" si="0"/>
        <v>109.11</v>
      </c>
      <c r="M15" s="2"/>
      <c r="N15" s="19">
        <f t="shared" si="1"/>
        <v>0.85255508673230185</v>
      </c>
      <c r="O15" s="11"/>
      <c r="P15" s="2">
        <f>--1919.17</f>
        <v>1919.17</v>
      </c>
      <c r="Q15" s="2"/>
      <c r="R15" s="19"/>
      <c r="S15" s="2"/>
      <c r="T15" s="2">
        <f>--1129.29</f>
        <v>1129.29</v>
      </c>
      <c r="U15" s="2"/>
      <c r="V15" s="19"/>
      <c r="W15" s="2"/>
      <c r="X15" s="2">
        <f t="shared" si="2"/>
        <v>789.88000000000011</v>
      </c>
      <c r="Y15" s="2"/>
      <c r="Z15" s="19">
        <f t="shared" si="3"/>
        <v>0.69944832593930717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--74968.58</f>
        <v>74968.58</v>
      </c>
      <c r="E16" s="2"/>
      <c r="F16" s="19"/>
      <c r="G16" s="2"/>
      <c r="H16" s="2">
        <f>--76792.08</f>
        <v>76792.08</v>
      </c>
      <c r="I16" s="2"/>
      <c r="J16" s="19"/>
      <c r="K16" s="2"/>
      <c r="L16" s="2">
        <f t="shared" si="0"/>
        <v>-1823.5</v>
      </c>
      <c r="M16" s="2"/>
      <c r="N16" s="19">
        <f t="shared" si="1"/>
        <v>-2.3745938383229102E-2</v>
      </c>
      <c r="O16" s="11"/>
      <c r="P16" s="2">
        <f>--375004.52</f>
        <v>375004.52</v>
      </c>
      <c r="Q16" s="2"/>
      <c r="R16" s="19"/>
      <c r="S16" s="2"/>
      <c r="T16" s="2">
        <f>--398369.82</f>
        <v>398369.82</v>
      </c>
      <c r="U16" s="2"/>
      <c r="V16" s="19"/>
      <c r="W16" s="2"/>
      <c r="X16" s="2">
        <f t="shared" si="2"/>
        <v>-23365.299999999988</v>
      </c>
      <c r="Y16" s="2"/>
      <c r="Z16" s="19">
        <f t="shared" si="3"/>
        <v>-5.8652284452672614E-2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--85023.13</f>
        <v>85023.13</v>
      </c>
      <c r="E17" s="2"/>
      <c r="F17" s="19"/>
      <c r="G17" s="2"/>
      <c r="H17" s="2">
        <f>--110319.13</f>
        <v>110319.13</v>
      </c>
      <c r="I17" s="2"/>
      <c r="J17" s="19"/>
      <c r="K17" s="2"/>
      <c r="L17" s="2">
        <f t="shared" si="0"/>
        <v>-25296</v>
      </c>
      <c r="M17" s="2"/>
      <c r="N17" s="19">
        <f t="shared" si="1"/>
        <v>-0.22929840001457588</v>
      </c>
      <c r="O17" s="11"/>
      <c r="P17" s="2">
        <f>--453845.53</f>
        <v>453845.53</v>
      </c>
      <c r="Q17" s="2"/>
      <c r="R17" s="19"/>
      <c r="S17" s="2"/>
      <c r="T17" s="2">
        <f>--568867.41</f>
        <v>568867.41</v>
      </c>
      <c r="U17" s="2"/>
      <c r="V17" s="19"/>
      <c r="W17" s="2"/>
      <c r="X17" s="2">
        <f t="shared" si="2"/>
        <v>-115021.88</v>
      </c>
      <c r="Y17" s="2"/>
      <c r="Z17" s="19">
        <f t="shared" si="3"/>
        <v>-0.20219453246583416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>--10014.68</f>
        <v>10014.68</v>
      </c>
      <c r="E18" s="2"/>
      <c r="F18" s="19"/>
      <c r="G18" s="2"/>
      <c r="H18" s="2">
        <f>--7819.52</f>
        <v>7819.52</v>
      </c>
      <c r="I18" s="2"/>
      <c r="J18" s="19"/>
      <c r="K18" s="2"/>
      <c r="L18" s="2">
        <f t="shared" si="0"/>
        <v>2195.16</v>
      </c>
      <c r="M18" s="2"/>
      <c r="N18" s="19">
        <f t="shared" si="1"/>
        <v>0.28072822884269105</v>
      </c>
      <c r="O18" s="11"/>
      <c r="P18" s="2">
        <f>--70515.29</f>
        <v>70515.289999999994</v>
      </c>
      <c r="Q18" s="2"/>
      <c r="R18" s="19"/>
      <c r="S18" s="2"/>
      <c r="T18" s="2">
        <f>--56840.95</f>
        <v>56840.95</v>
      </c>
      <c r="U18" s="2"/>
      <c r="V18" s="19"/>
      <c r="W18" s="2"/>
      <c r="X18" s="2">
        <f t="shared" si="2"/>
        <v>13674.339999999997</v>
      </c>
      <c r="Y18" s="2"/>
      <c r="Z18" s="19">
        <f t="shared" si="3"/>
        <v>0.24057198199537477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>--49116.37</f>
        <v>49116.37</v>
      </c>
      <c r="E19" s="2"/>
      <c r="F19" s="19"/>
      <c r="G19" s="2"/>
      <c r="H19" s="2">
        <f>--49959.18</f>
        <v>49959.18</v>
      </c>
      <c r="I19" s="2"/>
      <c r="J19" s="19"/>
      <c r="K19" s="2"/>
      <c r="L19" s="2">
        <f t="shared" si="0"/>
        <v>-842.80999999999767</v>
      </c>
      <c r="M19" s="2"/>
      <c r="N19" s="19">
        <f t="shared" si="1"/>
        <v>-1.6869972645667877E-2</v>
      </c>
      <c r="O19" s="11"/>
      <c r="P19" s="2">
        <f>--235107.97</f>
        <v>235107.97</v>
      </c>
      <c r="Q19" s="2"/>
      <c r="R19" s="19"/>
      <c r="S19" s="2"/>
      <c r="T19" s="2">
        <f>--267636.36</f>
        <v>267636.36</v>
      </c>
      <c r="U19" s="2"/>
      <c r="V19" s="19"/>
      <c r="W19" s="2"/>
      <c r="X19" s="2">
        <f t="shared" si="2"/>
        <v>-32528.389999999985</v>
      </c>
      <c r="Y19" s="2"/>
      <c r="Z19" s="19">
        <f t="shared" si="3"/>
        <v>-0.12153950233069971</v>
      </c>
    </row>
    <row r="20" spans="1:26" s="24" customFormat="1" hidden="1" outlineLevel="1" x14ac:dyDescent="0.25">
      <c r="A20" s="44"/>
      <c r="B20" s="11" t="str">
        <f>CONCATENATE("          ", "4057", " - ", "TAXABLE SALES-FOOD")</f>
        <v xml:space="preserve">          4057 - TAXABLE SALES-FOOD</v>
      </c>
      <c r="C20" s="11"/>
      <c r="D20" s="2">
        <f>0</f>
        <v>0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0</f>
        <v>0</v>
      </c>
      <c r="Q20" s="2"/>
      <c r="R20" s="19"/>
      <c r="S20" s="2"/>
      <c r="T20" s="2">
        <f>--11506.08</f>
        <v>11506.08</v>
      </c>
      <c r="U20" s="2"/>
      <c r="V20" s="19"/>
      <c r="W20" s="2"/>
      <c r="X20" s="2">
        <f t="shared" si="2"/>
        <v>-11506.08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"4058", " - ", "TAXABLE SALES-FOOD")</f>
        <v xml:space="preserve">          4058 - TAXABLE SALES-FOOD</v>
      </c>
      <c r="C21" s="11"/>
      <c r="D21" s="2">
        <f>--14656.48</f>
        <v>14656.48</v>
      </c>
      <c r="E21" s="2"/>
      <c r="F21" s="19"/>
      <c r="G21" s="2"/>
      <c r="H21" s="2">
        <f>--15410.23</f>
        <v>15410.23</v>
      </c>
      <c r="I21" s="2"/>
      <c r="J21" s="19"/>
      <c r="K21" s="2"/>
      <c r="L21" s="2">
        <f t="shared" si="0"/>
        <v>-753.75</v>
      </c>
      <c r="M21" s="2"/>
      <c r="N21" s="19">
        <f t="shared" si="1"/>
        <v>-4.8912313443731863E-2</v>
      </c>
      <c r="O21" s="11"/>
      <c r="P21" s="2">
        <f>--78802.41</f>
        <v>78802.41</v>
      </c>
      <c r="Q21" s="2"/>
      <c r="R21" s="19"/>
      <c r="S21" s="2"/>
      <c r="T21" s="2">
        <f>--108999.15</f>
        <v>108999.15</v>
      </c>
      <c r="U21" s="2"/>
      <c r="V21" s="19"/>
      <c r="W21" s="2"/>
      <c r="X21" s="2">
        <f t="shared" si="2"/>
        <v>-30196.739999999991</v>
      </c>
      <c r="Y21" s="2"/>
      <c r="Z21" s="19">
        <f t="shared" si="3"/>
        <v>-0.27703647230276557</v>
      </c>
    </row>
    <row r="22" spans="1:26" s="24" customFormat="1" hidden="1" outlineLevel="1" x14ac:dyDescent="0.25">
      <c r="A22" s="44"/>
      <c r="B22" s="11" t="str">
        <f>CONCATENATE("          ", "4132", " - ", "NON-TAXABLE SALES-JUICE")</f>
        <v xml:space="preserve">          4132 - NON-TAXABLE SALES-JUICE</v>
      </c>
      <c r="C22" s="11"/>
      <c r="D22" s="2">
        <f>--139966.75</f>
        <v>139966.75</v>
      </c>
      <c r="E22" s="2"/>
      <c r="F22" s="19"/>
      <c r="G22" s="2"/>
      <c r="H22" s="2">
        <f>--106759.37</f>
        <v>106759.37</v>
      </c>
      <c r="I22" s="2"/>
      <c r="J22" s="19"/>
      <c r="K22" s="2"/>
      <c r="L22" s="2">
        <f t="shared" si="0"/>
        <v>33207.380000000005</v>
      </c>
      <c r="M22" s="2"/>
      <c r="N22" s="19">
        <f t="shared" si="1"/>
        <v>0.3110488568825388</v>
      </c>
      <c r="O22" s="11"/>
      <c r="P22" s="2">
        <f>--655070.4</f>
        <v>655070.4</v>
      </c>
      <c r="Q22" s="2"/>
      <c r="R22" s="19"/>
      <c r="S22" s="2"/>
      <c r="T22" s="2">
        <f>--585851.61</f>
        <v>585851.61</v>
      </c>
      <c r="U22" s="2"/>
      <c r="V22" s="19"/>
      <c r="W22" s="2"/>
      <c r="X22" s="2">
        <f t="shared" si="2"/>
        <v>69218.790000000037</v>
      </c>
      <c r="Y22" s="2"/>
      <c r="Z22" s="19">
        <f t="shared" si="3"/>
        <v>0.11815072079429813</v>
      </c>
    </row>
    <row r="23" spans="1:26" s="24" customFormat="1" hidden="1" outlineLevel="1" x14ac:dyDescent="0.25">
      <c r="A23" s="44"/>
      <c r="B23" s="11" t="str">
        <f>CONCATENATE("          ", "4134", " - ", "NON-TAXABLE SALES-SODA")</f>
        <v xml:space="preserve">          4134 - NON-TAXABLE SALES-SODA</v>
      </c>
      <c r="C23" s="11"/>
      <c r="D23" s="2">
        <f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--0.39</f>
        <v>0.39</v>
      </c>
      <c r="Q23" s="2"/>
      <c r="R23" s="19"/>
      <c r="S23" s="2"/>
      <c r="T23" s="2">
        <f>--53.94</f>
        <v>53.94</v>
      </c>
      <c r="U23" s="2"/>
      <c r="V23" s="19"/>
      <c r="W23" s="2"/>
      <c r="X23" s="2">
        <f t="shared" si="2"/>
        <v>-53.55</v>
      </c>
      <c r="Y23" s="2"/>
      <c r="Z23" s="19">
        <f t="shared" si="3"/>
        <v>-0.99276974416017794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>--175.69</f>
        <v>175.69</v>
      </c>
      <c r="E24" s="2"/>
      <c r="F24" s="19"/>
      <c r="G24" s="2"/>
      <c r="H24" s="2">
        <f>--154.94</f>
        <v>154.94</v>
      </c>
      <c r="I24" s="2"/>
      <c r="J24" s="19"/>
      <c r="K24" s="2"/>
      <c r="L24" s="2">
        <f t="shared" si="0"/>
        <v>20.75</v>
      </c>
      <c r="M24" s="2"/>
      <c r="N24" s="19">
        <f t="shared" si="1"/>
        <v>0.13392280882922422</v>
      </c>
      <c r="O24" s="11"/>
      <c r="P24" s="2">
        <f>--1024.54</f>
        <v>1024.54</v>
      </c>
      <c r="Q24" s="2"/>
      <c r="R24" s="19"/>
      <c r="S24" s="2"/>
      <c r="T24" s="2">
        <f>--1262.21</f>
        <v>1262.21</v>
      </c>
      <c r="U24" s="2"/>
      <c r="V24" s="19"/>
      <c r="W24" s="2"/>
      <c r="X24" s="2">
        <f t="shared" si="2"/>
        <v>-237.67000000000007</v>
      </c>
      <c r="Y24" s="2"/>
      <c r="Z24" s="19">
        <f t="shared" si="3"/>
        <v>-0.18829671766187883</v>
      </c>
    </row>
    <row r="25" spans="1:26" s="24" customFormat="1" hidden="1" outlineLevel="1" x14ac:dyDescent="0.25">
      <c r="A25" s="44"/>
      <c r="B25" s="11" t="str">
        <f>CONCATENATE("          ", "4151", " - ", "NON-TAXABLE SALES-FOOD")</f>
        <v xml:space="preserve">          4151 - NON-TAXABLE SALES-FOOD</v>
      </c>
      <c r="C25" s="11"/>
      <c r="D25" s="2">
        <f>--294922.28</f>
        <v>294922.28000000003</v>
      </c>
      <c r="E25" s="2"/>
      <c r="F25" s="19"/>
      <c r="G25" s="2"/>
      <c r="H25" s="2">
        <f>--259629.88</f>
        <v>259629.88</v>
      </c>
      <c r="I25" s="2"/>
      <c r="J25" s="19"/>
      <c r="K25" s="2"/>
      <c r="L25" s="2">
        <f t="shared" si="0"/>
        <v>35292.400000000023</v>
      </c>
      <c r="M25" s="2"/>
      <c r="N25" s="19">
        <f t="shared" si="1"/>
        <v>0.13593350657482114</v>
      </c>
      <c r="O25" s="11"/>
      <c r="P25" s="2">
        <f>--1324870.19</f>
        <v>1324870.19</v>
      </c>
      <c r="Q25" s="2"/>
      <c r="R25" s="19"/>
      <c r="S25" s="2"/>
      <c r="T25" s="2">
        <f>--1228923.92</f>
        <v>1228923.92</v>
      </c>
      <c r="U25" s="2"/>
      <c r="V25" s="19"/>
      <c r="W25" s="2"/>
      <c r="X25" s="2">
        <f t="shared" si="2"/>
        <v>95946.270000000019</v>
      </c>
      <c r="Y25" s="2"/>
      <c r="Z25" s="19">
        <f t="shared" si="3"/>
        <v>7.8073400996214654E-2</v>
      </c>
    </row>
    <row r="26" spans="1:26" s="24" customFormat="1" hidden="1" outlineLevel="1" x14ac:dyDescent="0.25">
      <c r="A26" s="44"/>
      <c r="B26" s="11" t="str">
        <f>CONCATENATE("          ", "4152", " - ", "NON-TAXABLE SALES-FOOD")</f>
        <v xml:space="preserve">          4152 - NON-TAXABLE SALES-FOOD</v>
      </c>
      <c r="C26" s="11"/>
      <c r="D26" s="2">
        <f>--5402.66</f>
        <v>5402.66</v>
      </c>
      <c r="E26" s="2"/>
      <c r="F26" s="19"/>
      <c r="G26" s="2"/>
      <c r="H26" s="2">
        <f>--7298.95</f>
        <v>7298.95</v>
      </c>
      <c r="I26" s="2"/>
      <c r="J26" s="19"/>
      <c r="K26" s="2"/>
      <c r="L26" s="2">
        <f t="shared" si="0"/>
        <v>-1896.29</v>
      </c>
      <c r="M26" s="2"/>
      <c r="N26" s="19">
        <f t="shared" si="1"/>
        <v>-0.25980312236691577</v>
      </c>
      <c r="O26" s="11"/>
      <c r="P26" s="2">
        <f>--30341.45</f>
        <v>30341.45</v>
      </c>
      <c r="Q26" s="2"/>
      <c r="R26" s="19"/>
      <c r="S26" s="2"/>
      <c r="T26" s="2">
        <f>--34277.1</f>
        <v>34277.1</v>
      </c>
      <c r="U26" s="2"/>
      <c r="V26" s="19"/>
      <c r="W26" s="2"/>
      <c r="X26" s="2">
        <f t="shared" si="2"/>
        <v>-3935.6499999999978</v>
      </c>
      <c r="Y26" s="2"/>
      <c r="Z26" s="19">
        <f t="shared" si="3"/>
        <v>-0.11481863984992891</v>
      </c>
    </row>
    <row r="27" spans="1:26" s="24" customFormat="1" hidden="1" outlineLevel="1" x14ac:dyDescent="0.25">
      <c r="A27" s="44"/>
      <c r="B27" s="11" t="str">
        <f>CONCATENATE("          ", "4153", " - ", "NON-TAXABLE SALES-FOOD")</f>
        <v xml:space="preserve">          4153 - NON-TAXABLE SALES-FOOD</v>
      </c>
      <c r="C27" s="11"/>
      <c r="D27" s="2">
        <f>--1546.5</f>
        <v>1546.5</v>
      </c>
      <c r="E27" s="2"/>
      <c r="F27" s="19"/>
      <c r="G27" s="2"/>
      <c r="H27" s="2">
        <f>--957.75</f>
        <v>957.75</v>
      </c>
      <c r="I27" s="2"/>
      <c r="J27" s="19"/>
      <c r="K27" s="2"/>
      <c r="L27" s="2">
        <f t="shared" si="0"/>
        <v>588.75</v>
      </c>
      <c r="M27" s="2"/>
      <c r="N27" s="19">
        <f t="shared" si="1"/>
        <v>0.61472200469851213</v>
      </c>
      <c r="O27" s="11"/>
      <c r="P27" s="2">
        <f>--6827</f>
        <v>6827</v>
      </c>
      <c r="Q27" s="2"/>
      <c r="R27" s="19"/>
      <c r="S27" s="2"/>
      <c r="T27" s="2">
        <f>--5970.13</f>
        <v>5970.13</v>
      </c>
      <c r="U27" s="2"/>
      <c r="V27" s="19"/>
      <c r="W27" s="2"/>
      <c r="X27" s="2">
        <f t="shared" si="2"/>
        <v>856.86999999999989</v>
      </c>
      <c r="Y27" s="2"/>
      <c r="Z27" s="19">
        <f t="shared" si="3"/>
        <v>0.14352618787195587</v>
      </c>
    </row>
    <row r="28" spans="1:26" s="24" customFormat="1" hidden="1" outlineLevel="1" x14ac:dyDescent="0.25">
      <c r="A28" s="44"/>
      <c r="B28" s="11" t="str">
        <f>CONCATENATE("          ", "4155", " - ", "NON-TAXABLE SALES-FOOD")</f>
        <v xml:space="preserve">          4155 - NON-TAXABLE SALES-FOOD</v>
      </c>
      <c r="C28" s="11"/>
      <c r="D28" s="2">
        <f>--89218.16</f>
        <v>89218.16</v>
      </c>
      <c r="E28" s="2"/>
      <c r="F28" s="19"/>
      <c r="G28" s="2"/>
      <c r="H28" s="2">
        <f>--71512.93</f>
        <v>71512.929999999993</v>
      </c>
      <c r="I28" s="2"/>
      <c r="J28" s="19"/>
      <c r="K28" s="2"/>
      <c r="L28" s="2">
        <f t="shared" si="0"/>
        <v>17705.23000000001</v>
      </c>
      <c r="M28" s="2"/>
      <c r="N28" s="19">
        <f t="shared" si="1"/>
        <v>0.24758082209748661</v>
      </c>
      <c r="O28" s="11"/>
      <c r="P28" s="2">
        <f>--421465.19</f>
        <v>421465.19</v>
      </c>
      <c r="Q28" s="2"/>
      <c r="R28" s="19"/>
      <c r="S28" s="2"/>
      <c r="T28" s="2">
        <f>--377672.5</f>
        <v>377672.5</v>
      </c>
      <c r="U28" s="2"/>
      <c r="V28" s="19"/>
      <c r="W28" s="2"/>
      <c r="X28" s="2">
        <f t="shared" si="2"/>
        <v>43792.69</v>
      </c>
      <c r="Y28" s="2"/>
      <c r="Z28" s="19">
        <f t="shared" si="3"/>
        <v>0.11595414016111844</v>
      </c>
    </row>
    <row r="29" spans="1:26" s="24" customFormat="1" hidden="1" outlineLevel="1" x14ac:dyDescent="0.25">
      <c r="A29" s="44"/>
      <c r="B29" s="11" t="str">
        <f>CONCATENATE("          ", "4158", " - ", "NON-TAXABLE SALES-FOOD")</f>
        <v xml:space="preserve">          4158 - NON-TAXABLE SALES-FOOD</v>
      </c>
      <c r="C29" s="11"/>
      <c r="D29" s="2">
        <f>--65166.99</f>
        <v>65166.99</v>
      </c>
      <c r="E29" s="2"/>
      <c r="F29" s="19"/>
      <c r="G29" s="2"/>
      <c r="H29" s="2">
        <f>--50987.23</f>
        <v>50987.23</v>
      </c>
      <c r="I29" s="2"/>
      <c r="J29" s="19"/>
      <c r="K29" s="2"/>
      <c r="L29" s="2">
        <f t="shared" si="0"/>
        <v>14179.759999999995</v>
      </c>
      <c r="M29" s="2"/>
      <c r="N29" s="19">
        <f t="shared" si="1"/>
        <v>0.2781041449005956</v>
      </c>
      <c r="O29" s="11"/>
      <c r="P29" s="2">
        <f>--272887.26</f>
        <v>272887.26</v>
      </c>
      <c r="Q29" s="2"/>
      <c r="R29" s="19"/>
      <c r="S29" s="2"/>
      <c r="T29" s="2">
        <f>--264481.8</f>
        <v>264481.8</v>
      </c>
      <c r="U29" s="2"/>
      <c r="V29" s="19"/>
      <c r="W29" s="2"/>
      <c r="X29" s="2">
        <f t="shared" si="2"/>
        <v>8405.460000000021</v>
      </c>
      <c r="Y29" s="2"/>
      <c r="Z29" s="19">
        <f t="shared" si="3"/>
        <v>3.1780863560366052E-2</v>
      </c>
    </row>
    <row r="30" spans="1:26" s="24" customFormat="1" hidden="1" outlineLevel="1" x14ac:dyDescent="0.25">
      <c r="A30" s="44"/>
      <c r="B30" s="11" t="str">
        <f>CONCATENATE("          ", "4233", " - ", "SALES RETURN TAXABLE-CANDY")</f>
        <v xml:space="preserve">          4233 - SALES RETURN TAXABLE-CANDY</v>
      </c>
      <c r="C30" s="11"/>
      <c r="D30" s="2">
        <f>0</f>
        <v>0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0</f>
        <v>0</v>
      </c>
      <c r="Q30" s="2"/>
      <c r="R30" s="19"/>
      <c r="S30" s="2"/>
      <c r="T30" s="2">
        <f>-1.69</f>
        <v>-1.69</v>
      </c>
      <c r="U30" s="2"/>
      <c r="V30" s="19"/>
      <c r="W30" s="2"/>
      <c r="X30" s="2">
        <f t="shared" si="2"/>
        <v>1.69</v>
      </c>
      <c r="Y30" s="2"/>
      <c r="Z30" s="19">
        <f t="shared" si="3"/>
        <v>-1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8" t="s">
        <v>8</v>
      </c>
      <c r="C32" s="10"/>
      <c r="D32" s="4">
        <f>SUM(OSRRefD16x_0)</f>
        <v>334582.78000000003</v>
      </c>
      <c r="E32" s="4"/>
      <c r="F32" s="12">
        <f t="shared" ref="F32:F34" si="4">IF(D$12=0,0,D32/D$12)</f>
        <v>0.38899807981316714</v>
      </c>
      <c r="G32" s="4"/>
      <c r="H32" s="4">
        <f>SUM(OSRRefH16x_0)</f>
        <v>293650.25</v>
      </c>
      <c r="I32" s="4"/>
      <c r="J32" s="12">
        <f t="shared" ref="J32:J34" si="5">IF(H$12=0,0,H32/H$12)</f>
        <v>0.37383303626373426</v>
      </c>
      <c r="K32" s="4"/>
      <c r="L32" s="4">
        <f t="shared" ref="L32:L34" si="6">+D32-H32</f>
        <v>40932.530000000028</v>
      </c>
      <c r="M32" s="4"/>
      <c r="N32" s="12">
        <f t="shared" ref="N32:N34" si="7">IF(H32=0,0,L32/H32)</f>
        <v>0.13939211698270315</v>
      </c>
      <c r="O32" s="10"/>
      <c r="P32" s="4">
        <f>SUM(OSRRefP16x_0)</f>
        <v>1553526.17</v>
      </c>
      <c r="Q32" s="4"/>
      <c r="R32" s="12">
        <f t="shared" ref="R32:R34" si="8">IF(P$12=0,0,P32/P$12)</f>
        <v>0.37991002013931818</v>
      </c>
      <c r="S32" s="4"/>
      <c r="T32" s="4">
        <f>SUM(OSRRefT16x_0)</f>
        <v>1477516.93</v>
      </c>
      <c r="U32" s="4"/>
      <c r="V32" s="12">
        <f t="shared" ref="V32:V34" si="9">IF(T$12=0,0,T32/T$12)</f>
        <v>0.36249948260078729</v>
      </c>
      <c r="W32" s="4"/>
      <c r="X32" s="4">
        <f t="shared" ref="X32:X34" si="10">+P32-T32</f>
        <v>76009.239999999991</v>
      </c>
      <c r="Y32" s="4"/>
      <c r="Z32" s="12">
        <f t="shared" ref="Z32:Z34" si="11">IF(T32=0,0,X32/T32)</f>
        <v>5.1443904605546549E-2</v>
      </c>
    </row>
    <row r="33" spans="1:26" s="24" customFormat="1" hidden="1" outlineLevel="1" x14ac:dyDescent="0.25">
      <c r="A33" s="44"/>
      <c r="B33" s="11" t="str">
        <f>CONCATENATE("          ", "5053", " - ", "PURCHASES @ COST-FOOD")</f>
        <v xml:space="preserve">          5053 - PURCHASES @ COST-FOOD</v>
      </c>
      <c r="C33" s="11"/>
      <c r="D33" s="2">
        <v>317301.56</v>
      </c>
      <c r="E33" s="2"/>
      <c r="F33" s="19">
        <f t="shared" si="4"/>
        <v>0.36890630642055883</v>
      </c>
      <c r="G33" s="2"/>
      <c r="H33" s="2">
        <v>281976.89</v>
      </c>
      <c r="I33" s="2"/>
      <c r="J33" s="19">
        <f t="shared" si="5"/>
        <v>0.35897220228794291</v>
      </c>
      <c r="K33" s="2"/>
      <c r="L33" s="2">
        <f t="shared" si="6"/>
        <v>35324.669999999984</v>
      </c>
      <c r="M33" s="2"/>
      <c r="N33" s="19">
        <f t="shared" si="7"/>
        <v>0.12527505356910626</v>
      </c>
      <c r="O33" s="11"/>
      <c r="P33" s="2">
        <v>1619543.0699999998</v>
      </c>
      <c r="Q33" s="2"/>
      <c r="R33" s="19">
        <f t="shared" si="8"/>
        <v>0.39605424885774093</v>
      </c>
      <c r="S33" s="2"/>
      <c r="T33" s="2">
        <v>1535587.0999999999</v>
      </c>
      <c r="U33" s="2"/>
      <c r="V33" s="19">
        <f t="shared" si="9"/>
        <v>0.37674663344699777</v>
      </c>
      <c r="W33" s="2"/>
      <c r="X33" s="2">
        <f t="shared" si="10"/>
        <v>83955.969999999972</v>
      </c>
      <c r="Y33" s="2"/>
      <c r="Z33" s="19">
        <f t="shared" si="11"/>
        <v>5.4673531706537506E-2</v>
      </c>
    </row>
    <row r="34" spans="1:26" s="24" customFormat="1" hidden="1" outlineLevel="1" x14ac:dyDescent="0.25">
      <c r="A34" s="44"/>
      <c r="B34" s="11" t="str">
        <f>CONCATENATE("          ", "5059", " - ", "PURCHASES @ COST-FOOD")</f>
        <v xml:space="preserve">          5059 - PURCHASES @ COST-FOOD</v>
      </c>
      <c r="C34" s="11"/>
      <c r="D34" s="2">
        <v>17281.22</v>
      </c>
      <c r="E34" s="2"/>
      <c r="F34" s="19">
        <f t="shared" si="4"/>
        <v>2.0091773392608252E-2</v>
      </c>
      <c r="G34" s="2"/>
      <c r="H34" s="2">
        <v>11673.36</v>
      </c>
      <c r="I34" s="2"/>
      <c r="J34" s="19">
        <f t="shared" si="5"/>
        <v>1.4860833975791354E-2</v>
      </c>
      <c r="K34" s="2"/>
      <c r="L34" s="2">
        <f t="shared" si="6"/>
        <v>5607.8600000000006</v>
      </c>
      <c r="M34" s="2"/>
      <c r="N34" s="19">
        <f t="shared" si="7"/>
        <v>0.48039810303117531</v>
      </c>
      <c r="O34" s="11"/>
      <c r="P34" s="2">
        <v>-66016.899999999994</v>
      </c>
      <c r="Q34" s="2"/>
      <c r="R34" s="19">
        <f t="shared" si="8"/>
        <v>-1.614422871842278E-2</v>
      </c>
      <c r="S34" s="2"/>
      <c r="T34" s="2">
        <v>-58070.17</v>
      </c>
      <c r="U34" s="2"/>
      <c r="V34" s="19">
        <f t="shared" si="9"/>
        <v>-1.4247150846210447E-2</v>
      </c>
      <c r="W34" s="2"/>
      <c r="X34" s="2">
        <f t="shared" si="10"/>
        <v>-7946.7299999999959</v>
      </c>
      <c r="Y34" s="2"/>
      <c r="Z34" s="19">
        <f t="shared" si="11"/>
        <v>0.1368470249010808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9" t="s">
        <v>6</v>
      </c>
      <c r="C36" s="29"/>
      <c r="D36" s="21">
        <f>D12-D32</f>
        <v>525531.44000000006</v>
      </c>
      <c r="E36" s="14"/>
      <c r="F36" s="20">
        <f>IF(D$12=0,0,D36/D$12)</f>
        <v>0.61100192018683286</v>
      </c>
      <c r="G36" s="14"/>
      <c r="H36" s="21">
        <f>H12-H32</f>
        <v>491861.51999999979</v>
      </c>
      <c r="I36" s="14"/>
      <c r="J36" s="20">
        <f>IF(H$12=0,0,H36/H$12)</f>
        <v>0.62616696373626579</v>
      </c>
      <c r="K36" s="15"/>
      <c r="L36" s="21">
        <f>+D36-H36</f>
        <v>33669.920000000275</v>
      </c>
      <c r="M36" s="15"/>
      <c r="N36" s="20">
        <f>IF(H36=0,0,L36/H36)</f>
        <v>6.845406406258471E-2</v>
      </c>
      <c r="O36" s="28"/>
      <c r="P36" s="21">
        <f>P12-P32</f>
        <v>2535668.87</v>
      </c>
      <c r="Q36" s="14"/>
      <c r="R36" s="20">
        <f>IF(P$12=0,0,P36/P$12)</f>
        <v>0.62008997986068182</v>
      </c>
      <c r="S36" s="14"/>
      <c r="T36" s="21">
        <f>T12-T32</f>
        <v>2598397.6599999992</v>
      </c>
      <c r="U36" s="14"/>
      <c r="V36" s="20">
        <f>IF(T$12=0,0,T36/T$12)</f>
        <v>0.63750051739921265</v>
      </c>
      <c r="W36" s="15"/>
      <c r="X36" s="21">
        <f>+P36-T36</f>
        <v>-62728.789999999106</v>
      </c>
      <c r="Y36" s="15"/>
      <c r="Z36" s="20">
        <f>IF(T36=0,0,X36/T36)</f>
        <v>-2.4141335626048525E-2</v>
      </c>
    </row>
    <row r="37" spans="1:26" x14ac:dyDescent="0.25">
      <c r="A37" s="9"/>
      <c r="B37" s="10"/>
      <c r="C37" s="9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7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8" t="s">
        <v>9</v>
      </c>
      <c r="C38" s="10"/>
      <c r="D38" s="22">
        <f>SUM(OSRRefD22x_0)</f>
        <v>565074.01000000059</v>
      </c>
      <c r="E38" s="22"/>
      <c r="F38" s="33">
        <f t="shared" ref="F38:F48" si="12">IF(D$12=0,0,D38/D$12)</f>
        <v>0.65697554680586556</v>
      </c>
      <c r="G38" s="22"/>
      <c r="H38" s="22">
        <f>SUM(OSRRefH22x_0)</f>
        <v>518493.44000000012</v>
      </c>
      <c r="I38" s="22"/>
      <c r="J38" s="33">
        <f t="shared" ref="J38:J48" si="13">IF(H$12=0,0,H38/H$12)</f>
        <v>0.66007087328557823</v>
      </c>
      <c r="K38" s="4"/>
      <c r="L38" s="22">
        <f t="shared" ref="L38:L48" si="14">+D38-H38</f>
        <v>46580.570000000473</v>
      </c>
      <c r="M38" s="4"/>
      <c r="N38" s="33">
        <f t="shared" ref="N38:N48" si="15">IF(H38=0,0,L38/H38)</f>
        <v>8.9838301522195657E-2</v>
      </c>
      <c r="O38" s="10"/>
      <c r="P38" s="22">
        <f>SUM(OSRRefP22x_0)</f>
        <v>2932089.3600000013</v>
      </c>
      <c r="Q38" s="22"/>
      <c r="R38" s="33">
        <f t="shared" ref="R38:R48" si="16">IF(P$12=0,0,P38/P$12)</f>
        <v>0.7170333846438397</v>
      </c>
      <c r="S38" s="22"/>
      <c r="T38" s="22">
        <f>SUM(OSRRefT22x_0)</f>
        <v>2723643.67</v>
      </c>
      <c r="U38" s="22"/>
      <c r="V38" s="33">
        <f t="shared" ref="V38:V48" si="17">IF(T$12=0,0,T38/T$12)</f>
        <v>0.66822883793548782</v>
      </c>
      <c r="W38" s="4"/>
      <c r="X38" s="22">
        <f t="shared" ref="X38:X48" si="18">+P38-T38</f>
        <v>208445.69000000134</v>
      </c>
      <c r="Y38" s="4"/>
      <c r="Z38" s="33">
        <f t="shared" ref="Z38:Z48" si="19">IF(T38=0,0,X38/T38)</f>
        <v>7.6531923869469068E-2</v>
      </c>
    </row>
    <row r="39" spans="1:26" s="25" customFormat="1" outlineLevel="1" collapsed="1" x14ac:dyDescent="0.25">
      <c r="A39" s="27"/>
      <c r="B39" s="13" t="str">
        <f>CONCATENATE("     ","*Benefits                                         ")</f>
        <v xml:space="preserve">     *Benefits                                         </v>
      </c>
      <c r="C39" s="13"/>
      <c r="D39" s="1">
        <f>SUM(OSRRefD22_0x_0)</f>
        <v>78983.090000000011</v>
      </c>
      <c r="E39" s="1"/>
      <c r="F39" s="5">
        <f t="shared" si="12"/>
        <v>9.182860620534794E-2</v>
      </c>
      <c r="G39" s="1"/>
      <c r="H39" s="1">
        <f>SUM(OSRRefH22_0x_0)</f>
        <v>66146.06</v>
      </c>
      <c r="I39" s="1"/>
      <c r="J39" s="5">
        <f t="shared" si="13"/>
        <v>8.4207598824394464E-2</v>
      </c>
      <c r="K39" s="1"/>
      <c r="L39" s="1">
        <f t="shared" si="14"/>
        <v>12837.030000000013</v>
      </c>
      <c r="M39" s="1"/>
      <c r="N39" s="5">
        <f t="shared" si="15"/>
        <v>0.19407096960877207</v>
      </c>
      <c r="O39" s="13"/>
      <c r="P39" s="1">
        <f>SUM(OSRRefP22_0x_0)</f>
        <v>413555.78</v>
      </c>
      <c r="Q39" s="1"/>
      <c r="R39" s="5">
        <f t="shared" si="16"/>
        <v>0.10113378695676008</v>
      </c>
      <c r="S39" s="1"/>
      <c r="T39" s="1">
        <f>SUM(OSRRefT22_0x_0)</f>
        <v>368465.72</v>
      </c>
      <c r="U39" s="1"/>
      <c r="V39" s="5">
        <f t="shared" si="17"/>
        <v>9.0400746105918778E-2</v>
      </c>
      <c r="W39" s="1"/>
      <c r="X39" s="1">
        <f t="shared" si="18"/>
        <v>45090.060000000056</v>
      </c>
      <c r="Y39" s="1"/>
      <c r="Z39" s="5">
        <f t="shared" si="19"/>
        <v>0.12237246927611084</v>
      </c>
    </row>
    <row r="40" spans="1:26" s="24" customFormat="1" hidden="1" outlineLevel="2" x14ac:dyDescent="0.25">
      <c r="A40" s="26"/>
      <c r="B40" s="11" t="str">
        <f>CONCATENATE("          ", "6111", " - ", "F.I.C.A.")</f>
        <v xml:space="preserve">          6111 - F.I.C.A.</v>
      </c>
      <c r="C40" s="11"/>
      <c r="D40" s="6">
        <v>13176.04</v>
      </c>
      <c r="E40" s="2"/>
      <c r="F40" s="7">
        <f t="shared" si="12"/>
        <v>1.5318942174912536E-2</v>
      </c>
      <c r="G40" s="2"/>
      <c r="H40" s="6">
        <v>11616.65</v>
      </c>
      <c r="I40" s="2"/>
      <c r="J40" s="7">
        <f t="shared" si="13"/>
        <v>1.4788639004097931E-2</v>
      </c>
      <c r="K40" s="2"/>
      <c r="L40" s="6">
        <f t="shared" si="14"/>
        <v>1559.3900000000012</v>
      </c>
      <c r="M40" s="2"/>
      <c r="N40" s="7">
        <f t="shared" si="15"/>
        <v>0.13423749531921864</v>
      </c>
      <c r="O40" s="11"/>
      <c r="P40" s="6">
        <v>82019.820000000007</v>
      </c>
      <c r="Q40" s="2"/>
      <c r="R40" s="7">
        <f t="shared" si="16"/>
        <v>2.0057693310710854E-2</v>
      </c>
      <c r="S40" s="2"/>
      <c r="T40" s="6">
        <v>73478.7</v>
      </c>
      <c r="U40" s="2"/>
      <c r="V40" s="7">
        <f t="shared" si="17"/>
        <v>1.8027536735012891E-2</v>
      </c>
      <c r="W40" s="2"/>
      <c r="X40" s="6">
        <f t="shared" si="18"/>
        <v>8541.1200000000099</v>
      </c>
      <c r="Y40" s="2"/>
      <c r="Z40" s="7">
        <f t="shared" si="19"/>
        <v>0.11623939998938482</v>
      </c>
    </row>
    <row r="41" spans="1:26" s="24" customFormat="1" hidden="1" outlineLevel="2" x14ac:dyDescent="0.25">
      <c r="A41" s="26"/>
      <c r="B41" s="11" t="str">
        <f>CONCATENATE("          ", "6112", " - ", "COMPENSATION INSURANCE")</f>
        <v xml:space="preserve">          6112 - COMPENSATION INSURANCE</v>
      </c>
      <c r="C41" s="11"/>
      <c r="D41" s="6">
        <v>10253.219999999999</v>
      </c>
      <c r="E41" s="2"/>
      <c r="F41" s="7">
        <f t="shared" si="12"/>
        <v>1.192076559320226E-2</v>
      </c>
      <c r="G41" s="2"/>
      <c r="H41" s="6">
        <v>8464.7900000000009</v>
      </c>
      <c r="I41" s="2"/>
      <c r="J41" s="7">
        <f t="shared" si="13"/>
        <v>1.0776146613309185E-2</v>
      </c>
      <c r="K41" s="2"/>
      <c r="L41" s="6">
        <f t="shared" si="14"/>
        <v>1788.4299999999985</v>
      </c>
      <c r="M41" s="2"/>
      <c r="N41" s="7">
        <f t="shared" si="15"/>
        <v>0.21127872044079041</v>
      </c>
      <c r="O41" s="11"/>
      <c r="P41" s="6">
        <v>31238.53</v>
      </c>
      <c r="Q41" s="2"/>
      <c r="R41" s="7">
        <f t="shared" si="16"/>
        <v>7.6392858972068002E-3</v>
      </c>
      <c r="S41" s="2"/>
      <c r="T41" s="6">
        <v>40375.47</v>
      </c>
      <c r="U41" s="2"/>
      <c r="V41" s="7">
        <f t="shared" si="17"/>
        <v>9.9058675319298115E-3</v>
      </c>
      <c r="W41" s="2"/>
      <c r="X41" s="6">
        <f t="shared" si="18"/>
        <v>-9136.9400000000023</v>
      </c>
      <c r="Y41" s="2"/>
      <c r="Z41" s="7">
        <f t="shared" si="19"/>
        <v>-0.2262992851847917</v>
      </c>
    </row>
    <row r="42" spans="1:26" s="24" customFormat="1" hidden="1" outlineLevel="2" x14ac:dyDescent="0.25">
      <c r="A42" s="26"/>
      <c r="B42" s="11" t="str">
        <f>CONCATENATE("          ", "6113", " - ", "GROUP INSURANCE")</f>
        <v xml:space="preserve">          6113 - GROUP INSURANCE</v>
      </c>
      <c r="C42" s="11"/>
      <c r="D42" s="6">
        <v>29592.670000000002</v>
      </c>
      <c r="E42" s="2"/>
      <c r="F42" s="7">
        <f t="shared" si="12"/>
        <v>3.4405511863296483E-2</v>
      </c>
      <c r="G42" s="2"/>
      <c r="H42" s="6">
        <v>30229.79</v>
      </c>
      <c r="I42" s="2"/>
      <c r="J42" s="7">
        <f t="shared" si="13"/>
        <v>3.8484197378735659E-2</v>
      </c>
      <c r="K42" s="2"/>
      <c r="L42" s="6">
        <f t="shared" si="14"/>
        <v>-637.11999999999898</v>
      </c>
      <c r="M42" s="2"/>
      <c r="N42" s="7">
        <f t="shared" si="15"/>
        <v>-2.107589897250358E-2</v>
      </c>
      <c r="O42" s="11"/>
      <c r="P42" s="6">
        <v>138134.1</v>
      </c>
      <c r="Q42" s="2"/>
      <c r="R42" s="7">
        <f t="shared" si="16"/>
        <v>3.3780266934883105E-2</v>
      </c>
      <c r="S42" s="2"/>
      <c r="T42" s="6">
        <v>130825.58</v>
      </c>
      <c r="U42" s="2"/>
      <c r="V42" s="7">
        <f t="shared" si="17"/>
        <v>3.2097232930486899E-2</v>
      </c>
      <c r="W42" s="2"/>
      <c r="X42" s="6">
        <f t="shared" si="18"/>
        <v>7308.5200000000041</v>
      </c>
      <c r="Y42" s="2"/>
      <c r="Z42" s="7">
        <f t="shared" si="19"/>
        <v>5.5864609963892413E-2</v>
      </c>
    </row>
    <row r="43" spans="1:26" s="24" customFormat="1" hidden="1" outlineLevel="2" x14ac:dyDescent="0.25">
      <c r="A43" s="26"/>
      <c r="B43" s="11" t="str">
        <f>CONCATENATE("          ", "6114", " - ", "STATE UNEMPLOYMENT INSURANCE")</f>
        <v xml:space="preserve">          6114 - STATE UNEMPLOYMENT INSURANCE</v>
      </c>
      <c r="C43" s="11"/>
      <c r="D43" s="6">
        <v>809.34</v>
      </c>
      <c r="E43" s="2"/>
      <c r="F43" s="7">
        <f t="shared" si="12"/>
        <v>9.4096804956904443E-4</v>
      </c>
      <c r="G43" s="2"/>
      <c r="H43" s="6">
        <v>734.69</v>
      </c>
      <c r="I43" s="2"/>
      <c r="J43" s="7">
        <f t="shared" si="13"/>
        <v>9.3530107130030684E-4</v>
      </c>
      <c r="K43" s="2"/>
      <c r="L43" s="6">
        <f t="shared" si="14"/>
        <v>74.649999999999977</v>
      </c>
      <c r="M43" s="2"/>
      <c r="N43" s="7">
        <f t="shared" si="15"/>
        <v>0.10160748070614813</v>
      </c>
      <c r="O43" s="11"/>
      <c r="P43" s="6">
        <v>3591.65</v>
      </c>
      <c r="Q43" s="2"/>
      <c r="R43" s="7">
        <f t="shared" si="16"/>
        <v>8.783268992715985E-4</v>
      </c>
      <c r="S43" s="2"/>
      <c r="T43" s="6">
        <v>3505.23</v>
      </c>
      <c r="U43" s="2"/>
      <c r="V43" s="7">
        <f t="shared" si="17"/>
        <v>8.5998612645119248E-4</v>
      </c>
      <c r="W43" s="2"/>
      <c r="X43" s="6">
        <f t="shared" si="18"/>
        <v>86.420000000000073</v>
      </c>
      <c r="Y43" s="2"/>
      <c r="Z43" s="7">
        <f t="shared" si="19"/>
        <v>2.4654587573426017E-2</v>
      </c>
    </row>
    <row r="44" spans="1:26" s="24" customFormat="1" hidden="1" outlineLevel="2" x14ac:dyDescent="0.25">
      <c r="A44" s="26"/>
      <c r="B44" s="11" t="str">
        <f>CONCATENATE("          ", "6115", " - ", "P.E.R.S.")</f>
        <v xml:space="preserve">          6115 - P.E.R.S.</v>
      </c>
      <c r="C44" s="11"/>
      <c r="D44" s="6">
        <v>8260.7800000000007</v>
      </c>
      <c r="E44" s="2"/>
      <c r="F44" s="7">
        <f t="shared" si="12"/>
        <v>9.6042825567980959E-3</v>
      </c>
      <c r="G44" s="2"/>
      <c r="H44" s="6">
        <v>7626.54</v>
      </c>
      <c r="I44" s="2"/>
      <c r="J44" s="7">
        <f t="shared" si="13"/>
        <v>9.7090079248589763E-3</v>
      </c>
      <c r="K44" s="2"/>
      <c r="L44" s="6">
        <f t="shared" si="14"/>
        <v>634.24000000000069</v>
      </c>
      <c r="M44" s="2"/>
      <c r="N44" s="7">
        <f t="shared" si="15"/>
        <v>8.3162220351561872E-2</v>
      </c>
      <c r="O44" s="11"/>
      <c r="P44" s="6">
        <v>43833.88</v>
      </c>
      <c r="Q44" s="2"/>
      <c r="R44" s="7">
        <f t="shared" si="16"/>
        <v>1.0719439784902017E-2</v>
      </c>
      <c r="S44" s="2"/>
      <c r="T44" s="6">
        <v>44231.38</v>
      </c>
      <c r="U44" s="2"/>
      <c r="V44" s="7">
        <f t="shared" si="17"/>
        <v>1.0851890789988316E-2</v>
      </c>
      <c r="W44" s="2"/>
      <c r="X44" s="6">
        <f t="shared" si="18"/>
        <v>-397.5</v>
      </c>
      <c r="Y44" s="2"/>
      <c r="Z44" s="7">
        <f t="shared" si="19"/>
        <v>-8.9868324253052929E-3</v>
      </c>
    </row>
    <row r="45" spans="1:26" s="24" customFormat="1" hidden="1" outlineLevel="2" x14ac:dyDescent="0.25">
      <c r="A45" s="26"/>
      <c r="B45" s="11" t="str">
        <f>CONCATENATE("          ", "6117", " - ", "RETIREMENT STAFF HOURLY")</f>
        <v xml:space="preserve">          6117 - RETIREMENT STAFF HOURLY</v>
      </c>
      <c r="C45" s="11"/>
      <c r="D45" s="6">
        <v>56</v>
      </c>
      <c r="E45" s="2"/>
      <c r="F45" s="7">
        <f t="shared" si="12"/>
        <v>6.5107631867776809E-5</v>
      </c>
      <c r="G45" s="2"/>
      <c r="H45" s="6">
        <v>56</v>
      </c>
      <c r="I45" s="2"/>
      <c r="J45" s="7">
        <f t="shared" si="13"/>
        <v>7.1291102359930284E-5</v>
      </c>
      <c r="K45" s="2"/>
      <c r="L45" s="6">
        <f t="shared" si="14"/>
        <v>0</v>
      </c>
      <c r="M45" s="2"/>
      <c r="N45" s="7">
        <f t="shared" si="15"/>
        <v>0</v>
      </c>
      <c r="O45" s="11"/>
      <c r="P45" s="6">
        <v>308</v>
      </c>
      <c r="Q45" s="2"/>
      <c r="R45" s="7">
        <f t="shared" si="16"/>
        <v>7.532044741989122E-5</v>
      </c>
      <c r="S45" s="2"/>
      <c r="T45" s="6">
        <v>308</v>
      </c>
      <c r="U45" s="2"/>
      <c r="V45" s="7">
        <f t="shared" si="17"/>
        <v>7.5565862139422325E-5</v>
      </c>
      <c r="W45" s="2"/>
      <c r="X45" s="6">
        <f t="shared" si="18"/>
        <v>0</v>
      </c>
      <c r="Y45" s="2"/>
      <c r="Z45" s="7">
        <f t="shared" si="19"/>
        <v>0</v>
      </c>
    </row>
    <row r="46" spans="1:26" s="24" customFormat="1" hidden="1" outlineLevel="2" x14ac:dyDescent="0.25">
      <c r="A46" s="26"/>
      <c r="B46" s="11" t="str">
        <f>CONCATENATE("          ", "6118", " - ", "VACATION")</f>
        <v xml:space="preserve">          6118 - VACATION</v>
      </c>
      <c r="C46" s="11"/>
      <c r="D46" s="6">
        <v>7994.02</v>
      </c>
      <c r="E46" s="2"/>
      <c r="F46" s="7">
        <f t="shared" si="12"/>
        <v>9.2941377018508076E-3</v>
      </c>
      <c r="G46" s="2"/>
      <c r="H46" s="6">
        <v>6063.24</v>
      </c>
      <c r="I46" s="2"/>
      <c r="J46" s="7">
        <f t="shared" si="13"/>
        <v>7.7188404191575657E-3</v>
      </c>
      <c r="K46" s="2"/>
      <c r="L46" s="6">
        <f t="shared" si="14"/>
        <v>1930.7800000000007</v>
      </c>
      <c r="M46" s="2"/>
      <c r="N46" s="7">
        <f t="shared" si="15"/>
        <v>0.3184403058430807</v>
      </c>
      <c r="O46" s="11"/>
      <c r="P46" s="6">
        <v>45801.16</v>
      </c>
      <c r="Q46" s="2"/>
      <c r="R46" s="7">
        <f t="shared" si="16"/>
        <v>1.120053202451307E-2</v>
      </c>
      <c r="S46" s="2"/>
      <c r="T46" s="6">
        <v>36822.94</v>
      </c>
      <c r="U46" s="2"/>
      <c r="V46" s="7">
        <f t="shared" si="17"/>
        <v>9.0342766480786367E-3</v>
      </c>
      <c r="W46" s="2"/>
      <c r="X46" s="6">
        <f t="shared" si="18"/>
        <v>8978.2200000000012</v>
      </c>
      <c r="Y46" s="2"/>
      <c r="Z46" s="7">
        <f t="shared" si="19"/>
        <v>0.24382137873836257</v>
      </c>
    </row>
    <row r="47" spans="1:26" s="24" customFormat="1" hidden="1" outlineLevel="2" x14ac:dyDescent="0.25">
      <c r="A47" s="26"/>
      <c r="B47" s="11" t="str">
        <f>CONCATENATE("          ", "6119", " - ", "SICK LEAVE")</f>
        <v xml:space="preserve">          6119 - SICK LEAVE</v>
      </c>
      <c r="C47" s="11"/>
      <c r="D47" s="6">
        <v>5490.24</v>
      </c>
      <c r="E47" s="2"/>
      <c r="F47" s="7">
        <f t="shared" si="12"/>
        <v>6.3831522283168381E-3</v>
      </c>
      <c r="G47" s="2"/>
      <c r="H47" s="6">
        <v>-2034.12</v>
      </c>
      <c r="I47" s="2"/>
      <c r="J47" s="7">
        <f t="shared" si="13"/>
        <v>-2.5895474487925246E-3</v>
      </c>
      <c r="K47" s="2"/>
      <c r="L47" s="6">
        <f t="shared" si="14"/>
        <v>7524.36</v>
      </c>
      <c r="M47" s="2"/>
      <c r="N47" s="7">
        <f t="shared" si="15"/>
        <v>-3.6990738009556958</v>
      </c>
      <c r="O47" s="11"/>
      <c r="P47" s="6">
        <v>52653.2</v>
      </c>
      <c r="Q47" s="2"/>
      <c r="R47" s="7">
        <f t="shared" si="16"/>
        <v>1.2876177214574729E-2</v>
      </c>
      <c r="S47" s="2"/>
      <c r="T47" s="6">
        <v>22262.04</v>
      </c>
      <c r="U47" s="2"/>
      <c r="V47" s="7">
        <f t="shared" si="17"/>
        <v>5.4618514466957969E-3</v>
      </c>
      <c r="W47" s="2"/>
      <c r="X47" s="6">
        <f t="shared" si="18"/>
        <v>30391.159999999996</v>
      </c>
      <c r="Y47" s="2"/>
      <c r="Z47" s="7">
        <f t="shared" si="19"/>
        <v>1.3651561132762313</v>
      </c>
    </row>
    <row r="48" spans="1:26" s="24" customFormat="1" hidden="1" outlineLevel="2" x14ac:dyDescent="0.25">
      <c r="A48" s="26"/>
      <c r="B48" s="11" t="str">
        <f>CONCATENATE("          ", "6156", " - ", "EMPLOYEE MEALS")</f>
        <v xml:space="preserve">          6156 - EMPLOYEE MEALS</v>
      </c>
      <c r="C48" s="11"/>
      <c r="D48" s="6">
        <v>3350.78</v>
      </c>
      <c r="E48" s="2"/>
      <c r="F48" s="7">
        <f t="shared" si="12"/>
        <v>3.8957384055340926E-3</v>
      </c>
      <c r="G48" s="2"/>
      <c r="H48" s="6">
        <v>3388.48</v>
      </c>
      <c r="I48" s="2"/>
      <c r="J48" s="7">
        <f t="shared" si="13"/>
        <v>4.3137227593674386E-3</v>
      </c>
      <c r="K48" s="2"/>
      <c r="L48" s="6">
        <f t="shared" si="14"/>
        <v>-37.699999999999818</v>
      </c>
      <c r="M48" s="2"/>
      <c r="N48" s="7">
        <f t="shared" si="15"/>
        <v>-1.1125932571536446E-2</v>
      </c>
      <c r="O48" s="11"/>
      <c r="P48" s="6">
        <v>15975.44</v>
      </c>
      <c r="Q48" s="2"/>
      <c r="R48" s="7">
        <f t="shared" si="16"/>
        <v>3.90674444327801E-3</v>
      </c>
      <c r="S48" s="2"/>
      <c r="T48" s="6">
        <v>16656.38</v>
      </c>
      <c r="U48" s="2"/>
      <c r="V48" s="7">
        <f t="shared" si="17"/>
        <v>4.0865380351358159E-3</v>
      </c>
      <c r="W48" s="2"/>
      <c r="X48" s="6">
        <f t="shared" si="18"/>
        <v>-680.94000000000051</v>
      </c>
      <c r="Y48" s="2"/>
      <c r="Z48" s="7">
        <f t="shared" si="19"/>
        <v>-4.0881632143358909E-2</v>
      </c>
    </row>
    <row r="49" spans="1:26" s="25" customFormat="1" outlineLevel="1" collapsed="1" x14ac:dyDescent="0.25">
      <c r="A49" s="27"/>
      <c r="B49" s="13" t="str">
        <f>CONCATENATE("     ","*Payroll                                          ")</f>
        <v xml:space="preserve">     *Payroll                                          </v>
      </c>
      <c r="C49" s="13"/>
      <c r="D49" s="1">
        <f>SUM(OSRRefD22_1x_0)</f>
        <v>267013.11</v>
      </c>
      <c r="E49" s="1"/>
      <c r="F49" s="5">
        <f t="shared" ref="F49:F56" si="20">IF(D$12=0,0,D49/D$12)</f>
        <v>0.31043912981696775</v>
      </c>
      <c r="G49" s="1"/>
      <c r="H49" s="1">
        <f>SUM(OSRRefH22_1x_0)</f>
        <v>239404.09000000003</v>
      </c>
      <c r="I49" s="1"/>
      <c r="J49" s="5">
        <f t="shared" ref="J49:J56" si="21">IF(H$12=0,0,H49/H$12)</f>
        <v>0.30477466938528508</v>
      </c>
      <c r="K49" s="1"/>
      <c r="L49" s="1">
        <f t="shared" ref="L49:L56" si="22">+D49-H49</f>
        <v>27609.01999999996</v>
      </c>
      <c r="M49" s="1"/>
      <c r="N49" s="5">
        <f t="shared" ref="N49:N56" si="23">IF(H49=0,0,L49/H49)</f>
        <v>0.11532392784099869</v>
      </c>
      <c r="O49" s="13"/>
      <c r="P49" s="1">
        <f>SUM(OSRRefP22_1x_0)</f>
        <v>1376030.42</v>
      </c>
      <c r="Q49" s="1"/>
      <c r="R49" s="5">
        <f t="shared" ref="R49:R56" si="24">IF(P$12=0,0,P49/P$12)</f>
        <v>0.33650398343435334</v>
      </c>
      <c r="S49" s="1"/>
      <c r="T49" s="1">
        <f>SUM(OSRRefT22_1x_0)</f>
        <v>1259560.46</v>
      </c>
      <c r="U49" s="1"/>
      <c r="V49" s="5">
        <f t="shared" ref="V49:V56" si="25">IF(T$12=0,0,T49/T$12)</f>
        <v>0.30902523401502391</v>
      </c>
      <c r="W49" s="1"/>
      <c r="X49" s="1">
        <f t="shared" ref="X49:X56" si="26">+P49-T49</f>
        <v>116469.95999999996</v>
      </c>
      <c r="Y49" s="1"/>
      <c r="Z49" s="5">
        <f t="shared" ref="Z49:Z56" si="27">IF(T49=0,0,X49/T49)</f>
        <v>9.2468733100751641E-2</v>
      </c>
    </row>
    <row r="50" spans="1:26" s="24" customFormat="1" hidden="1" outlineLevel="2" x14ac:dyDescent="0.25">
      <c r="A50" s="26"/>
      <c r="B50" s="11" t="str">
        <f>CONCATENATE("          ", "6001", " - ", "ADMINISTRATIVE SALARIES")</f>
        <v xml:space="preserve">          6001 - ADMINISTRATIVE SALARIES</v>
      </c>
      <c r="C50" s="11"/>
      <c r="D50" s="6">
        <v>16486.030000000002</v>
      </c>
      <c r="E50" s="2"/>
      <c r="F50" s="7">
        <f t="shared" si="20"/>
        <v>1.9167256646448656E-2</v>
      </c>
      <c r="G50" s="2"/>
      <c r="H50" s="6">
        <v>15267.14</v>
      </c>
      <c r="I50" s="2"/>
      <c r="J50" s="7">
        <f t="shared" si="21"/>
        <v>1.9435915008631892E-2</v>
      </c>
      <c r="K50" s="2"/>
      <c r="L50" s="6">
        <f t="shared" si="22"/>
        <v>1218.8900000000031</v>
      </c>
      <c r="M50" s="2"/>
      <c r="N50" s="7">
        <f t="shared" si="23"/>
        <v>7.983748102133098E-2</v>
      </c>
      <c r="O50" s="11"/>
      <c r="P50" s="6">
        <v>86742.09</v>
      </c>
      <c r="Q50" s="2"/>
      <c r="R50" s="7">
        <f t="shared" si="24"/>
        <v>2.1212509834209324E-2</v>
      </c>
      <c r="S50" s="2"/>
      <c r="T50" s="6">
        <v>81486.200000000012</v>
      </c>
      <c r="U50" s="2"/>
      <c r="V50" s="7">
        <f t="shared" si="25"/>
        <v>1.9992126478783751E-2</v>
      </c>
      <c r="W50" s="2"/>
      <c r="X50" s="6">
        <f t="shared" si="26"/>
        <v>5255.8899999999849</v>
      </c>
      <c r="Y50" s="2"/>
      <c r="Z50" s="7">
        <f t="shared" si="27"/>
        <v>6.4500369387699805E-2</v>
      </c>
    </row>
    <row r="51" spans="1:26" s="24" customFormat="1" hidden="1" outlineLevel="2" x14ac:dyDescent="0.25">
      <c r="A51" s="26"/>
      <c r="B51" s="11" t="str">
        <f>CONCATENATE("          ", "6002", " - ", "STAFF SALARIES")</f>
        <v xml:space="preserve">          6002 - STAFF SALARIES</v>
      </c>
      <c r="C51" s="11"/>
      <c r="D51" s="6">
        <v>75475.849999999991</v>
      </c>
      <c r="E51" s="2"/>
      <c r="F51" s="7">
        <f t="shared" si="20"/>
        <v>8.7750961726920387E-2</v>
      </c>
      <c r="G51" s="2"/>
      <c r="H51" s="6">
        <v>71553.430000000008</v>
      </c>
      <c r="I51" s="2"/>
      <c r="J51" s="7">
        <f t="shared" si="21"/>
        <v>9.1091480398823338E-2</v>
      </c>
      <c r="K51" s="2"/>
      <c r="L51" s="6">
        <f t="shared" si="22"/>
        <v>3922.4199999999837</v>
      </c>
      <c r="M51" s="2"/>
      <c r="N51" s="7">
        <f t="shared" si="23"/>
        <v>5.4818056940107322E-2</v>
      </c>
      <c r="O51" s="11"/>
      <c r="P51" s="6">
        <v>387032.91000000003</v>
      </c>
      <c r="Q51" s="2"/>
      <c r="R51" s="7">
        <f t="shared" si="24"/>
        <v>9.4647701127995115E-2</v>
      </c>
      <c r="S51" s="2"/>
      <c r="T51" s="6">
        <v>367694.69</v>
      </c>
      <c r="U51" s="2"/>
      <c r="V51" s="7">
        <f t="shared" si="25"/>
        <v>9.0211578746550738E-2</v>
      </c>
      <c r="W51" s="2"/>
      <c r="X51" s="6">
        <f t="shared" si="26"/>
        <v>19338.22000000003</v>
      </c>
      <c r="Y51" s="2"/>
      <c r="Z51" s="7">
        <f t="shared" si="27"/>
        <v>5.2593144600483706E-2</v>
      </c>
    </row>
    <row r="52" spans="1:26" s="24" customFormat="1" hidden="1" outlineLevel="2" x14ac:dyDescent="0.25">
      <c r="A52" s="26"/>
      <c r="B52" s="11" t="str">
        <f>CONCATENATE("          ", "6004", " - ", "STAFF HOURLY")</f>
        <v xml:space="preserve">          6004 - STAFF HOURLY</v>
      </c>
      <c r="C52" s="11"/>
      <c r="D52" s="6">
        <v>20555.48</v>
      </c>
      <c r="E52" s="2"/>
      <c r="F52" s="7">
        <f t="shared" si="20"/>
        <v>2.3898546869740158E-2</v>
      </c>
      <c r="G52" s="2"/>
      <c r="H52" s="6">
        <v>14946.56</v>
      </c>
      <c r="I52" s="2"/>
      <c r="J52" s="7">
        <f t="shared" si="21"/>
        <v>1.9027798908729278E-2</v>
      </c>
      <c r="K52" s="2"/>
      <c r="L52" s="6">
        <f t="shared" si="22"/>
        <v>5608.92</v>
      </c>
      <c r="M52" s="2"/>
      <c r="N52" s="7">
        <f t="shared" si="23"/>
        <v>0.37526494390682541</v>
      </c>
      <c r="O52" s="11"/>
      <c r="P52" s="6">
        <v>103645.39</v>
      </c>
      <c r="Q52" s="2"/>
      <c r="R52" s="7">
        <f t="shared" si="24"/>
        <v>2.5346159570808831E-2</v>
      </c>
      <c r="S52" s="2"/>
      <c r="T52" s="6">
        <v>71222.95</v>
      </c>
      <c r="U52" s="2"/>
      <c r="V52" s="7">
        <f t="shared" si="25"/>
        <v>1.7474102665139508E-2</v>
      </c>
      <c r="W52" s="2"/>
      <c r="X52" s="6">
        <f t="shared" si="26"/>
        <v>32422.440000000002</v>
      </c>
      <c r="Y52" s="2"/>
      <c r="Z52" s="7">
        <f t="shared" si="27"/>
        <v>0.45522461509948692</v>
      </c>
    </row>
    <row r="53" spans="1:26" s="24" customFormat="1" hidden="1" outlineLevel="2" x14ac:dyDescent="0.25">
      <c r="A53" s="26"/>
      <c r="B53" s="11" t="str">
        <f>CONCATENATE("          ", "6005", " - ", "TEMPORARY WAGES-HOURLY")</f>
        <v xml:space="preserve">          6005 - TEMPORARY WAGES-HOURLY</v>
      </c>
      <c r="C53" s="11"/>
      <c r="D53" s="6">
        <v>51530.409999999996</v>
      </c>
      <c r="E53" s="2"/>
      <c r="F53" s="7">
        <f t="shared" si="20"/>
        <v>5.9911124362064368E-2</v>
      </c>
      <c r="G53" s="2"/>
      <c r="H53" s="6">
        <v>36535.120000000003</v>
      </c>
      <c r="I53" s="2"/>
      <c r="J53" s="7">
        <f t="shared" si="21"/>
        <v>4.6511231779506008E-2</v>
      </c>
      <c r="K53" s="2"/>
      <c r="L53" s="6">
        <f t="shared" si="22"/>
        <v>14995.289999999994</v>
      </c>
      <c r="M53" s="2"/>
      <c r="N53" s="7">
        <f t="shared" si="23"/>
        <v>0.41043494588220847</v>
      </c>
      <c r="O53" s="11"/>
      <c r="P53" s="6">
        <v>269178.27999999997</v>
      </c>
      <c r="Q53" s="2"/>
      <c r="R53" s="7">
        <f t="shared" si="24"/>
        <v>6.5826715861418042E-2</v>
      </c>
      <c r="S53" s="2"/>
      <c r="T53" s="6">
        <v>217520.75</v>
      </c>
      <c r="U53" s="2"/>
      <c r="V53" s="7">
        <f t="shared" si="25"/>
        <v>5.3367347425206969E-2</v>
      </c>
      <c r="W53" s="2"/>
      <c r="X53" s="6">
        <f t="shared" si="26"/>
        <v>51657.52999999997</v>
      </c>
      <c r="Y53" s="2"/>
      <c r="Z53" s="7">
        <f t="shared" si="27"/>
        <v>0.23748322861152313</v>
      </c>
    </row>
    <row r="54" spans="1:26" s="24" customFormat="1" hidden="1" outlineLevel="2" x14ac:dyDescent="0.25">
      <c r="A54" s="26"/>
      <c r="B54" s="11" t="str">
        <f>CONCATENATE("          ", "6006", " - ", "TEMPORARY PART TIME")</f>
        <v xml:space="preserve">          6006 - TEMPORARY PART TIME</v>
      </c>
      <c r="C54" s="11"/>
      <c r="D54" s="6">
        <v>2403.23</v>
      </c>
      <c r="E54" s="2"/>
      <c r="F54" s="7">
        <f t="shared" si="20"/>
        <v>2.7940823952428083E-3</v>
      </c>
      <c r="G54" s="2"/>
      <c r="H54" s="6">
        <v>4948.3</v>
      </c>
      <c r="I54" s="2"/>
      <c r="J54" s="7">
        <f t="shared" si="21"/>
        <v>6.2994600322793404E-3</v>
      </c>
      <c r="K54" s="2"/>
      <c r="L54" s="6">
        <f t="shared" si="22"/>
        <v>-2545.0700000000002</v>
      </c>
      <c r="M54" s="2"/>
      <c r="N54" s="7">
        <f t="shared" si="23"/>
        <v>-0.51433219489521653</v>
      </c>
      <c r="O54" s="11"/>
      <c r="P54" s="6">
        <v>18555.2</v>
      </c>
      <c r="Q54" s="2"/>
      <c r="R54" s="7">
        <f t="shared" si="24"/>
        <v>4.5376167726154729E-3</v>
      </c>
      <c r="S54" s="2"/>
      <c r="T54" s="6">
        <v>22624.489999999998</v>
      </c>
      <c r="U54" s="2"/>
      <c r="V54" s="7">
        <f t="shared" si="25"/>
        <v>5.5507762737491513E-3</v>
      </c>
      <c r="W54" s="2"/>
      <c r="X54" s="6">
        <f t="shared" si="26"/>
        <v>-4069.2899999999972</v>
      </c>
      <c r="Y54" s="2"/>
      <c r="Z54" s="7">
        <f t="shared" si="27"/>
        <v>-0.17986217589877154</v>
      </c>
    </row>
    <row r="55" spans="1:26" s="24" customFormat="1" hidden="1" outlineLevel="2" x14ac:dyDescent="0.25">
      <c r="A55" s="26"/>
      <c r="B55" s="11" t="str">
        <f>CONCATENATE("          ", "6007", " - ", "STUDENT HOURLY")</f>
        <v xml:space="preserve">          6007 - STUDENT HOURLY</v>
      </c>
      <c r="C55" s="11"/>
      <c r="D55" s="6">
        <v>95881.82</v>
      </c>
      <c r="E55" s="2"/>
      <c r="F55" s="7">
        <f t="shared" si="20"/>
        <v>0.11147568284593644</v>
      </c>
      <c r="G55" s="2"/>
      <c r="H55" s="6">
        <v>87967.900000000009</v>
      </c>
      <c r="I55" s="2"/>
      <c r="J55" s="7">
        <f t="shared" si="21"/>
        <v>0.11198801005871628</v>
      </c>
      <c r="K55" s="2"/>
      <c r="L55" s="6">
        <f t="shared" si="22"/>
        <v>7913.9199999999983</v>
      </c>
      <c r="M55" s="2"/>
      <c r="N55" s="7">
        <f t="shared" si="23"/>
        <v>8.9963725404380426E-2</v>
      </c>
      <c r="O55" s="11"/>
      <c r="P55" s="6">
        <v>485001.50000000006</v>
      </c>
      <c r="Q55" s="2"/>
      <c r="R55" s="7">
        <f t="shared" si="24"/>
        <v>0.11860561681596876</v>
      </c>
      <c r="S55" s="2"/>
      <c r="T55" s="6">
        <v>455698.86</v>
      </c>
      <c r="U55" s="2"/>
      <c r="V55" s="7">
        <f t="shared" si="25"/>
        <v>0.11180284815536334</v>
      </c>
      <c r="W55" s="2"/>
      <c r="X55" s="6">
        <f t="shared" si="26"/>
        <v>29302.640000000072</v>
      </c>
      <c r="Y55" s="2"/>
      <c r="Z55" s="7">
        <f t="shared" si="27"/>
        <v>6.4302640563990154E-2</v>
      </c>
    </row>
    <row r="56" spans="1:26" s="24" customFormat="1" hidden="1" outlineLevel="2" x14ac:dyDescent="0.25">
      <c r="A56" s="26"/>
      <c r="B56" s="11" t="str">
        <f>CONCATENATE("          ", "6008", " - ", "STUDENT HOURLY-FICA EXEMPT")</f>
        <v xml:space="preserve">          6008 - STUDENT HOURLY-FICA EXEMPT</v>
      </c>
      <c r="C56" s="11"/>
      <c r="D56" s="6">
        <v>4680.29</v>
      </c>
      <c r="E56" s="2"/>
      <c r="F56" s="7">
        <f t="shared" si="20"/>
        <v>5.4414749706149486E-3</v>
      </c>
      <c r="G56" s="2"/>
      <c r="H56" s="6">
        <v>8185.64</v>
      </c>
      <c r="I56" s="2"/>
      <c r="J56" s="7">
        <f t="shared" si="21"/>
        <v>1.0420773198598925E-2</v>
      </c>
      <c r="K56" s="2"/>
      <c r="L56" s="6">
        <f t="shared" si="22"/>
        <v>-3505.3500000000004</v>
      </c>
      <c r="M56" s="2"/>
      <c r="N56" s="7">
        <f t="shared" si="23"/>
        <v>-0.42823163491187011</v>
      </c>
      <c r="O56" s="11"/>
      <c r="P56" s="6">
        <v>25875.05</v>
      </c>
      <c r="Q56" s="2"/>
      <c r="R56" s="7">
        <f t="shared" si="24"/>
        <v>6.3276634513378454E-3</v>
      </c>
      <c r="S56" s="2"/>
      <c r="T56" s="6">
        <v>43312.52</v>
      </c>
      <c r="U56" s="2"/>
      <c r="V56" s="7">
        <f t="shared" si="25"/>
        <v>1.0626454270230427E-2</v>
      </c>
      <c r="W56" s="2"/>
      <c r="X56" s="6">
        <f t="shared" si="26"/>
        <v>-17437.469999999998</v>
      </c>
      <c r="Y56" s="2"/>
      <c r="Z56" s="7">
        <f t="shared" si="27"/>
        <v>-0.40259652405355306</v>
      </c>
    </row>
    <row r="57" spans="1:26" s="25" customFormat="1" outlineLevel="1" collapsed="1" x14ac:dyDescent="0.25">
      <c r="A57" s="27"/>
      <c r="B57" s="13" t="str">
        <f>CONCATENATE("     ","Advertising/Promo                                 ")</f>
        <v xml:space="preserve">     Advertising/Promo                                 </v>
      </c>
      <c r="C57" s="13"/>
      <c r="D57" s="1">
        <f>SUM(OSRRefD22_2x_0)</f>
        <v>5029.05</v>
      </c>
      <c r="E57" s="1"/>
      <c r="F57" s="5">
        <f t="shared" ref="F57:F66" si="28">IF(D$12=0,0,D57/D$12)</f>
        <v>5.846956000797196E-3</v>
      </c>
      <c r="G57" s="1"/>
      <c r="H57" s="1">
        <f>SUM(OSRRefH22_2x_0)</f>
        <v>1929.88</v>
      </c>
      <c r="I57" s="1"/>
      <c r="J57" s="5">
        <f t="shared" ref="J57:J66" si="29">IF(H$12=0,0,H57/H$12)</f>
        <v>2.456844153971112E-3</v>
      </c>
      <c r="K57" s="1"/>
      <c r="L57" s="1">
        <f t="shared" ref="L57:L66" si="30">+D57-H57</f>
        <v>3099.17</v>
      </c>
      <c r="M57" s="1"/>
      <c r="N57" s="5">
        <f t="shared" ref="N57:N66" si="31">IF(H57=0,0,L57/H57)</f>
        <v>1.6058874126888718</v>
      </c>
      <c r="O57" s="13"/>
      <c r="P57" s="1">
        <f>SUM(OSRRefP22_2x_0)</f>
        <v>18751.099999999999</v>
      </c>
      <c r="Q57" s="1"/>
      <c r="R57" s="5">
        <f t="shared" ref="R57:R66" si="32">IF(P$12=0,0,P57/P$12)</f>
        <v>4.5855235117374096E-3</v>
      </c>
      <c r="S57" s="1"/>
      <c r="T57" s="1">
        <f>SUM(OSRRefT22_2x_0)</f>
        <v>13401.55</v>
      </c>
      <c r="U57" s="1"/>
      <c r="V57" s="5">
        <f t="shared" ref="V57:V66" si="33">IF(T$12=0,0,T57/T$12)</f>
        <v>3.2879859732291399E-3</v>
      </c>
      <c r="W57" s="1"/>
      <c r="X57" s="1">
        <f t="shared" ref="X57:X66" si="34">+P57-T57</f>
        <v>5349.5499999999993</v>
      </c>
      <c r="Y57" s="1"/>
      <c r="Z57" s="5">
        <f t="shared" ref="Z57:Z66" si="35">IF(T57=0,0,X57/T57)</f>
        <v>0.39917397614455041</v>
      </c>
    </row>
    <row r="58" spans="1:26" s="24" customFormat="1" hidden="1" outlineLevel="2" x14ac:dyDescent="0.25">
      <c r="A58" s="26"/>
      <c r="B58" s="11" t="str">
        <f>CONCATENATE("          ", "6362", " - ", "ADVERTISING EXPENSE")</f>
        <v xml:space="preserve">          6362 - ADVERTISING EXPENSE</v>
      </c>
      <c r="C58" s="11"/>
      <c r="D58" s="6">
        <v>5029.05</v>
      </c>
      <c r="E58" s="2"/>
      <c r="F58" s="7">
        <f t="shared" si="28"/>
        <v>5.846956000797196E-3</v>
      </c>
      <c r="G58" s="2"/>
      <c r="H58" s="6">
        <v>1929.88</v>
      </c>
      <c r="I58" s="2"/>
      <c r="J58" s="7">
        <f t="shared" si="29"/>
        <v>2.456844153971112E-3</v>
      </c>
      <c r="K58" s="2"/>
      <c r="L58" s="6">
        <f t="shared" si="30"/>
        <v>3099.17</v>
      </c>
      <c r="M58" s="2"/>
      <c r="N58" s="7">
        <f t="shared" si="31"/>
        <v>1.6058874126888718</v>
      </c>
      <c r="O58" s="11"/>
      <c r="P58" s="6">
        <v>18751.099999999999</v>
      </c>
      <c r="Q58" s="2"/>
      <c r="R58" s="7">
        <f t="shared" si="32"/>
        <v>4.5855235117374096E-3</v>
      </c>
      <c r="S58" s="2"/>
      <c r="T58" s="6">
        <v>13401.55</v>
      </c>
      <c r="U58" s="2"/>
      <c r="V58" s="7">
        <f t="shared" si="33"/>
        <v>3.2879859732291399E-3</v>
      </c>
      <c r="W58" s="2"/>
      <c r="X58" s="6">
        <f t="shared" si="34"/>
        <v>5349.5499999999993</v>
      </c>
      <c r="Y58" s="2"/>
      <c r="Z58" s="7">
        <f t="shared" si="35"/>
        <v>0.39917397614455041</v>
      </c>
    </row>
    <row r="59" spans="1:26" s="25" customFormat="1" outlineLevel="1" collapsed="1" x14ac:dyDescent="0.25">
      <c r="A59" s="27"/>
      <c r="B59" s="13" t="str">
        <f>CONCATENATE("     ","Bad Debts/Over/Short                              ")</f>
        <v xml:space="preserve">     Bad Debts/Over/Short                              </v>
      </c>
      <c r="C59" s="13"/>
      <c r="D59" s="1">
        <f>SUM(OSRRefD22_3x_0)</f>
        <v>-55.42</v>
      </c>
      <c r="E59" s="1"/>
      <c r="F59" s="5">
        <f t="shared" si="28"/>
        <v>-6.4433302823431977E-5</v>
      </c>
      <c r="G59" s="1"/>
      <c r="H59" s="1">
        <f>SUM(OSRRefH22_3x_0)</f>
        <v>-28.38</v>
      </c>
      <c r="I59" s="1"/>
      <c r="J59" s="5">
        <f t="shared" si="29"/>
        <v>-3.6129312231693238E-5</v>
      </c>
      <c r="K59" s="1"/>
      <c r="L59" s="1">
        <f t="shared" si="30"/>
        <v>-27.040000000000003</v>
      </c>
      <c r="M59" s="1"/>
      <c r="N59" s="5">
        <f t="shared" si="31"/>
        <v>0.95278365045806923</v>
      </c>
      <c r="O59" s="13"/>
      <c r="P59" s="1">
        <f>SUM(OSRRefP22_3x_0)</f>
        <v>-276.32</v>
      </c>
      <c r="Q59" s="1"/>
      <c r="R59" s="5">
        <f t="shared" si="32"/>
        <v>-6.7573201399559558E-5</v>
      </c>
      <c r="S59" s="1"/>
      <c r="T59" s="1">
        <f>SUM(OSRRefT22_3x_0)</f>
        <v>-882.66</v>
      </c>
      <c r="U59" s="1"/>
      <c r="V59" s="5">
        <f t="shared" si="33"/>
        <v>-2.1655507751942372E-4</v>
      </c>
      <c r="W59" s="1"/>
      <c r="X59" s="1">
        <f t="shared" si="34"/>
        <v>606.33999999999992</v>
      </c>
      <c r="Y59" s="1"/>
      <c r="Z59" s="5">
        <f t="shared" si="35"/>
        <v>-0.68694627602927505</v>
      </c>
    </row>
    <row r="60" spans="1:26" s="24" customFormat="1" hidden="1" outlineLevel="2" x14ac:dyDescent="0.25">
      <c r="A60" s="26"/>
      <c r="B60" s="11" t="str">
        <f>CONCATENATE("          ", "6272", " - ", "CASH (OVER/SHORT)")</f>
        <v xml:space="preserve">          6272 - CASH (OVER/SHORT)</v>
      </c>
      <c r="C60" s="11"/>
      <c r="D60" s="6">
        <v>-55.42</v>
      </c>
      <c r="E60" s="2"/>
      <c r="F60" s="7">
        <f t="shared" si="28"/>
        <v>-6.4433302823431977E-5</v>
      </c>
      <c r="G60" s="2"/>
      <c r="H60" s="6">
        <v>-28.38</v>
      </c>
      <c r="I60" s="2"/>
      <c r="J60" s="7">
        <f t="shared" si="29"/>
        <v>-3.6129312231693238E-5</v>
      </c>
      <c r="K60" s="2"/>
      <c r="L60" s="6">
        <f t="shared" si="30"/>
        <v>-27.040000000000003</v>
      </c>
      <c r="M60" s="2"/>
      <c r="N60" s="7">
        <f t="shared" si="31"/>
        <v>0.95278365045806923</v>
      </c>
      <c r="O60" s="11"/>
      <c r="P60" s="6">
        <v>-276.32</v>
      </c>
      <c r="Q60" s="2"/>
      <c r="R60" s="7">
        <f t="shared" si="32"/>
        <v>-6.7573201399559558E-5</v>
      </c>
      <c r="S60" s="2"/>
      <c r="T60" s="6">
        <v>-882.66</v>
      </c>
      <c r="U60" s="2"/>
      <c r="V60" s="7">
        <f t="shared" si="33"/>
        <v>-2.1655507751942372E-4</v>
      </c>
      <c r="W60" s="2"/>
      <c r="X60" s="6">
        <f t="shared" si="34"/>
        <v>606.33999999999992</v>
      </c>
      <c r="Y60" s="2"/>
      <c r="Z60" s="7">
        <f t="shared" si="35"/>
        <v>-0.68694627602927505</v>
      </c>
    </row>
    <row r="61" spans="1:26" s="25" customFormat="1" outlineLevel="1" collapsed="1" x14ac:dyDescent="0.25">
      <c r="A61" s="27"/>
      <c r="B61" s="13" t="str">
        <f>CONCATENATE("     ","Bank/card Fees                                    ")</f>
        <v xml:space="preserve">     Bank/card Fees                                    </v>
      </c>
      <c r="C61" s="13"/>
      <c r="D61" s="1">
        <f>SUM(OSRRefD22_4x_0)</f>
        <v>27354.48</v>
      </c>
      <c r="E61" s="1"/>
      <c r="F61" s="5">
        <f t="shared" si="28"/>
        <v>3.1803310960258277E-2</v>
      </c>
      <c r="G61" s="1"/>
      <c r="H61" s="1">
        <f>SUM(OSRRefH22_4x_0)</f>
        <v>24912.44</v>
      </c>
      <c r="I61" s="1"/>
      <c r="J61" s="5">
        <f t="shared" si="29"/>
        <v>3.1714916251350388E-2</v>
      </c>
      <c r="K61" s="1"/>
      <c r="L61" s="1">
        <f t="shared" si="30"/>
        <v>2442.0400000000009</v>
      </c>
      <c r="M61" s="1"/>
      <c r="N61" s="5">
        <f t="shared" si="31"/>
        <v>9.8024922488523847E-2</v>
      </c>
      <c r="O61" s="13"/>
      <c r="P61" s="1">
        <f>SUM(OSRRefP22_4x_0)</f>
        <v>128020.3</v>
      </c>
      <c r="Q61" s="1"/>
      <c r="R61" s="5">
        <f t="shared" si="32"/>
        <v>3.130696842476851E-2</v>
      </c>
      <c r="S61" s="1"/>
      <c r="T61" s="1">
        <f>SUM(OSRRefT22_4x_0)</f>
        <v>120476.55999999998</v>
      </c>
      <c r="U61" s="1"/>
      <c r="V61" s="5">
        <f t="shared" si="33"/>
        <v>2.9558165986986493E-2</v>
      </c>
      <c r="W61" s="1"/>
      <c r="X61" s="1">
        <f t="shared" si="34"/>
        <v>7543.7400000000198</v>
      </c>
      <c r="Y61" s="1"/>
      <c r="Z61" s="5">
        <f t="shared" si="35"/>
        <v>6.2615831660532306E-2</v>
      </c>
    </row>
    <row r="62" spans="1:26" s="24" customFormat="1" hidden="1" outlineLevel="2" x14ac:dyDescent="0.25">
      <c r="A62" s="26"/>
      <c r="B62" s="11" t="str">
        <f>CONCATENATE("          ", "6381", " - ", "BANK/CREDIT CARD FEES")</f>
        <v xml:space="preserve">          6381 - BANK/CREDIT CARD FEES</v>
      </c>
      <c r="C62" s="11"/>
      <c r="D62" s="6">
        <v>27354.48</v>
      </c>
      <c r="E62" s="2"/>
      <c r="F62" s="7">
        <f t="shared" si="28"/>
        <v>3.1803310960258277E-2</v>
      </c>
      <c r="G62" s="2"/>
      <c r="H62" s="6">
        <v>24912.44</v>
      </c>
      <c r="I62" s="2"/>
      <c r="J62" s="7">
        <f t="shared" si="29"/>
        <v>3.1714916251350388E-2</v>
      </c>
      <c r="K62" s="2"/>
      <c r="L62" s="6">
        <f t="shared" si="30"/>
        <v>2442.0400000000009</v>
      </c>
      <c r="M62" s="2"/>
      <c r="N62" s="7">
        <f t="shared" si="31"/>
        <v>9.8024922488523847E-2</v>
      </c>
      <c r="O62" s="11"/>
      <c r="P62" s="6">
        <v>128020.3</v>
      </c>
      <c r="Q62" s="2"/>
      <c r="R62" s="7">
        <f t="shared" si="32"/>
        <v>3.130696842476851E-2</v>
      </c>
      <c r="S62" s="2"/>
      <c r="T62" s="6">
        <v>120476.55999999998</v>
      </c>
      <c r="U62" s="2"/>
      <c r="V62" s="7">
        <f t="shared" si="33"/>
        <v>2.9558165986986493E-2</v>
      </c>
      <c r="W62" s="2"/>
      <c r="X62" s="6">
        <f t="shared" si="34"/>
        <v>7543.7400000000198</v>
      </c>
      <c r="Y62" s="2"/>
      <c r="Z62" s="7">
        <f t="shared" si="35"/>
        <v>6.2615831660532306E-2</v>
      </c>
    </row>
    <row r="63" spans="1:26" s="25" customFormat="1" outlineLevel="1" collapsed="1" x14ac:dyDescent="0.25">
      <c r="A63" s="27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SUM(OSRRefD22_5x_0)</f>
        <v>47974.53</v>
      </c>
      <c r="E63" s="1"/>
      <c r="F63" s="5">
        <f t="shared" si="28"/>
        <v>5.5776929254814547E-2</v>
      </c>
      <c r="G63" s="1"/>
      <c r="H63" s="1">
        <f>SUM(OSRRefH22_5x_0)</f>
        <v>43808.67</v>
      </c>
      <c r="I63" s="1"/>
      <c r="J63" s="5">
        <f t="shared" si="29"/>
        <v>5.5770863878971552E-2</v>
      </c>
      <c r="K63" s="1"/>
      <c r="L63" s="1">
        <f t="shared" si="30"/>
        <v>4165.8600000000006</v>
      </c>
      <c r="M63" s="1"/>
      <c r="N63" s="5">
        <f t="shared" si="31"/>
        <v>9.5092135871734998E-2</v>
      </c>
      <c r="O63" s="13"/>
      <c r="P63" s="1">
        <f>SUM(OSRRefP22_5x_0)</f>
        <v>239872.65000000002</v>
      </c>
      <c r="Q63" s="1"/>
      <c r="R63" s="5">
        <f t="shared" si="32"/>
        <v>5.8660114681152509E-2</v>
      </c>
      <c r="S63" s="1"/>
      <c r="T63" s="1">
        <f>SUM(OSRRefT22_5x_0)</f>
        <v>238017.21000000002</v>
      </c>
      <c r="U63" s="1"/>
      <c r="V63" s="5">
        <f t="shared" si="33"/>
        <v>5.8396024927499783E-2</v>
      </c>
      <c r="W63" s="1"/>
      <c r="X63" s="1">
        <f t="shared" si="34"/>
        <v>1855.4400000000023</v>
      </c>
      <c r="Y63" s="1"/>
      <c r="Z63" s="5">
        <f t="shared" si="35"/>
        <v>7.795402693780009E-3</v>
      </c>
    </row>
    <row r="64" spans="1:26" s="24" customFormat="1" hidden="1" outlineLevel="2" x14ac:dyDescent="0.25">
      <c r="A64" s="26"/>
      <c r="B64" s="11" t="str">
        <f>CONCATENATE("          ", "6321", " - ", "BUILDING DEPRECIATION")</f>
        <v xml:space="preserve">          6321 - BUILDING DEPRECIATION</v>
      </c>
      <c r="C64" s="11"/>
      <c r="D64" s="6">
        <v>29123.47</v>
      </c>
      <c r="E64" s="2"/>
      <c r="F64" s="7">
        <f t="shared" si="28"/>
        <v>3.3860002919147175E-2</v>
      </c>
      <c r="G64" s="2"/>
      <c r="H64" s="6">
        <v>26597.02</v>
      </c>
      <c r="I64" s="2"/>
      <c r="J64" s="7">
        <f t="shared" si="29"/>
        <v>3.3859479915877018E-2</v>
      </c>
      <c r="K64" s="2"/>
      <c r="L64" s="6">
        <f t="shared" si="30"/>
        <v>2526.4500000000007</v>
      </c>
      <c r="M64" s="2"/>
      <c r="N64" s="7">
        <f t="shared" si="31"/>
        <v>9.4989965041196375E-2</v>
      </c>
      <c r="O64" s="11"/>
      <c r="P64" s="6">
        <v>145617.35</v>
      </c>
      <c r="Q64" s="2"/>
      <c r="R64" s="7">
        <f t="shared" si="32"/>
        <v>3.5610272578243174E-2</v>
      </c>
      <c r="S64" s="2"/>
      <c r="T64" s="6">
        <v>151958.96000000002</v>
      </c>
      <c r="U64" s="2"/>
      <c r="V64" s="7">
        <f t="shared" si="33"/>
        <v>3.7282174747435039E-2</v>
      </c>
      <c r="W64" s="2"/>
      <c r="X64" s="6">
        <f t="shared" si="34"/>
        <v>-6341.6100000000151</v>
      </c>
      <c r="Y64" s="2"/>
      <c r="Z64" s="7">
        <f t="shared" si="35"/>
        <v>-4.173238616531736E-2</v>
      </c>
    </row>
    <row r="65" spans="1:26" s="24" customFormat="1" hidden="1" outlineLevel="2" x14ac:dyDescent="0.25">
      <c r="A65" s="26"/>
      <c r="B65" s="11" t="str">
        <f>CONCATENATE("          ", "6322", " - ", "EQUIPMENT DEPRECIATION EXPENSE")</f>
        <v xml:space="preserve">          6322 - EQUIPMENT DEPRECIATION EXPENSE</v>
      </c>
      <c r="C65" s="11"/>
      <c r="D65" s="6">
        <v>18426.809999999998</v>
      </c>
      <c r="E65" s="2"/>
      <c r="F65" s="7">
        <f t="shared" si="28"/>
        <v>2.1423677892454789E-2</v>
      </c>
      <c r="G65" s="2"/>
      <c r="H65" s="6">
        <v>16787.400000000001</v>
      </c>
      <c r="I65" s="2"/>
      <c r="J65" s="7">
        <f t="shared" si="29"/>
        <v>2.1371290209948102E-2</v>
      </c>
      <c r="K65" s="2"/>
      <c r="L65" s="6">
        <f t="shared" si="30"/>
        <v>1639.4099999999962</v>
      </c>
      <c r="M65" s="2"/>
      <c r="N65" s="7">
        <f t="shared" si="31"/>
        <v>9.7657171450015845E-2</v>
      </c>
      <c r="O65" s="11"/>
      <c r="P65" s="6">
        <v>92134.05</v>
      </c>
      <c r="Q65" s="2"/>
      <c r="R65" s="7">
        <f t="shared" si="32"/>
        <v>2.2531096975995549E-2</v>
      </c>
      <c r="S65" s="2"/>
      <c r="T65" s="6">
        <v>83937</v>
      </c>
      <c r="U65" s="2"/>
      <c r="V65" s="7">
        <f t="shared" si="33"/>
        <v>2.0593414838950296E-2</v>
      </c>
      <c r="W65" s="2"/>
      <c r="X65" s="6">
        <f t="shared" si="34"/>
        <v>8197.0500000000029</v>
      </c>
      <c r="Y65" s="2"/>
      <c r="Z65" s="7">
        <f t="shared" si="35"/>
        <v>9.7657171450016123E-2</v>
      </c>
    </row>
    <row r="66" spans="1:26" s="24" customFormat="1" hidden="1" outlineLevel="2" x14ac:dyDescent="0.25">
      <c r="A66" s="26"/>
      <c r="B66" s="11" t="str">
        <f>CONCATENATE("          ", "6326", " - ", "VEHICLES DEPRECIATION EXPENSE")</f>
        <v xml:space="preserve">          6326 - VEHICLES DEPRECIATION EXPENSE</v>
      </c>
      <c r="C66" s="11"/>
      <c r="D66" s="6">
        <v>424.25</v>
      </c>
      <c r="E66" s="2"/>
      <c r="F66" s="7">
        <f t="shared" si="28"/>
        <v>4.9324844321257694E-4</v>
      </c>
      <c r="G66" s="2"/>
      <c r="H66" s="6">
        <v>424.25</v>
      </c>
      <c r="I66" s="2"/>
      <c r="J66" s="7">
        <f t="shared" si="29"/>
        <v>5.4009375314643612E-4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2121.25</v>
      </c>
      <c r="Q66" s="2"/>
      <c r="R66" s="7">
        <f t="shared" si="32"/>
        <v>5.1874512691378008E-4</v>
      </c>
      <c r="S66" s="2"/>
      <c r="T66" s="6">
        <v>2121.25</v>
      </c>
      <c r="U66" s="2"/>
      <c r="V66" s="7">
        <f t="shared" si="33"/>
        <v>5.2043534111444678E-4</v>
      </c>
      <c r="W66" s="2"/>
      <c r="X66" s="6">
        <f t="shared" si="34"/>
        <v>0</v>
      </c>
      <c r="Y66" s="2"/>
      <c r="Z66" s="7">
        <f t="shared" si="35"/>
        <v>0</v>
      </c>
    </row>
    <row r="67" spans="1:26" s="25" customFormat="1" outlineLevel="1" collapsed="1" x14ac:dyDescent="0.25">
      <c r="A67" s="27"/>
      <c r="B67" s="13" t="str">
        <f>CONCATENATE("     ","Discounts and Markdowns                           ")</f>
        <v xml:space="preserve">     Discounts and Markdowns                           </v>
      </c>
      <c r="C67" s="13"/>
      <c r="D67" s="1">
        <f>SUM(OSRRefD22_6x_0)</f>
        <v>10.59</v>
      </c>
      <c r="E67" s="1"/>
      <c r="F67" s="5">
        <f t="shared" ref="F67:F77" si="36">IF(D$12=0,0,D67/D$12)</f>
        <v>1.2312318240709936E-5</v>
      </c>
      <c r="G67" s="1"/>
      <c r="H67" s="1">
        <f>SUM(OSRRefH22_6x_0)</f>
        <v>8.2100000000000009</v>
      </c>
      <c r="I67" s="1"/>
      <c r="J67" s="5">
        <f t="shared" ref="J67:J77" si="37">IF(H$12=0,0,H67/H$12)</f>
        <v>1.0451784828125495E-5</v>
      </c>
      <c r="K67" s="1"/>
      <c r="L67" s="1">
        <f t="shared" ref="L67:L77" si="38">+D67-H67</f>
        <v>2.379999999999999</v>
      </c>
      <c r="M67" s="1"/>
      <c r="N67" s="5">
        <f t="shared" ref="N67:N77" si="39">IF(H67=0,0,L67/H67)</f>
        <v>0.28989037758830677</v>
      </c>
      <c r="O67" s="13"/>
      <c r="P67" s="1">
        <f>SUM(OSRRefP22_6x_0)</f>
        <v>59.75</v>
      </c>
      <c r="Q67" s="1"/>
      <c r="R67" s="5">
        <f t="shared" ref="R67:R77" si="40">IF(P$12=0,0,P67/P$12)</f>
        <v>1.4611677705644483E-5</v>
      </c>
      <c r="S67" s="1"/>
      <c r="T67" s="1">
        <f>SUM(OSRRefT22_6x_0)</f>
        <v>62.78</v>
      </c>
      <c r="U67" s="1"/>
      <c r="V67" s="5">
        <f t="shared" ref="V67:V77" si="41">IF(T$12=0,0,T67/T$12)</f>
        <v>1.5402678003613419E-5</v>
      </c>
      <c r="W67" s="1"/>
      <c r="X67" s="1">
        <f t="shared" ref="X67:X77" si="42">+P67-T67</f>
        <v>-3.0300000000000011</v>
      </c>
      <c r="Y67" s="1"/>
      <c r="Z67" s="5">
        <f t="shared" ref="Z67:Z77" si="43">IF(T67=0,0,X67/T67)</f>
        <v>-4.8263778273335473E-2</v>
      </c>
    </row>
    <row r="68" spans="1:26" s="24" customFormat="1" hidden="1" outlineLevel="2" x14ac:dyDescent="0.25">
      <c r="A68" s="26"/>
      <c r="B68" s="11" t="str">
        <f>CONCATENATE("          ", "6382", " - ", "DISCOUNTS/MARK DOWNS")</f>
        <v xml:space="preserve">          6382 - DISCOUNTS/MARK DOWNS</v>
      </c>
      <c r="C68" s="11"/>
      <c r="D68" s="6">
        <v>10.59</v>
      </c>
      <c r="E68" s="2"/>
      <c r="F68" s="7">
        <f t="shared" si="36"/>
        <v>1.2312318240709936E-5</v>
      </c>
      <c r="G68" s="2"/>
      <c r="H68" s="6">
        <v>8.2100000000000009</v>
      </c>
      <c r="I68" s="2"/>
      <c r="J68" s="7">
        <f t="shared" si="37"/>
        <v>1.0451784828125495E-5</v>
      </c>
      <c r="K68" s="2"/>
      <c r="L68" s="6">
        <f t="shared" si="38"/>
        <v>2.379999999999999</v>
      </c>
      <c r="M68" s="2"/>
      <c r="N68" s="7">
        <f t="shared" si="39"/>
        <v>0.28989037758830677</v>
      </c>
      <c r="O68" s="11"/>
      <c r="P68" s="6">
        <v>59.75</v>
      </c>
      <c r="Q68" s="2"/>
      <c r="R68" s="7">
        <f t="shared" si="40"/>
        <v>1.4611677705644483E-5</v>
      </c>
      <c r="S68" s="2"/>
      <c r="T68" s="6">
        <v>62.78</v>
      </c>
      <c r="U68" s="2"/>
      <c r="V68" s="7">
        <f t="shared" si="41"/>
        <v>1.5402678003613419E-5</v>
      </c>
      <c r="W68" s="2"/>
      <c r="X68" s="6">
        <f t="shared" si="42"/>
        <v>-3.0300000000000011</v>
      </c>
      <c r="Y68" s="2"/>
      <c r="Z68" s="7">
        <f t="shared" si="43"/>
        <v>-4.8263778273335473E-2</v>
      </c>
    </row>
    <row r="69" spans="1:26" s="25" customFormat="1" outlineLevel="1" collapsed="1" x14ac:dyDescent="0.25">
      <c r="A69" s="27"/>
      <c r="B69" s="13" t="str">
        <f>CONCATENATE("     ","Donations                                         ")</f>
        <v xml:space="preserve">     Donations                                         </v>
      </c>
      <c r="C69" s="13"/>
      <c r="D69" s="1">
        <f>SUM(OSRRefD22_7x_0)</f>
        <v>0</v>
      </c>
      <c r="E69" s="1"/>
      <c r="F69" s="5">
        <f t="shared" si="36"/>
        <v>0</v>
      </c>
      <c r="G69" s="1"/>
      <c r="H69" s="1">
        <f>SUM(OSRRefH22_7x_0)</f>
        <v>62</v>
      </c>
      <c r="I69" s="1"/>
      <c r="J69" s="5">
        <f t="shared" si="37"/>
        <v>7.8929434755637106E-5</v>
      </c>
      <c r="K69" s="1"/>
      <c r="L69" s="1">
        <f t="shared" si="38"/>
        <v>-62</v>
      </c>
      <c r="M69" s="1"/>
      <c r="N69" s="5">
        <f t="shared" si="39"/>
        <v>-1</v>
      </c>
      <c r="O69" s="13"/>
      <c r="P69" s="1">
        <f>SUM(OSRRefP22_7x_0)</f>
        <v>163.68</v>
      </c>
      <c r="Q69" s="1"/>
      <c r="R69" s="5">
        <f t="shared" si="40"/>
        <v>4.0027437771713622E-5</v>
      </c>
      <c r="S69" s="1"/>
      <c r="T69" s="1">
        <f>SUM(OSRRefT22_7x_0)</f>
        <v>750.24</v>
      </c>
      <c r="U69" s="1"/>
      <c r="V69" s="5">
        <f t="shared" si="41"/>
        <v>1.8406666367363703E-4</v>
      </c>
      <c r="W69" s="1"/>
      <c r="X69" s="1">
        <f t="shared" si="42"/>
        <v>-586.55999999999995</v>
      </c>
      <c r="Y69" s="1"/>
      <c r="Z69" s="5">
        <f t="shared" si="43"/>
        <v>-0.78182981445937294</v>
      </c>
    </row>
    <row r="70" spans="1:26" s="24" customFormat="1" hidden="1" outlineLevel="2" x14ac:dyDescent="0.25">
      <c r="A70" s="26"/>
      <c r="B70" s="11" t="str">
        <f>CONCATENATE("          ", "6399", " - ", "DONATION-ON CAMPUS")</f>
        <v xml:space="preserve">          6399 - DONATION-ON CAMPUS</v>
      </c>
      <c r="C70" s="11"/>
      <c r="D70" s="6"/>
      <c r="E70" s="2"/>
      <c r="F70" s="7">
        <f t="shared" si="36"/>
        <v>0</v>
      </c>
      <c r="G70" s="2"/>
      <c r="H70" s="6">
        <v>62</v>
      </c>
      <c r="I70" s="2"/>
      <c r="J70" s="7">
        <f t="shared" si="37"/>
        <v>7.8929434755637106E-5</v>
      </c>
      <c r="K70" s="2"/>
      <c r="L70" s="6">
        <f t="shared" si="38"/>
        <v>-62</v>
      </c>
      <c r="M70" s="2"/>
      <c r="N70" s="7">
        <f t="shared" si="39"/>
        <v>-1</v>
      </c>
      <c r="O70" s="11"/>
      <c r="P70" s="6">
        <v>163.68</v>
      </c>
      <c r="Q70" s="2"/>
      <c r="R70" s="7">
        <f t="shared" si="40"/>
        <v>4.0027437771713622E-5</v>
      </c>
      <c r="S70" s="2"/>
      <c r="T70" s="6">
        <v>750.24</v>
      </c>
      <c r="U70" s="2"/>
      <c r="V70" s="7">
        <f t="shared" si="41"/>
        <v>1.8406666367363703E-4</v>
      </c>
      <c r="W70" s="2"/>
      <c r="X70" s="6">
        <f t="shared" si="42"/>
        <v>-586.55999999999995</v>
      </c>
      <c r="Y70" s="2"/>
      <c r="Z70" s="7">
        <f t="shared" si="43"/>
        <v>-0.78182981445937294</v>
      </c>
    </row>
    <row r="71" spans="1:26" s="25" customFormat="1" outlineLevel="1" collapsed="1" x14ac:dyDescent="0.25">
      <c r="A71" s="27"/>
      <c r="B71" s="13" t="str">
        <f>CONCATENATE("     ","Employees' Appreciation                           ")</f>
        <v xml:space="preserve">     Employees' Appreciation                           </v>
      </c>
      <c r="C71" s="13"/>
      <c r="D71" s="1">
        <f>SUM(OSRRefD22_8x_0)</f>
        <v>528.53</v>
      </c>
      <c r="E71" s="1"/>
      <c r="F71" s="5">
        <f t="shared" si="36"/>
        <v>6.1448815484064416E-4</v>
      </c>
      <c r="G71" s="1"/>
      <c r="H71" s="1">
        <f>SUM(OSRRefH22_8x_0)</f>
        <v>465.45</v>
      </c>
      <c r="I71" s="1"/>
      <c r="J71" s="5">
        <f t="shared" si="37"/>
        <v>5.9254363559695621E-4</v>
      </c>
      <c r="K71" s="1"/>
      <c r="L71" s="1">
        <f t="shared" si="38"/>
        <v>63.079999999999984</v>
      </c>
      <c r="M71" s="1"/>
      <c r="N71" s="5">
        <f t="shared" si="39"/>
        <v>0.13552476098399396</v>
      </c>
      <c r="O71" s="13"/>
      <c r="P71" s="1">
        <f>SUM(OSRRefP22_8x_0)</f>
        <v>1014.65</v>
      </c>
      <c r="Q71" s="1"/>
      <c r="R71" s="5">
        <f t="shared" si="40"/>
        <v>2.4812951939802804E-4</v>
      </c>
      <c r="S71" s="1"/>
      <c r="T71" s="1">
        <f>SUM(OSRRefT22_8x_0)</f>
        <v>1422.45</v>
      </c>
      <c r="U71" s="1"/>
      <c r="V71" s="5">
        <f t="shared" si="41"/>
        <v>3.4898915779292626E-4</v>
      </c>
      <c r="W71" s="1"/>
      <c r="X71" s="1">
        <f t="shared" si="42"/>
        <v>-407.80000000000007</v>
      </c>
      <c r="Y71" s="1"/>
      <c r="Z71" s="5">
        <f t="shared" si="43"/>
        <v>-0.28668846005131993</v>
      </c>
    </row>
    <row r="72" spans="1:26" s="24" customFormat="1" hidden="1" outlineLevel="2" x14ac:dyDescent="0.25">
      <c r="A72" s="26"/>
      <c r="B72" s="11" t="str">
        <f>CONCATENATE("          ", "6277", " - ", "EMPLOYEE APPRECIATION")</f>
        <v xml:space="preserve">          6277 - EMPLOYEE APPRECIATION</v>
      </c>
      <c r="C72" s="11"/>
      <c r="D72" s="6">
        <v>528.53</v>
      </c>
      <c r="E72" s="2"/>
      <c r="F72" s="7">
        <f t="shared" si="36"/>
        <v>6.1448815484064416E-4</v>
      </c>
      <c r="G72" s="2"/>
      <c r="H72" s="6">
        <v>465.45</v>
      </c>
      <c r="I72" s="2"/>
      <c r="J72" s="7">
        <f t="shared" si="37"/>
        <v>5.9254363559695621E-4</v>
      </c>
      <c r="K72" s="2"/>
      <c r="L72" s="6">
        <f t="shared" si="38"/>
        <v>63.079999999999984</v>
      </c>
      <c r="M72" s="2"/>
      <c r="N72" s="7">
        <f t="shared" si="39"/>
        <v>0.13552476098399396</v>
      </c>
      <c r="O72" s="11"/>
      <c r="P72" s="6">
        <v>1014.65</v>
      </c>
      <c r="Q72" s="2"/>
      <c r="R72" s="7">
        <f t="shared" si="40"/>
        <v>2.4812951939802804E-4</v>
      </c>
      <c r="S72" s="2"/>
      <c r="T72" s="6">
        <v>1422.45</v>
      </c>
      <c r="U72" s="2"/>
      <c r="V72" s="7">
        <f t="shared" si="41"/>
        <v>3.4898915779292626E-4</v>
      </c>
      <c r="W72" s="2"/>
      <c r="X72" s="6">
        <f t="shared" si="42"/>
        <v>-407.80000000000007</v>
      </c>
      <c r="Y72" s="2"/>
      <c r="Z72" s="7">
        <f t="shared" si="43"/>
        <v>-0.28668846005131993</v>
      </c>
    </row>
    <row r="73" spans="1:26" s="25" customFormat="1" outlineLevel="1" collapsed="1" x14ac:dyDescent="0.25">
      <c r="A73" s="27"/>
      <c r="B73" s="13" t="str">
        <f>CONCATENATE("     ","Equipment Rental                                  ")</f>
        <v xml:space="preserve">     Equipment Rental                                  </v>
      </c>
      <c r="C73" s="13"/>
      <c r="D73" s="1">
        <f>SUM(OSRRefD22_9x_0)</f>
        <v>2060.33</v>
      </c>
      <c r="E73" s="1"/>
      <c r="F73" s="5">
        <f t="shared" si="36"/>
        <v>2.3954144136810107E-3</v>
      </c>
      <c r="G73" s="1"/>
      <c r="H73" s="1">
        <f>SUM(OSRRefH22_9x_0)</f>
        <v>2558.6999999999998</v>
      </c>
      <c r="I73" s="1"/>
      <c r="J73" s="5">
        <f t="shared" si="37"/>
        <v>3.2573668501491714E-3</v>
      </c>
      <c r="K73" s="1"/>
      <c r="L73" s="1">
        <f t="shared" si="38"/>
        <v>-498.36999999999989</v>
      </c>
      <c r="M73" s="1"/>
      <c r="N73" s="5">
        <f t="shared" si="39"/>
        <v>-0.19477469027240393</v>
      </c>
      <c r="O73" s="13"/>
      <c r="P73" s="1">
        <f>SUM(OSRRefP22_9x_0)</f>
        <v>12747.43</v>
      </c>
      <c r="Q73" s="1"/>
      <c r="R73" s="5">
        <f t="shared" si="40"/>
        <v>3.1173445813433248E-3</v>
      </c>
      <c r="S73" s="1"/>
      <c r="T73" s="1">
        <f>SUM(OSRRefT22_9x_0)</f>
        <v>8836.4500000000007</v>
      </c>
      <c r="U73" s="1"/>
      <c r="V73" s="5">
        <f t="shared" si="41"/>
        <v>2.1679674107204492E-3</v>
      </c>
      <c r="W73" s="1"/>
      <c r="X73" s="1">
        <f t="shared" si="42"/>
        <v>3910.9799999999996</v>
      </c>
      <c r="Y73" s="1"/>
      <c r="Z73" s="5">
        <f t="shared" si="43"/>
        <v>0.44259629149715091</v>
      </c>
    </row>
    <row r="74" spans="1:26" s="24" customFormat="1" hidden="1" outlineLevel="2" x14ac:dyDescent="0.25">
      <c r="A74" s="26"/>
      <c r="B74" s="11" t="str">
        <f>CONCATENATE("          ", "6351", " - ", "EQUIPMENT RENTAL")</f>
        <v xml:space="preserve">          6351 - EQUIPMENT RENTAL</v>
      </c>
      <c r="C74" s="11"/>
      <c r="D74" s="6">
        <v>2060.33</v>
      </c>
      <c r="E74" s="2"/>
      <c r="F74" s="7">
        <f t="shared" si="36"/>
        <v>2.3954144136810107E-3</v>
      </c>
      <c r="G74" s="2"/>
      <c r="H74" s="6">
        <v>2558.6999999999998</v>
      </c>
      <c r="I74" s="2"/>
      <c r="J74" s="7">
        <f t="shared" si="37"/>
        <v>3.2573668501491714E-3</v>
      </c>
      <c r="K74" s="2"/>
      <c r="L74" s="6">
        <f t="shared" si="38"/>
        <v>-498.36999999999989</v>
      </c>
      <c r="M74" s="2"/>
      <c r="N74" s="7">
        <f t="shared" si="39"/>
        <v>-0.19477469027240393</v>
      </c>
      <c r="O74" s="11"/>
      <c r="P74" s="6">
        <v>12747.43</v>
      </c>
      <c r="Q74" s="2"/>
      <c r="R74" s="7">
        <f t="shared" si="40"/>
        <v>3.1173445813433248E-3</v>
      </c>
      <c r="S74" s="2"/>
      <c r="T74" s="6">
        <v>8836.4500000000007</v>
      </c>
      <c r="U74" s="2"/>
      <c r="V74" s="7">
        <f t="shared" si="41"/>
        <v>2.1679674107204492E-3</v>
      </c>
      <c r="W74" s="2"/>
      <c r="X74" s="6">
        <f t="shared" si="42"/>
        <v>3910.9799999999996</v>
      </c>
      <c r="Y74" s="2"/>
      <c r="Z74" s="7">
        <f t="shared" si="43"/>
        <v>0.44259629149715091</v>
      </c>
    </row>
    <row r="75" spans="1:26" s="25" customFormat="1" outlineLevel="1" collapsed="1" x14ac:dyDescent="0.25">
      <c r="A75" s="27"/>
      <c r="B75" s="13" t="str">
        <f>CONCATENATE("     ","Freight out/Postage                               ")</f>
        <v xml:space="preserve">     Freight out/Postage                               </v>
      </c>
      <c r="C75" s="13"/>
      <c r="D75" s="1">
        <f>SUM(OSRRefD22_10x_0)</f>
        <v>17.329999999999998</v>
      </c>
      <c r="E75" s="1"/>
      <c r="F75" s="5">
        <f t="shared" si="36"/>
        <v>2.0148486790510215E-5</v>
      </c>
      <c r="G75" s="1"/>
      <c r="H75" s="1">
        <f>SUM(OSRRefH22_10x_0)</f>
        <v>17.75</v>
      </c>
      <c r="I75" s="1"/>
      <c r="J75" s="5">
        <f t="shared" si="37"/>
        <v>2.2596733337299331E-5</v>
      </c>
      <c r="K75" s="1"/>
      <c r="L75" s="1">
        <f t="shared" si="38"/>
        <v>-0.42000000000000171</v>
      </c>
      <c r="M75" s="1"/>
      <c r="N75" s="5">
        <f t="shared" si="39"/>
        <v>-2.3661971830986013E-2</v>
      </c>
      <c r="O75" s="13"/>
      <c r="P75" s="1">
        <f>SUM(OSRRefP22_10x_0)</f>
        <v>188.61</v>
      </c>
      <c r="Q75" s="1"/>
      <c r="R75" s="5">
        <f t="shared" si="40"/>
        <v>4.6123992168395082E-5</v>
      </c>
      <c r="S75" s="1"/>
      <c r="T75" s="1">
        <f>SUM(OSRRefT22_10x_0)</f>
        <v>167.12</v>
      </c>
      <c r="U75" s="1"/>
      <c r="V75" s="5">
        <f t="shared" si="41"/>
        <v>4.1001840521883955E-5</v>
      </c>
      <c r="W75" s="1"/>
      <c r="X75" s="1">
        <f t="shared" si="42"/>
        <v>21.490000000000009</v>
      </c>
      <c r="Y75" s="1"/>
      <c r="Z75" s="5">
        <f t="shared" si="43"/>
        <v>0.12859023456199142</v>
      </c>
    </row>
    <row r="76" spans="1:26" s="24" customFormat="1" hidden="1" outlineLevel="2" x14ac:dyDescent="0.25">
      <c r="A76" s="26"/>
      <c r="B76" s="11" t="str">
        <f>CONCATENATE("          ", "6305", " - ", "FREIGHT OUT")</f>
        <v xml:space="preserve">          6305 - FREIGHT OUT</v>
      </c>
      <c r="C76" s="11"/>
      <c r="D76" s="6">
        <v>17.329999999999998</v>
      </c>
      <c r="E76" s="2"/>
      <c r="F76" s="7">
        <f t="shared" si="36"/>
        <v>2.0148486790510215E-5</v>
      </c>
      <c r="G76" s="2"/>
      <c r="H76" s="6">
        <v>8.74</v>
      </c>
      <c r="I76" s="2"/>
      <c r="J76" s="7">
        <f t="shared" si="37"/>
        <v>1.1126504189746263E-5</v>
      </c>
      <c r="K76" s="2"/>
      <c r="L76" s="6">
        <f t="shared" si="38"/>
        <v>8.5899999999999981</v>
      </c>
      <c r="M76" s="2"/>
      <c r="N76" s="7">
        <f t="shared" si="39"/>
        <v>0.98283752860411877</v>
      </c>
      <c r="O76" s="11"/>
      <c r="P76" s="6">
        <v>188.61</v>
      </c>
      <c r="Q76" s="2"/>
      <c r="R76" s="7">
        <f t="shared" si="40"/>
        <v>4.6123992168395082E-5</v>
      </c>
      <c r="S76" s="2"/>
      <c r="T76" s="6">
        <v>158.11000000000001</v>
      </c>
      <c r="U76" s="2"/>
      <c r="V76" s="7">
        <f t="shared" si="41"/>
        <v>3.8791293710597613E-5</v>
      </c>
      <c r="W76" s="2"/>
      <c r="X76" s="6">
        <f t="shared" si="42"/>
        <v>30.5</v>
      </c>
      <c r="Y76" s="2"/>
      <c r="Z76" s="7">
        <f t="shared" si="43"/>
        <v>0.19290367465688443</v>
      </c>
    </row>
    <row r="77" spans="1:26" s="24" customFormat="1" hidden="1" outlineLevel="2" x14ac:dyDescent="0.25">
      <c r="A77" s="26"/>
      <c r="B77" s="11" t="str">
        <f>CONCATENATE("          ", "6307", " - ", "POSTAGE")</f>
        <v xml:space="preserve">          6307 - POSTAGE</v>
      </c>
      <c r="C77" s="11"/>
      <c r="D77" s="6"/>
      <c r="E77" s="2"/>
      <c r="F77" s="7">
        <f t="shared" si="36"/>
        <v>0</v>
      </c>
      <c r="G77" s="2"/>
      <c r="H77" s="6">
        <v>9.01</v>
      </c>
      <c r="I77" s="2"/>
      <c r="J77" s="7">
        <f t="shared" si="37"/>
        <v>1.1470229147553068E-5</v>
      </c>
      <c r="K77" s="2"/>
      <c r="L77" s="6">
        <f t="shared" si="38"/>
        <v>-9.01</v>
      </c>
      <c r="M77" s="2"/>
      <c r="N77" s="7">
        <f t="shared" si="39"/>
        <v>-1</v>
      </c>
      <c r="O77" s="11"/>
      <c r="P77" s="6"/>
      <c r="Q77" s="2"/>
      <c r="R77" s="7">
        <f t="shared" si="40"/>
        <v>0</v>
      </c>
      <c r="S77" s="2"/>
      <c r="T77" s="6">
        <v>9.01</v>
      </c>
      <c r="U77" s="2"/>
      <c r="V77" s="7">
        <f t="shared" si="41"/>
        <v>2.2105468112863479E-6</v>
      </c>
      <c r="W77" s="2"/>
      <c r="X77" s="6">
        <f t="shared" si="42"/>
        <v>-9.01</v>
      </c>
      <c r="Y77" s="2"/>
      <c r="Z77" s="7">
        <f t="shared" si="43"/>
        <v>-1</v>
      </c>
    </row>
    <row r="78" spans="1:26" s="25" customFormat="1" outlineLevel="1" collapsed="1" x14ac:dyDescent="0.25">
      <c r="A78" s="27"/>
      <c r="B78" s="13" t="str">
        <f>CONCATENATE("     ","General                                           ")</f>
        <v xml:space="preserve">     General                                           </v>
      </c>
      <c r="C78" s="13"/>
      <c r="D78" s="1">
        <f>SUM(OSRRefD22_11x_0)</f>
        <v>22508.030000000002</v>
      </c>
      <c r="E78" s="1"/>
      <c r="F78" s="5">
        <f t="shared" ref="F78:F80" si="44">IF(D$12=0,0,D78/D$12)</f>
        <v>2.6168652344801369E-2</v>
      </c>
      <c r="G78" s="1"/>
      <c r="H78" s="1">
        <f>SUM(OSRRefH22_11x_0)</f>
        <v>2758.12</v>
      </c>
      <c r="I78" s="1"/>
      <c r="J78" s="5">
        <f t="shared" ref="J78:J80" si="45">IF(H$12=0,0,H78/H$12)</f>
        <v>3.5112395578744803E-3</v>
      </c>
      <c r="K78" s="1"/>
      <c r="L78" s="1">
        <f t="shared" ref="L78:L80" si="46">+D78-H78</f>
        <v>19749.910000000003</v>
      </c>
      <c r="M78" s="1"/>
      <c r="N78" s="5">
        <f t="shared" ref="N78:N80" si="47">IF(H78=0,0,L78/H78)</f>
        <v>7.1606420315287238</v>
      </c>
      <c r="O78" s="13"/>
      <c r="P78" s="1">
        <f>SUM(OSRRefP22_11x_0)</f>
        <v>67040.38</v>
      </c>
      <c r="Q78" s="1"/>
      <c r="R78" s="5">
        <f t="shared" ref="R78:R80" si="48">IF(P$12=0,0,P78/P$12)</f>
        <v>1.6394517587011454E-2</v>
      </c>
      <c r="S78" s="1"/>
      <c r="T78" s="1">
        <f>SUM(OSRRefT22_11x_0)</f>
        <v>34157.980000000003</v>
      </c>
      <c r="U78" s="1"/>
      <c r="V78" s="5">
        <f t="shared" ref="V78:V80" si="49">IF(T$12=0,0,T78/T$12)</f>
        <v>8.3804454793543672E-3</v>
      </c>
      <c r="W78" s="1"/>
      <c r="X78" s="1">
        <f t="shared" ref="X78:X80" si="50">+P78-T78</f>
        <v>32882.400000000001</v>
      </c>
      <c r="Y78" s="1"/>
      <c r="Z78" s="5">
        <f t="shared" ref="Z78:Z80" si="51">IF(T78=0,0,X78/T78)</f>
        <v>0.96265645685137113</v>
      </c>
    </row>
    <row r="79" spans="1:26" s="24" customFormat="1" hidden="1" outlineLevel="2" x14ac:dyDescent="0.25">
      <c r="A79" s="26"/>
      <c r="B79" s="11" t="str">
        <f>CONCATENATE("          ", "6269", " - ", "ENTERTAINMENT")</f>
        <v xml:space="preserve">          6269 - ENTERTAINMENT</v>
      </c>
      <c r="C79" s="11"/>
      <c r="D79" s="6">
        <v>600</v>
      </c>
      <c r="E79" s="2"/>
      <c r="F79" s="7">
        <f t="shared" si="44"/>
        <v>6.9758177001189438E-4</v>
      </c>
      <c r="G79" s="2"/>
      <c r="H79" s="6">
        <v>300</v>
      </c>
      <c r="I79" s="2"/>
      <c r="J79" s="7">
        <f t="shared" si="45"/>
        <v>3.8191661978534083E-4</v>
      </c>
      <c r="K79" s="2"/>
      <c r="L79" s="6">
        <f t="shared" si="46"/>
        <v>300</v>
      </c>
      <c r="M79" s="2"/>
      <c r="N79" s="7">
        <f t="shared" si="47"/>
        <v>1</v>
      </c>
      <c r="O79" s="11"/>
      <c r="P79" s="6">
        <v>6100</v>
      </c>
      <c r="Q79" s="2"/>
      <c r="R79" s="7">
        <f t="shared" si="48"/>
        <v>1.4917361339653781E-3</v>
      </c>
      <c r="S79" s="2"/>
      <c r="T79" s="6">
        <v>4360</v>
      </c>
      <c r="U79" s="2"/>
      <c r="V79" s="7">
        <f t="shared" si="49"/>
        <v>1.0696985679476665E-3</v>
      </c>
      <c r="W79" s="2"/>
      <c r="X79" s="6">
        <f t="shared" si="50"/>
        <v>1740</v>
      </c>
      <c r="Y79" s="2"/>
      <c r="Z79" s="7">
        <f t="shared" si="51"/>
        <v>0.39908256880733944</v>
      </c>
    </row>
    <row r="80" spans="1:26" s="24" customFormat="1" hidden="1" outlineLevel="2" x14ac:dyDescent="0.25">
      <c r="A80" s="26"/>
      <c r="B80" s="11" t="str">
        <f>CONCATENATE("          ", "6279", " - ", "GENERAL EXPENSE")</f>
        <v xml:space="preserve">          6279 - GENERAL EXPENSE</v>
      </c>
      <c r="C80" s="11"/>
      <c r="D80" s="6">
        <v>21908.030000000002</v>
      </c>
      <c r="E80" s="2"/>
      <c r="F80" s="7">
        <f t="shared" si="44"/>
        <v>2.5471070574789475E-2</v>
      </c>
      <c r="G80" s="2"/>
      <c r="H80" s="6">
        <v>2458.12</v>
      </c>
      <c r="I80" s="2"/>
      <c r="J80" s="7">
        <f t="shared" si="45"/>
        <v>3.1293229380891397E-3</v>
      </c>
      <c r="K80" s="2"/>
      <c r="L80" s="6">
        <f t="shared" si="46"/>
        <v>19449.910000000003</v>
      </c>
      <c r="M80" s="2"/>
      <c r="N80" s="7">
        <f t="shared" si="47"/>
        <v>7.9125144419312337</v>
      </c>
      <c r="O80" s="11"/>
      <c r="P80" s="6">
        <v>60940.380000000005</v>
      </c>
      <c r="Q80" s="2"/>
      <c r="R80" s="7">
        <f t="shared" si="48"/>
        <v>1.4902781453046075E-2</v>
      </c>
      <c r="S80" s="2"/>
      <c r="T80" s="6">
        <v>29797.980000000003</v>
      </c>
      <c r="U80" s="2"/>
      <c r="V80" s="7">
        <f t="shared" si="49"/>
        <v>7.3107469114067E-3</v>
      </c>
      <c r="W80" s="2"/>
      <c r="X80" s="6">
        <f t="shared" si="50"/>
        <v>31142.400000000001</v>
      </c>
      <c r="Y80" s="2"/>
      <c r="Z80" s="7">
        <f t="shared" si="51"/>
        <v>1.0451178234229299</v>
      </c>
    </row>
    <row r="81" spans="1:26" s="25" customFormat="1" outlineLevel="1" collapsed="1" x14ac:dyDescent="0.25">
      <c r="A81" s="27"/>
      <c r="B81" s="13" t="str">
        <f>CONCATENATE("     ","Insurance                                         ")</f>
        <v xml:space="preserve">     Insurance                                         </v>
      </c>
      <c r="C81" s="13"/>
      <c r="D81" s="1">
        <f>SUM(OSRRefD22_12x_0)</f>
        <v>4483.67</v>
      </c>
      <c r="E81" s="1"/>
      <c r="F81" s="5">
        <f t="shared" ref="F81:F92" si="52">IF(D$12=0,0,D81/D$12)</f>
        <v>5.2128774245820513E-3</v>
      </c>
      <c r="G81" s="1"/>
      <c r="H81" s="1">
        <f>SUM(OSRRefH22_12x_0)</f>
        <v>4222.62</v>
      </c>
      <c r="I81" s="1"/>
      <c r="J81" s="5">
        <f t="shared" ref="J81:J92" si="53">IF(H$12=0,0,H81/H$12)</f>
        <v>5.3756291901265862E-3</v>
      </c>
      <c r="K81" s="1"/>
      <c r="L81" s="1">
        <f t="shared" ref="L81:L92" si="54">+D81-H81</f>
        <v>261.05000000000018</v>
      </c>
      <c r="M81" s="1"/>
      <c r="N81" s="5">
        <f t="shared" ref="N81:N92" si="55">IF(H81=0,0,L81/H81)</f>
        <v>6.1821807313942573E-2</v>
      </c>
      <c r="O81" s="13"/>
      <c r="P81" s="1">
        <f>SUM(OSRRefP22_12x_0)</f>
        <v>22418.350000000002</v>
      </c>
      <c r="Q81" s="1"/>
      <c r="R81" s="5">
        <f t="shared" ref="R81:R92" si="56">IF(P$12=0,0,P81/P$12)</f>
        <v>5.4823381571938914E-3</v>
      </c>
      <c r="S81" s="1"/>
      <c r="T81" s="1">
        <f>SUM(OSRRefT22_12x_0)</f>
        <v>25701.1</v>
      </c>
      <c r="U81" s="1"/>
      <c r="V81" s="5">
        <f t="shared" ref="V81:V92" si="57">IF(T$12=0,0,T81/T$12)</f>
        <v>6.3056031799724249E-3</v>
      </c>
      <c r="W81" s="1"/>
      <c r="X81" s="1">
        <f t="shared" ref="X81:X92" si="58">+P81-T81</f>
        <v>-3282.7499999999964</v>
      </c>
      <c r="Y81" s="1"/>
      <c r="Z81" s="5">
        <f t="shared" ref="Z81:Z92" si="59">IF(T81=0,0,X81/T81)</f>
        <v>-0.12772799607798874</v>
      </c>
    </row>
    <row r="82" spans="1:26" s="24" customFormat="1" hidden="1" outlineLevel="2" x14ac:dyDescent="0.25">
      <c r="A82" s="26"/>
      <c r="B82" s="11" t="str">
        <f>CONCATENATE("          ", "6314", " - ", "LIABILITY INSURANCE")</f>
        <v xml:space="preserve">          6314 - LIABILITY INSURANCE</v>
      </c>
      <c r="C82" s="11"/>
      <c r="D82" s="6">
        <v>4483.67</v>
      </c>
      <c r="E82" s="2"/>
      <c r="F82" s="7">
        <f t="shared" si="52"/>
        <v>5.2128774245820513E-3</v>
      </c>
      <c r="G82" s="2"/>
      <c r="H82" s="6">
        <v>4222.62</v>
      </c>
      <c r="I82" s="2"/>
      <c r="J82" s="7">
        <f t="shared" si="53"/>
        <v>5.3756291901265862E-3</v>
      </c>
      <c r="K82" s="2"/>
      <c r="L82" s="6">
        <f t="shared" si="54"/>
        <v>261.05000000000018</v>
      </c>
      <c r="M82" s="2"/>
      <c r="N82" s="7">
        <f t="shared" si="55"/>
        <v>6.1821807313942573E-2</v>
      </c>
      <c r="O82" s="11"/>
      <c r="P82" s="6">
        <v>22418.350000000002</v>
      </c>
      <c r="Q82" s="2"/>
      <c r="R82" s="7">
        <f t="shared" si="56"/>
        <v>5.4823381571938914E-3</v>
      </c>
      <c r="S82" s="2"/>
      <c r="T82" s="6">
        <v>25701.1</v>
      </c>
      <c r="U82" s="2"/>
      <c r="V82" s="7">
        <f t="shared" si="57"/>
        <v>6.3056031799724249E-3</v>
      </c>
      <c r="W82" s="2"/>
      <c r="X82" s="6">
        <f t="shared" si="58"/>
        <v>-3282.7499999999964</v>
      </c>
      <c r="Y82" s="2"/>
      <c r="Z82" s="7">
        <f t="shared" si="59"/>
        <v>-0.12772799607798874</v>
      </c>
    </row>
    <row r="83" spans="1:26" s="25" customFormat="1" outlineLevel="1" collapsed="1" x14ac:dyDescent="0.25">
      <c r="A83" s="27"/>
      <c r="B83" s="13" t="str">
        <f>CONCATENATE("     ","Interest                                          ")</f>
        <v xml:space="preserve">     Interest                                          </v>
      </c>
      <c r="C83" s="13"/>
      <c r="D83" s="1">
        <f>SUM(OSRRefD22_13x_0)</f>
        <v>11929</v>
      </c>
      <c r="E83" s="1"/>
      <c r="F83" s="5">
        <f t="shared" si="52"/>
        <v>1.3869088224119813E-2</v>
      </c>
      <c r="G83" s="1"/>
      <c r="H83" s="1">
        <f>SUM(OSRRefH22_13x_0)</f>
        <v>12229</v>
      </c>
      <c r="I83" s="1"/>
      <c r="J83" s="5">
        <f t="shared" si="53"/>
        <v>1.5568194477849776E-2</v>
      </c>
      <c r="K83" s="1"/>
      <c r="L83" s="1">
        <f t="shared" si="54"/>
        <v>-300</v>
      </c>
      <c r="M83" s="1"/>
      <c r="N83" s="5">
        <f t="shared" si="55"/>
        <v>-2.4531850519257502E-2</v>
      </c>
      <c r="O83" s="13"/>
      <c r="P83" s="1">
        <f>SUM(OSRRefP22_13x_0)</f>
        <v>59046</v>
      </c>
      <c r="Q83" s="1"/>
      <c r="R83" s="5">
        <f t="shared" si="56"/>
        <v>1.4439516682970445E-2</v>
      </c>
      <c r="S83" s="1"/>
      <c r="T83" s="1">
        <f>SUM(OSRRefT22_13x_0)</f>
        <v>60530</v>
      </c>
      <c r="U83" s="1"/>
      <c r="V83" s="5">
        <f t="shared" si="57"/>
        <v>1.4850654660062445E-2</v>
      </c>
      <c r="W83" s="1"/>
      <c r="X83" s="1">
        <f t="shared" si="58"/>
        <v>-1484</v>
      </c>
      <c r="Y83" s="1"/>
      <c r="Z83" s="5">
        <f t="shared" si="59"/>
        <v>-2.4516768544523376E-2</v>
      </c>
    </row>
    <row r="84" spans="1:26" s="24" customFormat="1" hidden="1" outlineLevel="2" x14ac:dyDescent="0.25">
      <c r="A84" s="26"/>
      <c r="B84" s="11" t="str">
        <f>CONCATENATE("          ", "6401", " - ", "INTEREST EXPENSE")</f>
        <v xml:space="preserve">          6401 - INTEREST EXPENSE</v>
      </c>
      <c r="C84" s="11"/>
      <c r="D84" s="6">
        <v>11929</v>
      </c>
      <c r="E84" s="2"/>
      <c r="F84" s="7">
        <f t="shared" si="52"/>
        <v>1.3869088224119813E-2</v>
      </c>
      <c r="G84" s="2"/>
      <c r="H84" s="6">
        <v>12229</v>
      </c>
      <c r="I84" s="2"/>
      <c r="J84" s="7">
        <f t="shared" si="53"/>
        <v>1.5568194477849776E-2</v>
      </c>
      <c r="K84" s="2"/>
      <c r="L84" s="6">
        <f t="shared" si="54"/>
        <v>-300</v>
      </c>
      <c r="M84" s="2"/>
      <c r="N84" s="7">
        <f t="shared" si="55"/>
        <v>-2.4531850519257502E-2</v>
      </c>
      <c r="O84" s="11"/>
      <c r="P84" s="6">
        <v>59046</v>
      </c>
      <c r="Q84" s="2"/>
      <c r="R84" s="7">
        <f t="shared" si="56"/>
        <v>1.4439516682970445E-2</v>
      </c>
      <c r="S84" s="2"/>
      <c r="T84" s="6">
        <v>60530</v>
      </c>
      <c r="U84" s="2"/>
      <c r="V84" s="7">
        <f t="shared" si="57"/>
        <v>1.4850654660062445E-2</v>
      </c>
      <c r="W84" s="2"/>
      <c r="X84" s="6">
        <f t="shared" si="58"/>
        <v>-1484</v>
      </c>
      <c r="Y84" s="2"/>
      <c r="Z84" s="7">
        <f t="shared" si="59"/>
        <v>-2.4516768544523376E-2</v>
      </c>
    </row>
    <row r="85" spans="1:26" s="25" customFormat="1" outlineLevel="1" collapsed="1" x14ac:dyDescent="0.25">
      <c r="A85" s="27"/>
      <c r="B85" s="13" t="str">
        <f>CONCATENATE("     ","Professional Services                             ")</f>
        <v xml:space="preserve">     Professional Services                             </v>
      </c>
      <c r="C85" s="13"/>
      <c r="D85" s="1">
        <f>SUM(OSRRefD22_14x_0)</f>
        <v>0</v>
      </c>
      <c r="E85" s="1"/>
      <c r="F85" s="5">
        <f t="shared" si="52"/>
        <v>0</v>
      </c>
      <c r="G85" s="1"/>
      <c r="H85" s="1">
        <f>SUM(OSRRefH22_14x_0)</f>
        <v>0</v>
      </c>
      <c r="I85" s="1"/>
      <c r="J85" s="5">
        <f t="shared" si="53"/>
        <v>0</v>
      </c>
      <c r="K85" s="1"/>
      <c r="L85" s="1">
        <f t="shared" si="54"/>
        <v>0</v>
      </c>
      <c r="M85" s="1"/>
      <c r="N85" s="5">
        <f t="shared" si="55"/>
        <v>0</v>
      </c>
      <c r="O85" s="13"/>
      <c r="P85" s="1">
        <f>SUM(OSRRefP22_14x_0)</f>
        <v>125</v>
      </c>
      <c r="Q85" s="1"/>
      <c r="R85" s="5">
        <f t="shared" si="56"/>
        <v>3.0568363400929882E-5</v>
      </c>
      <c r="S85" s="1"/>
      <c r="T85" s="1">
        <f>SUM(OSRRefT22_14x_0)</f>
        <v>0</v>
      </c>
      <c r="U85" s="1"/>
      <c r="V85" s="5">
        <f t="shared" si="57"/>
        <v>0</v>
      </c>
      <c r="W85" s="1"/>
      <c r="X85" s="1">
        <f t="shared" si="58"/>
        <v>125</v>
      </c>
      <c r="Y85" s="1"/>
      <c r="Z85" s="5">
        <f t="shared" si="59"/>
        <v>0</v>
      </c>
    </row>
    <row r="86" spans="1:26" s="24" customFormat="1" hidden="1" outlineLevel="2" x14ac:dyDescent="0.25">
      <c r="A86" s="26"/>
      <c r="B86" s="11" t="str">
        <f>CONCATENATE("          ", "6336", " - ", "PROFESSIONAL SERVICES")</f>
        <v xml:space="preserve">          6336 - PROFESSIONAL SERVICES</v>
      </c>
      <c r="C86" s="11"/>
      <c r="D86" s="6"/>
      <c r="E86" s="2"/>
      <c r="F86" s="7">
        <f t="shared" si="52"/>
        <v>0</v>
      </c>
      <c r="G86" s="2"/>
      <c r="H86" s="6"/>
      <c r="I86" s="2"/>
      <c r="J86" s="7">
        <f t="shared" si="53"/>
        <v>0</v>
      </c>
      <c r="K86" s="2"/>
      <c r="L86" s="6">
        <f t="shared" si="54"/>
        <v>0</v>
      </c>
      <c r="M86" s="2"/>
      <c r="N86" s="7">
        <f t="shared" si="55"/>
        <v>0</v>
      </c>
      <c r="O86" s="11"/>
      <c r="P86" s="6">
        <v>125</v>
      </c>
      <c r="Q86" s="2"/>
      <c r="R86" s="7">
        <f t="shared" si="56"/>
        <v>3.0568363400929882E-5</v>
      </c>
      <c r="S86" s="2"/>
      <c r="T86" s="6"/>
      <c r="U86" s="2"/>
      <c r="V86" s="7">
        <f t="shared" si="57"/>
        <v>0</v>
      </c>
      <c r="W86" s="2"/>
      <c r="X86" s="6">
        <f t="shared" si="58"/>
        <v>125</v>
      </c>
      <c r="Y86" s="2"/>
      <c r="Z86" s="7">
        <f t="shared" si="59"/>
        <v>0</v>
      </c>
    </row>
    <row r="87" spans="1:26" s="25" customFormat="1" outlineLevel="1" collapsed="1" x14ac:dyDescent="0.25">
      <c r="A87" s="27"/>
      <c r="B87" s="13" t="str">
        <f>CONCATENATE("     ","Rent                                              ")</f>
        <v xml:space="preserve">     Rent                                              </v>
      </c>
      <c r="C87" s="13"/>
      <c r="D87" s="1">
        <f>SUM(OSRRefD22_15x_0)</f>
        <v>3000</v>
      </c>
      <c r="E87" s="1"/>
      <c r="F87" s="5">
        <f t="shared" si="52"/>
        <v>3.4879088500594721E-3</v>
      </c>
      <c r="G87" s="1"/>
      <c r="H87" s="1">
        <f>SUM(OSRRefH22_15x_0)</f>
        <v>3000</v>
      </c>
      <c r="I87" s="1"/>
      <c r="J87" s="5">
        <f t="shared" si="53"/>
        <v>3.8191661978534083E-3</v>
      </c>
      <c r="K87" s="1"/>
      <c r="L87" s="1">
        <f t="shared" si="54"/>
        <v>0</v>
      </c>
      <c r="M87" s="1"/>
      <c r="N87" s="5">
        <f t="shared" si="55"/>
        <v>0</v>
      </c>
      <c r="O87" s="13"/>
      <c r="P87" s="1">
        <f>SUM(OSRRefP22_15x_0)</f>
        <v>15000</v>
      </c>
      <c r="Q87" s="1"/>
      <c r="R87" s="5">
        <f t="shared" si="56"/>
        <v>3.6682036081115855E-3</v>
      </c>
      <c r="S87" s="1"/>
      <c r="T87" s="1">
        <f>SUM(OSRRefT22_15x_0)</f>
        <v>15000</v>
      </c>
      <c r="U87" s="1"/>
      <c r="V87" s="5">
        <f t="shared" si="57"/>
        <v>3.6801556236731648E-3</v>
      </c>
      <c r="W87" s="1"/>
      <c r="X87" s="1">
        <f t="shared" si="58"/>
        <v>0</v>
      </c>
      <c r="Y87" s="1"/>
      <c r="Z87" s="5">
        <f t="shared" si="59"/>
        <v>0</v>
      </c>
    </row>
    <row r="88" spans="1:26" s="24" customFormat="1" hidden="1" outlineLevel="2" x14ac:dyDescent="0.25">
      <c r="A88" s="26"/>
      <c r="B88" s="11" t="str">
        <f>CONCATENATE("          ", "6273", " - ", "RENT")</f>
        <v xml:space="preserve">          6273 - RENT</v>
      </c>
      <c r="C88" s="11"/>
      <c r="D88" s="6">
        <v>3000</v>
      </c>
      <c r="E88" s="2"/>
      <c r="F88" s="7">
        <f t="shared" si="52"/>
        <v>3.4879088500594721E-3</v>
      </c>
      <c r="G88" s="2"/>
      <c r="H88" s="6">
        <v>3000</v>
      </c>
      <c r="I88" s="2"/>
      <c r="J88" s="7">
        <f t="shared" si="53"/>
        <v>3.8191661978534083E-3</v>
      </c>
      <c r="K88" s="2"/>
      <c r="L88" s="6">
        <f t="shared" si="54"/>
        <v>0</v>
      </c>
      <c r="M88" s="2"/>
      <c r="N88" s="7">
        <f t="shared" si="55"/>
        <v>0</v>
      </c>
      <c r="O88" s="11"/>
      <c r="P88" s="6">
        <v>15000</v>
      </c>
      <c r="Q88" s="2"/>
      <c r="R88" s="7">
        <f t="shared" si="56"/>
        <v>3.6682036081115855E-3</v>
      </c>
      <c r="S88" s="2"/>
      <c r="T88" s="6">
        <v>15000</v>
      </c>
      <c r="U88" s="2"/>
      <c r="V88" s="7">
        <f t="shared" si="57"/>
        <v>3.6801556236731648E-3</v>
      </c>
      <c r="W88" s="2"/>
      <c r="X88" s="6">
        <f t="shared" si="58"/>
        <v>0</v>
      </c>
      <c r="Y88" s="2"/>
      <c r="Z88" s="7">
        <f t="shared" si="59"/>
        <v>0</v>
      </c>
    </row>
    <row r="89" spans="1:26" s="25" customFormat="1" outlineLevel="1" collapsed="1" x14ac:dyDescent="0.25">
      <c r="A89" s="27"/>
      <c r="B89" s="13" t="str">
        <f>CONCATENATE("     ","Repair and Maintenance                            ")</f>
        <v xml:space="preserve">     Repair and Maintenance                            </v>
      </c>
      <c r="C89" s="13"/>
      <c r="D89" s="1">
        <f>SUM(OSRRefD22_16x_0)</f>
        <v>13979.29</v>
      </c>
      <c r="E89" s="1"/>
      <c r="F89" s="5">
        <f t="shared" si="52"/>
        <v>1.6252829769515961E-2</v>
      </c>
      <c r="G89" s="1"/>
      <c r="H89" s="1">
        <f>SUM(OSRRefH22_16x_0)</f>
        <v>40410.79</v>
      </c>
      <c r="I89" s="1"/>
      <c r="J89" s="5">
        <f t="shared" si="53"/>
        <v>5.1445174398850844E-2</v>
      </c>
      <c r="K89" s="1"/>
      <c r="L89" s="1">
        <f t="shared" si="54"/>
        <v>-26431.5</v>
      </c>
      <c r="M89" s="1"/>
      <c r="N89" s="5">
        <f t="shared" si="55"/>
        <v>-0.65407036091103388</v>
      </c>
      <c r="O89" s="13"/>
      <c r="P89" s="1">
        <f>SUM(OSRRefP22_16x_0)</f>
        <v>129885.25</v>
      </c>
      <c r="Q89" s="1"/>
      <c r="R89" s="5">
        <f t="shared" si="56"/>
        <v>3.1763036179365024E-2</v>
      </c>
      <c r="S89" s="1"/>
      <c r="T89" s="1">
        <f>SUM(OSRRefT22_16x_0)</f>
        <v>144186.43</v>
      </c>
      <c r="U89" s="1"/>
      <c r="V89" s="5">
        <f t="shared" si="57"/>
        <v>3.5375233414790472E-2</v>
      </c>
      <c r="W89" s="1"/>
      <c r="X89" s="1">
        <f t="shared" si="58"/>
        <v>-14301.179999999993</v>
      </c>
      <c r="Y89" s="1"/>
      <c r="Z89" s="5">
        <f t="shared" si="59"/>
        <v>-9.9185339424798805E-2</v>
      </c>
    </row>
    <row r="90" spans="1:26" s="24" customFormat="1" hidden="1" outlineLevel="2" x14ac:dyDescent="0.25">
      <c r="A90" s="26"/>
      <c r="B90" s="11" t="str">
        <f>CONCATENATE("          ", "6371", " - ", "COMPUTER SOFTWARE MAINTENANCE")</f>
        <v xml:space="preserve">          6371 - COMPUTER SOFTWARE MAINTENANCE</v>
      </c>
      <c r="C90" s="11"/>
      <c r="D90" s="6"/>
      <c r="E90" s="2"/>
      <c r="F90" s="7">
        <f t="shared" si="52"/>
        <v>0</v>
      </c>
      <c r="G90" s="2"/>
      <c r="H90" s="6">
        <v>1032.07</v>
      </c>
      <c r="I90" s="2"/>
      <c r="J90" s="7">
        <f t="shared" si="53"/>
        <v>1.3138822859395222E-3</v>
      </c>
      <c r="K90" s="2"/>
      <c r="L90" s="6">
        <f t="shared" si="54"/>
        <v>-1032.07</v>
      </c>
      <c r="M90" s="2"/>
      <c r="N90" s="7">
        <f t="shared" si="55"/>
        <v>-1</v>
      </c>
      <c r="O90" s="11"/>
      <c r="P90" s="6">
        <v>12244.62</v>
      </c>
      <c r="Q90" s="2"/>
      <c r="R90" s="7">
        <f t="shared" si="56"/>
        <v>2.9943839509303525E-3</v>
      </c>
      <c r="S90" s="2"/>
      <c r="T90" s="6">
        <v>13797.38</v>
      </c>
      <c r="U90" s="2"/>
      <c r="V90" s="7">
        <f t="shared" si="57"/>
        <v>3.3851003732637101E-3</v>
      </c>
      <c r="W90" s="2"/>
      <c r="X90" s="6">
        <f t="shared" si="58"/>
        <v>-1552.7599999999984</v>
      </c>
      <c r="Y90" s="2"/>
      <c r="Z90" s="7">
        <f t="shared" si="59"/>
        <v>-0.11254020690884781</v>
      </c>
    </row>
    <row r="91" spans="1:26" s="24" customFormat="1" hidden="1" outlineLevel="2" x14ac:dyDescent="0.25">
      <c r="A91" s="26"/>
      <c r="B91" s="11" t="str">
        <f>CONCATENATE("          ", "6373", " - ", "MAINTENANCE CONTRACTS")</f>
        <v xml:space="preserve">          6373 - MAINTENANCE CONTRACTS</v>
      </c>
      <c r="C91" s="11"/>
      <c r="D91" s="6">
        <v>8621.15</v>
      </c>
      <c r="E91" s="2"/>
      <c r="F91" s="7">
        <f t="shared" si="52"/>
        <v>1.0023261794230073E-2</v>
      </c>
      <c r="G91" s="2"/>
      <c r="H91" s="6">
        <v>24456.02</v>
      </c>
      <c r="I91" s="2"/>
      <c r="J91" s="7">
        <f t="shared" si="53"/>
        <v>3.113386830600897E-2</v>
      </c>
      <c r="K91" s="2"/>
      <c r="L91" s="6">
        <f t="shared" si="54"/>
        <v>-15834.87</v>
      </c>
      <c r="M91" s="2"/>
      <c r="N91" s="7">
        <f t="shared" si="55"/>
        <v>-0.64748352348419735</v>
      </c>
      <c r="O91" s="11"/>
      <c r="P91" s="6">
        <v>41351.85</v>
      </c>
      <c r="Q91" s="2"/>
      <c r="R91" s="7">
        <f t="shared" si="56"/>
        <v>1.0112467024805939E-2</v>
      </c>
      <c r="S91" s="2"/>
      <c r="T91" s="6">
        <v>61784.69</v>
      </c>
      <c r="U91" s="2"/>
      <c r="V91" s="7">
        <f t="shared" si="57"/>
        <v>1.5158484957360212E-2</v>
      </c>
      <c r="W91" s="2"/>
      <c r="X91" s="6">
        <f t="shared" si="58"/>
        <v>-20432.840000000004</v>
      </c>
      <c r="Y91" s="2"/>
      <c r="Z91" s="7">
        <f t="shared" si="59"/>
        <v>-0.33071040738409474</v>
      </c>
    </row>
    <row r="92" spans="1:26" s="24" customFormat="1" hidden="1" outlineLevel="2" x14ac:dyDescent="0.25">
      <c r="A92" s="26"/>
      <c r="B92" s="11" t="str">
        <f>CONCATENATE("          ", "6375", " - ", "OUTSIDE REPAIRS &amp; MAINTENANCE")</f>
        <v xml:space="preserve">          6375 - OUTSIDE REPAIRS &amp; MAINTENANCE</v>
      </c>
      <c r="C92" s="11"/>
      <c r="D92" s="6">
        <v>5358.14</v>
      </c>
      <c r="E92" s="2"/>
      <c r="F92" s="7">
        <f t="shared" si="52"/>
        <v>6.2295679752858869E-3</v>
      </c>
      <c r="G92" s="2"/>
      <c r="H92" s="6">
        <v>14922.7</v>
      </c>
      <c r="I92" s="2"/>
      <c r="J92" s="7">
        <f t="shared" si="53"/>
        <v>1.8997423806902353E-2</v>
      </c>
      <c r="K92" s="2"/>
      <c r="L92" s="6">
        <f t="shared" si="54"/>
        <v>-9564.5600000000013</v>
      </c>
      <c r="M92" s="2"/>
      <c r="N92" s="7">
        <f t="shared" si="55"/>
        <v>-0.64094031240995264</v>
      </c>
      <c r="O92" s="11"/>
      <c r="P92" s="6">
        <v>76288.78</v>
      </c>
      <c r="Q92" s="2"/>
      <c r="R92" s="7">
        <f t="shared" si="56"/>
        <v>1.8656185203628731E-2</v>
      </c>
      <c r="S92" s="2"/>
      <c r="T92" s="6">
        <v>68604.36</v>
      </c>
      <c r="U92" s="2"/>
      <c r="V92" s="7">
        <f t="shared" si="57"/>
        <v>1.6831648084166557E-2</v>
      </c>
      <c r="W92" s="2"/>
      <c r="X92" s="6">
        <f t="shared" si="58"/>
        <v>7684.4199999999983</v>
      </c>
      <c r="Y92" s="2"/>
      <c r="Z92" s="7">
        <f t="shared" si="59"/>
        <v>0.11201066521136555</v>
      </c>
    </row>
    <row r="93" spans="1:26" s="25" customFormat="1" outlineLevel="1" collapsed="1" x14ac:dyDescent="0.25">
      <c r="A93" s="27"/>
      <c r="B93" s="13" t="str">
        <f>CONCATENATE("     ","Royalty &amp; Commissions                             ")</f>
        <v xml:space="preserve">     Royalty &amp; Commissions                             </v>
      </c>
      <c r="C93" s="13"/>
      <c r="D93" s="1">
        <f>SUM(OSRRefD22_17x_0)</f>
        <v>22370.73</v>
      </c>
      <c r="E93" s="1"/>
      <c r="F93" s="5">
        <f t="shared" ref="F93:F95" si="60">IF(D$12=0,0,D93/D$12)</f>
        <v>2.6009022383096977E-2</v>
      </c>
      <c r="G93" s="1"/>
      <c r="H93" s="1">
        <f>SUM(OSRRefH22_17x_0)</f>
        <v>19566.11</v>
      </c>
      <c r="I93" s="1"/>
      <c r="J93" s="5">
        <f t="shared" ref="J93:J95" si="61">IF(H$12=0,0,H93/H$12)</f>
        <v>2.490874197849385E-2</v>
      </c>
      <c r="K93" s="1"/>
      <c r="L93" s="1">
        <f t="shared" ref="L93:L95" si="62">+D93-H93</f>
        <v>2804.619999999999</v>
      </c>
      <c r="M93" s="1"/>
      <c r="N93" s="5">
        <f t="shared" ref="N93:N95" si="63">IF(H93=0,0,L93/H93)</f>
        <v>0.1433407049229509</v>
      </c>
      <c r="O93" s="13"/>
      <c r="P93" s="1">
        <f>SUM(OSRRefP22_17x_0)</f>
        <v>120393.04999999999</v>
      </c>
      <c r="Q93" s="1"/>
      <c r="R93" s="5">
        <f t="shared" ref="R93:R95" si="64">IF(P$12=0,0,P93/P$12)</f>
        <v>2.9441748026770565E-2</v>
      </c>
      <c r="S93" s="1"/>
      <c r="T93" s="1">
        <f>SUM(OSRRefT22_17x_0)</f>
        <v>121616.37</v>
      </c>
      <c r="U93" s="1"/>
      <c r="V93" s="5">
        <f t="shared" ref="V93:V95" si="65">IF(T$12=0,0,T93/T$12)</f>
        <v>2.9837811199081091E-2</v>
      </c>
      <c r="W93" s="1"/>
      <c r="X93" s="1">
        <f t="shared" ref="X93:X95" si="66">+P93-T93</f>
        <v>-1223.320000000007</v>
      </c>
      <c r="Y93" s="1"/>
      <c r="Z93" s="5">
        <f t="shared" ref="Z93:Z95" si="67">IF(T93=0,0,X93/T93)</f>
        <v>-1.0058843229739607E-2</v>
      </c>
    </row>
    <row r="94" spans="1:26" s="24" customFormat="1" hidden="1" outlineLevel="2" x14ac:dyDescent="0.25">
      <c r="A94" s="26"/>
      <c r="B94" s="11" t="str">
        <f>CONCATENATE("          ", "6254", " - ", "ROYALTY &amp; COMMISSIONS")</f>
        <v xml:space="preserve">          6254 - ROYALTY &amp; COMMISSIONS</v>
      </c>
      <c r="C94" s="11"/>
      <c r="D94" s="6">
        <v>8007.21</v>
      </c>
      <c r="E94" s="2"/>
      <c r="F94" s="7">
        <f t="shared" si="60"/>
        <v>9.3094728744282356E-3</v>
      </c>
      <c r="G94" s="2"/>
      <c r="H94" s="6">
        <v>6964.75</v>
      </c>
      <c r="I94" s="2"/>
      <c r="J94" s="7">
        <f t="shared" si="61"/>
        <v>8.8665125921665085E-3</v>
      </c>
      <c r="K94" s="2"/>
      <c r="L94" s="6">
        <f t="shared" si="62"/>
        <v>1042.46</v>
      </c>
      <c r="M94" s="2"/>
      <c r="N94" s="7">
        <f t="shared" si="63"/>
        <v>0.14967658566351988</v>
      </c>
      <c r="O94" s="11"/>
      <c r="P94" s="6">
        <v>58660.17</v>
      </c>
      <c r="Q94" s="2"/>
      <c r="R94" s="7">
        <f t="shared" si="64"/>
        <v>1.4345163149762599E-2</v>
      </c>
      <c r="S94" s="2"/>
      <c r="T94" s="6">
        <v>61396.37</v>
      </c>
      <c r="U94" s="2"/>
      <c r="V94" s="7">
        <f t="shared" si="65"/>
        <v>1.506321308857456E-2</v>
      </c>
      <c r="W94" s="2"/>
      <c r="X94" s="6">
        <f t="shared" si="66"/>
        <v>-2736.2000000000044</v>
      </c>
      <c r="Y94" s="2"/>
      <c r="Z94" s="7">
        <f t="shared" si="67"/>
        <v>-4.4566152689483177E-2</v>
      </c>
    </row>
    <row r="95" spans="1:26" s="24" customFormat="1" hidden="1" outlineLevel="2" x14ac:dyDescent="0.25">
      <c r="A95" s="26"/>
      <c r="B95" s="11" t="str">
        <f>CONCATENATE("          ", "6259", " - ", "ROYALTY &amp; COMMISSIONS")</f>
        <v xml:space="preserve">          6259 - ROYALTY &amp; COMMISSIONS</v>
      </c>
      <c r="C95" s="11"/>
      <c r="D95" s="6">
        <v>14363.52</v>
      </c>
      <c r="E95" s="2"/>
      <c r="F95" s="7">
        <f t="shared" si="60"/>
        <v>1.6699549508668744E-2</v>
      </c>
      <c r="G95" s="2"/>
      <c r="H95" s="6">
        <v>12601.36</v>
      </c>
      <c r="I95" s="2"/>
      <c r="J95" s="7">
        <f t="shared" si="61"/>
        <v>1.6042229386327343E-2</v>
      </c>
      <c r="K95" s="2"/>
      <c r="L95" s="6">
        <f t="shared" si="62"/>
        <v>1762.1599999999999</v>
      </c>
      <c r="M95" s="2"/>
      <c r="N95" s="7">
        <f t="shared" si="63"/>
        <v>0.13983887453417723</v>
      </c>
      <c r="O95" s="11"/>
      <c r="P95" s="6">
        <v>61732.88</v>
      </c>
      <c r="Q95" s="2"/>
      <c r="R95" s="7">
        <f t="shared" si="64"/>
        <v>1.5096584877007969E-2</v>
      </c>
      <c r="S95" s="2"/>
      <c r="T95" s="6">
        <v>60220</v>
      </c>
      <c r="U95" s="2"/>
      <c r="V95" s="7">
        <f t="shared" si="65"/>
        <v>1.4774598110506533E-2</v>
      </c>
      <c r="W95" s="2"/>
      <c r="X95" s="6">
        <f t="shared" si="66"/>
        <v>1512.8799999999974</v>
      </c>
      <c r="Y95" s="2"/>
      <c r="Z95" s="7">
        <f t="shared" si="67"/>
        <v>2.5122550647625329E-2</v>
      </c>
    </row>
    <row r="96" spans="1:26" s="25" customFormat="1" outlineLevel="1" collapsed="1" x14ac:dyDescent="0.25">
      <c r="A96" s="27"/>
      <c r="B96" s="13" t="str">
        <f>CONCATENATE("     ","Services                                          ")</f>
        <v xml:space="preserve">     Services                                          </v>
      </c>
      <c r="C96" s="13"/>
      <c r="D96" s="1">
        <f>SUM(OSRRefD22_18x_0)</f>
        <v>22934.629999999997</v>
      </c>
      <c r="E96" s="1"/>
      <c r="F96" s="5">
        <f t="shared" ref="F96:F101" si="68">IF(D$12=0,0,D96/D$12)</f>
        <v>2.6664632983279819E-2</v>
      </c>
      <c r="G96" s="1"/>
      <c r="H96" s="1">
        <f>SUM(OSRRefH22_18x_0)</f>
        <v>19566.309999999998</v>
      </c>
      <c r="I96" s="1"/>
      <c r="J96" s="5">
        <f t="shared" ref="J96:J101" si="69">IF(H$12=0,0,H96/H$12)</f>
        <v>2.4908996589573702E-2</v>
      </c>
      <c r="K96" s="1"/>
      <c r="L96" s="1">
        <f t="shared" ref="L96:L101" si="70">+D96-H96</f>
        <v>3368.3199999999997</v>
      </c>
      <c r="M96" s="1"/>
      <c r="N96" s="5">
        <f t="shared" ref="N96:N101" si="71">IF(H96=0,0,L96/H96)</f>
        <v>0.17214896421450954</v>
      </c>
      <c r="O96" s="13"/>
      <c r="P96" s="1">
        <f>SUM(OSRRefP22_18x_0)</f>
        <v>111550.04999999999</v>
      </c>
      <c r="Q96" s="1"/>
      <c r="R96" s="5">
        <f t="shared" ref="R96:R101" si="72">IF(P$12=0,0,P96/P$12)</f>
        <v>2.7279219726335183E-2</v>
      </c>
      <c r="S96" s="1"/>
      <c r="T96" s="1">
        <f>SUM(OSRRefT22_18x_0)</f>
        <v>126199.31999999999</v>
      </c>
      <c r="U96" s="1"/>
      <c r="V96" s="5">
        <f t="shared" ref="V96:V101" si="73">IF(T$12=0,0,T96/T$12)</f>
        <v>3.0962209146781952E-2</v>
      </c>
      <c r="W96" s="1"/>
      <c r="X96" s="1">
        <f t="shared" ref="X96:X101" si="74">+P96-T96</f>
        <v>-14649.270000000004</v>
      </c>
      <c r="Y96" s="1"/>
      <c r="Z96" s="5">
        <f t="shared" ref="Z96:Z101" si="75">IF(T96=0,0,X96/T96)</f>
        <v>-0.1160804194507546</v>
      </c>
    </row>
    <row r="97" spans="1:26" s="24" customFormat="1" hidden="1" outlineLevel="2" x14ac:dyDescent="0.25">
      <c r="A97" s="26"/>
      <c r="B97" s="11" t="str">
        <f>CONCATENATE("          ", "6282", " - ", "JANITORIAL/EXTERMINATOR EXPENS")</f>
        <v xml:space="preserve">          6282 - JANITORIAL/EXTERMINATOR EXPENS</v>
      </c>
      <c r="C97" s="11"/>
      <c r="D97" s="6">
        <v>1577.31</v>
      </c>
      <c r="E97" s="2"/>
      <c r="F97" s="7">
        <f t="shared" si="68"/>
        <v>1.8338378360957684E-3</v>
      </c>
      <c r="G97" s="2"/>
      <c r="H97" s="6">
        <v>1918.16</v>
      </c>
      <c r="I97" s="2"/>
      <c r="J97" s="7">
        <f t="shared" si="69"/>
        <v>2.4419239446914977E-3</v>
      </c>
      <c r="K97" s="2"/>
      <c r="L97" s="6">
        <f t="shared" si="70"/>
        <v>-340.85000000000014</v>
      </c>
      <c r="M97" s="2"/>
      <c r="N97" s="7">
        <f t="shared" si="71"/>
        <v>-0.17769633398673734</v>
      </c>
      <c r="O97" s="11"/>
      <c r="P97" s="6">
        <v>9266.99</v>
      </c>
      <c r="Q97" s="2"/>
      <c r="R97" s="7">
        <f t="shared" si="72"/>
        <v>2.2662137436222653E-3</v>
      </c>
      <c r="S97" s="2"/>
      <c r="T97" s="6">
        <v>9319.8799999999992</v>
      </c>
      <c r="U97" s="2"/>
      <c r="V97" s="7">
        <f t="shared" si="73"/>
        <v>2.2865739195972704E-3</v>
      </c>
      <c r="W97" s="2"/>
      <c r="X97" s="6">
        <f t="shared" si="74"/>
        <v>-52.889999999999418</v>
      </c>
      <c r="Y97" s="2"/>
      <c r="Z97" s="7">
        <f t="shared" si="75"/>
        <v>-5.6749657720914243E-3</v>
      </c>
    </row>
    <row r="98" spans="1:26" s="24" customFormat="1" hidden="1" outlineLevel="2" x14ac:dyDescent="0.25">
      <c r="A98" s="26"/>
      <c r="B98" s="11" t="str">
        <f>CONCATENATE("          ", "6283", " - ", "PLANT SERVICE")</f>
        <v xml:space="preserve">          6283 - PLANT SERVICE</v>
      </c>
      <c r="C98" s="11"/>
      <c r="D98" s="6">
        <v>199.78</v>
      </c>
      <c r="E98" s="2"/>
      <c r="F98" s="7">
        <f t="shared" si="68"/>
        <v>2.3227147668829378E-4</v>
      </c>
      <c r="G98" s="2"/>
      <c r="H98" s="6">
        <v>176</v>
      </c>
      <c r="I98" s="2"/>
      <c r="J98" s="7">
        <f t="shared" si="69"/>
        <v>2.2405775027406662E-4</v>
      </c>
      <c r="K98" s="2"/>
      <c r="L98" s="6">
        <f t="shared" si="70"/>
        <v>23.78</v>
      </c>
      <c r="M98" s="2"/>
      <c r="N98" s="7">
        <f t="shared" si="71"/>
        <v>0.13511363636363638</v>
      </c>
      <c r="O98" s="11"/>
      <c r="P98" s="6">
        <v>799.12</v>
      </c>
      <c r="Q98" s="2"/>
      <c r="R98" s="7">
        <f t="shared" si="72"/>
        <v>1.9542232448760869E-4</v>
      </c>
      <c r="S98" s="2"/>
      <c r="T98" s="6">
        <v>880</v>
      </c>
      <c r="U98" s="2"/>
      <c r="V98" s="7">
        <f t="shared" si="73"/>
        <v>2.1590246325549234E-4</v>
      </c>
      <c r="W98" s="2"/>
      <c r="X98" s="6">
        <f t="shared" si="74"/>
        <v>-80.88</v>
      </c>
      <c r="Y98" s="2"/>
      <c r="Z98" s="7">
        <f t="shared" si="75"/>
        <v>-9.1909090909090899E-2</v>
      </c>
    </row>
    <row r="99" spans="1:26" s="24" customFormat="1" hidden="1" outlineLevel="2" x14ac:dyDescent="0.25">
      <c r="A99" s="26"/>
      <c r="B99" s="11" t="str">
        <f>CONCATENATE("          ", "6284", " - ", "TRASH REMOVAL EXPENSE")</f>
        <v xml:space="preserve">          6284 - TRASH REMOVAL EXPENSE</v>
      </c>
      <c r="C99" s="11"/>
      <c r="D99" s="6">
        <v>4436</v>
      </c>
      <c r="E99" s="2"/>
      <c r="F99" s="7">
        <f t="shared" si="68"/>
        <v>5.1574545529546063E-3</v>
      </c>
      <c r="G99" s="2"/>
      <c r="H99" s="6">
        <v>4436</v>
      </c>
      <c r="I99" s="2"/>
      <c r="J99" s="7">
        <f t="shared" si="69"/>
        <v>5.6472737512259065E-3</v>
      </c>
      <c r="K99" s="2"/>
      <c r="L99" s="6">
        <f t="shared" si="70"/>
        <v>0</v>
      </c>
      <c r="M99" s="2"/>
      <c r="N99" s="7">
        <f t="shared" si="71"/>
        <v>0</v>
      </c>
      <c r="O99" s="11"/>
      <c r="P99" s="6">
        <v>14168</v>
      </c>
      <c r="Q99" s="2"/>
      <c r="R99" s="7">
        <f t="shared" si="72"/>
        <v>3.4647405813149966E-3</v>
      </c>
      <c r="S99" s="2"/>
      <c r="T99" s="6">
        <v>32257</v>
      </c>
      <c r="U99" s="2"/>
      <c r="V99" s="7">
        <f t="shared" si="73"/>
        <v>7.9140519968550187E-3</v>
      </c>
      <c r="W99" s="2"/>
      <c r="X99" s="6">
        <f t="shared" si="74"/>
        <v>-18089</v>
      </c>
      <c r="Y99" s="2"/>
      <c r="Z99" s="7">
        <f t="shared" si="75"/>
        <v>-0.56077750565768669</v>
      </c>
    </row>
    <row r="100" spans="1:26" s="24" customFormat="1" hidden="1" outlineLevel="2" x14ac:dyDescent="0.25">
      <c r="A100" s="26"/>
      <c r="B100" s="11" t="str">
        <f>CONCATENATE("          ", "6285", " - ", "JANITORIAL SERVICES")</f>
        <v xml:space="preserve">          6285 - JANITORIAL SERVICES</v>
      </c>
      <c r="C100" s="11"/>
      <c r="D100" s="6">
        <v>13547.3</v>
      </c>
      <c r="E100" s="2"/>
      <c r="F100" s="7">
        <f t="shared" si="68"/>
        <v>1.5750582521470227E-2</v>
      </c>
      <c r="G100" s="2"/>
      <c r="H100" s="6">
        <v>9237.9699999999993</v>
      </c>
      <c r="I100" s="2"/>
      <c r="J100" s="7">
        <f t="shared" si="69"/>
        <v>1.1760447586927949E-2</v>
      </c>
      <c r="K100" s="2"/>
      <c r="L100" s="6">
        <f t="shared" si="70"/>
        <v>4309.33</v>
      </c>
      <c r="M100" s="2"/>
      <c r="N100" s="7">
        <f t="shared" si="71"/>
        <v>0.46648018991185297</v>
      </c>
      <c r="O100" s="11"/>
      <c r="P100" s="6">
        <v>66853.45</v>
      </c>
      <c r="Q100" s="2"/>
      <c r="R100" s="7">
        <f t="shared" si="72"/>
        <v>1.6348804433647165E-2</v>
      </c>
      <c r="S100" s="2"/>
      <c r="T100" s="6">
        <v>63012.800000000003</v>
      </c>
      <c r="U100" s="2"/>
      <c r="V100" s="7">
        <f t="shared" si="73"/>
        <v>1.5459794018892827E-2</v>
      </c>
      <c r="W100" s="2"/>
      <c r="X100" s="6">
        <f t="shared" si="74"/>
        <v>3840.6499999999942</v>
      </c>
      <c r="Y100" s="2"/>
      <c r="Z100" s="7">
        <f t="shared" si="75"/>
        <v>6.0950314856663947E-2</v>
      </c>
    </row>
    <row r="101" spans="1:26" s="24" customFormat="1" hidden="1" outlineLevel="2" x14ac:dyDescent="0.25">
      <c r="A101" s="26"/>
      <c r="B101" s="11" t="str">
        <f>CONCATENATE("          ", "6286", " - ", "LAUNDRY EXPENSE")</f>
        <v xml:space="preserve">          6286 - LAUNDRY EXPENSE</v>
      </c>
      <c r="C101" s="11"/>
      <c r="D101" s="6">
        <v>3174.24</v>
      </c>
      <c r="E101" s="2"/>
      <c r="F101" s="7">
        <f t="shared" si="68"/>
        <v>3.6904865960709259E-3</v>
      </c>
      <c r="G101" s="2"/>
      <c r="H101" s="6">
        <v>3798.18</v>
      </c>
      <c r="I101" s="2"/>
      <c r="J101" s="7">
        <f t="shared" si="69"/>
        <v>4.8352935564542855E-3</v>
      </c>
      <c r="K101" s="2"/>
      <c r="L101" s="6">
        <f t="shared" si="70"/>
        <v>-623.94000000000005</v>
      </c>
      <c r="M101" s="2"/>
      <c r="N101" s="7">
        <f t="shared" si="71"/>
        <v>-0.16427341516199867</v>
      </c>
      <c r="O101" s="11"/>
      <c r="P101" s="6">
        <v>20462.489999999998</v>
      </c>
      <c r="Q101" s="2"/>
      <c r="R101" s="7">
        <f t="shared" si="72"/>
        <v>5.0040386432631491E-3</v>
      </c>
      <c r="S101" s="2"/>
      <c r="T101" s="6">
        <v>20729.64</v>
      </c>
      <c r="U101" s="2"/>
      <c r="V101" s="7">
        <f t="shared" si="73"/>
        <v>5.0858867481813454E-3</v>
      </c>
      <c r="W101" s="2"/>
      <c r="X101" s="6">
        <f t="shared" si="74"/>
        <v>-267.15000000000146</v>
      </c>
      <c r="Y101" s="2"/>
      <c r="Z101" s="7">
        <f t="shared" si="75"/>
        <v>-1.2887343919141937E-2</v>
      </c>
    </row>
    <row r="102" spans="1:26" s="25" customFormat="1" outlineLevel="1" collapsed="1" x14ac:dyDescent="0.25">
      <c r="A102" s="27"/>
      <c r="B102" s="13" t="str">
        <f>CONCATENATE("     ","Subscriptions &amp; Dues                              ")</f>
        <v xml:space="preserve">     Subscriptions &amp; Dues                              </v>
      </c>
      <c r="C102" s="13"/>
      <c r="D102" s="1">
        <f>SUM(OSRRefD22_19x_0)</f>
        <v>454.78</v>
      </c>
      <c r="E102" s="1"/>
      <c r="F102" s="5">
        <f t="shared" ref="F102:F104" si="76">IF(D$12=0,0,D102/D$12)</f>
        <v>5.2874372894334885E-4</v>
      </c>
      <c r="G102" s="1"/>
      <c r="H102" s="1">
        <f>SUM(OSRRefH22_19x_0)</f>
        <v>608.82000000000005</v>
      </c>
      <c r="I102" s="1"/>
      <c r="J102" s="5">
        <f t="shared" ref="J102:J104" si="77">IF(H$12=0,0,H102/H$12)</f>
        <v>7.7506158819237074E-4</v>
      </c>
      <c r="K102" s="1"/>
      <c r="L102" s="1">
        <f t="shared" ref="L102:L104" si="78">+D102-H102</f>
        <v>-154.04000000000008</v>
      </c>
      <c r="M102" s="1"/>
      <c r="N102" s="5">
        <f t="shared" ref="N102:N104" si="79">IF(H102=0,0,L102/H102)</f>
        <v>-0.25301402713445692</v>
      </c>
      <c r="O102" s="13"/>
      <c r="P102" s="1">
        <f>SUM(OSRRefP22_19x_0)</f>
        <v>2856.78</v>
      </c>
      <c r="Q102" s="1"/>
      <c r="R102" s="5">
        <f t="shared" ref="R102:R104" si="80">IF(P$12=0,0,P102/P$12)</f>
        <v>6.9861671357206775E-4</v>
      </c>
      <c r="S102" s="1"/>
      <c r="T102" s="1">
        <f>SUM(OSRRefT22_19x_0)</f>
        <v>1930.79</v>
      </c>
      <c r="U102" s="1"/>
      <c r="V102" s="5">
        <f t="shared" ref="V102:V104" si="81">IF(T$12=0,0,T102/T$12)</f>
        <v>4.7370717844212731E-4</v>
      </c>
      <c r="W102" s="1"/>
      <c r="X102" s="1">
        <f t="shared" ref="X102:X104" si="82">+P102-T102</f>
        <v>925.99000000000024</v>
      </c>
      <c r="Y102" s="1"/>
      <c r="Z102" s="5">
        <f t="shared" ref="Z102:Z104" si="83">IF(T102=0,0,X102/T102)</f>
        <v>0.4795912553928704</v>
      </c>
    </row>
    <row r="103" spans="1:26" s="24" customFormat="1" hidden="1" outlineLevel="2" x14ac:dyDescent="0.25">
      <c r="A103" s="26"/>
      <c r="B103" s="11" t="str">
        <f>CONCATENATE("          ", "6258", " - ", "MEMBERSHIP DUES")</f>
        <v xml:space="preserve">          6258 - MEMBERSHIP DUES</v>
      </c>
      <c r="C103" s="11"/>
      <c r="D103" s="6"/>
      <c r="E103" s="2"/>
      <c r="F103" s="7">
        <f t="shared" si="76"/>
        <v>0</v>
      </c>
      <c r="G103" s="2"/>
      <c r="H103" s="6">
        <v>45</v>
      </c>
      <c r="I103" s="2"/>
      <c r="J103" s="7">
        <f t="shared" si="77"/>
        <v>5.7287492967801124E-5</v>
      </c>
      <c r="K103" s="2"/>
      <c r="L103" s="6">
        <f t="shared" si="78"/>
        <v>-45</v>
      </c>
      <c r="M103" s="2"/>
      <c r="N103" s="7">
        <f t="shared" si="79"/>
        <v>-1</v>
      </c>
      <c r="O103" s="11"/>
      <c r="P103" s="6"/>
      <c r="Q103" s="2"/>
      <c r="R103" s="7">
        <f t="shared" si="80"/>
        <v>0</v>
      </c>
      <c r="S103" s="2"/>
      <c r="T103" s="6">
        <v>76.8</v>
      </c>
      <c r="U103" s="2"/>
      <c r="V103" s="7">
        <f t="shared" si="81"/>
        <v>1.8842396793206602E-5</v>
      </c>
      <c r="W103" s="2"/>
      <c r="X103" s="6">
        <f t="shared" si="82"/>
        <v>-76.8</v>
      </c>
      <c r="Y103" s="2"/>
      <c r="Z103" s="7">
        <f t="shared" si="83"/>
        <v>-1</v>
      </c>
    </row>
    <row r="104" spans="1:26" s="24" customFormat="1" hidden="1" outlineLevel="2" x14ac:dyDescent="0.25">
      <c r="A104" s="26"/>
      <c r="B104" s="11" t="str">
        <f>CONCATENATE("          ", "6275", " - ", "SUBSCRIPTIONS")</f>
        <v xml:space="preserve">          6275 - SUBSCRIPTIONS</v>
      </c>
      <c r="C104" s="11"/>
      <c r="D104" s="6">
        <v>454.78</v>
      </c>
      <c r="E104" s="2"/>
      <c r="F104" s="7">
        <f t="shared" si="76"/>
        <v>5.2874372894334885E-4</v>
      </c>
      <c r="G104" s="2"/>
      <c r="H104" s="6">
        <v>563.82000000000005</v>
      </c>
      <c r="I104" s="2"/>
      <c r="J104" s="7">
        <f t="shared" si="77"/>
        <v>7.1777409522456957E-4</v>
      </c>
      <c r="K104" s="2"/>
      <c r="L104" s="6">
        <f t="shared" si="78"/>
        <v>-109.04000000000008</v>
      </c>
      <c r="M104" s="2"/>
      <c r="N104" s="7">
        <f t="shared" si="79"/>
        <v>-0.19339505515944816</v>
      </c>
      <c r="O104" s="11"/>
      <c r="P104" s="6">
        <v>2856.78</v>
      </c>
      <c r="Q104" s="2"/>
      <c r="R104" s="7">
        <f t="shared" si="80"/>
        <v>6.9861671357206775E-4</v>
      </c>
      <c r="S104" s="2"/>
      <c r="T104" s="6">
        <v>1853.99</v>
      </c>
      <c r="U104" s="2"/>
      <c r="V104" s="7">
        <f t="shared" si="81"/>
        <v>4.5486478164892075E-4</v>
      </c>
      <c r="W104" s="2"/>
      <c r="X104" s="6">
        <f t="shared" si="82"/>
        <v>1002.7900000000002</v>
      </c>
      <c r="Y104" s="2"/>
      <c r="Z104" s="7">
        <f t="shared" si="83"/>
        <v>0.54088209753019179</v>
      </c>
    </row>
    <row r="105" spans="1:26" s="25" customFormat="1" outlineLevel="1" collapsed="1" x14ac:dyDescent="0.25">
      <c r="A105" s="27"/>
      <c r="B105" s="13" t="str">
        <f>CONCATENATE("     ","Supplies                                          ")</f>
        <v xml:space="preserve">     Supplies                                          </v>
      </c>
      <c r="C105" s="13"/>
      <c r="D105" s="1">
        <f>SUM(OSRRefD22_20x_0)</f>
        <v>17651.849999999999</v>
      </c>
      <c r="E105" s="1"/>
      <c r="F105" s="5">
        <f t="shared" ref="F105:F113" si="84">IF(D$12=0,0,D105/D$12)</f>
        <v>2.052268127830743E-2</v>
      </c>
      <c r="G105" s="1"/>
      <c r="H105" s="1">
        <f>SUM(OSRRefH22_20x_0)</f>
        <v>19367.300000000003</v>
      </c>
      <c r="I105" s="1"/>
      <c r="J105" s="5">
        <f t="shared" ref="J105:J113" si="85">IF(H$12=0,0,H105/H$12)</f>
        <v>2.4655645834562107E-2</v>
      </c>
      <c r="K105" s="1"/>
      <c r="L105" s="1">
        <f t="shared" ref="L105:L113" si="86">+D105-H105</f>
        <v>-1715.4500000000044</v>
      </c>
      <c r="M105" s="1"/>
      <c r="N105" s="5">
        <f t="shared" ref="N105:N113" si="87">IF(H105=0,0,L105/H105)</f>
        <v>-8.8574556081642983E-2</v>
      </c>
      <c r="O105" s="13"/>
      <c r="P105" s="1">
        <f>SUM(OSRRefP22_20x_0)</f>
        <v>138833.79</v>
      </c>
      <c r="Q105" s="1"/>
      <c r="R105" s="5">
        <f t="shared" ref="R105:R113" si="88">IF(P$12=0,0,P105/P$12)</f>
        <v>3.3951373960387082E-2</v>
      </c>
      <c r="S105" s="1"/>
      <c r="T105" s="1">
        <f>SUM(OSRRefT22_20x_0)</f>
        <v>121407.06000000001</v>
      </c>
      <c r="U105" s="1"/>
      <c r="V105" s="5">
        <f t="shared" ref="V105:V113" si="89">IF(T$12=0,0,T105/T$12)</f>
        <v>2.9786458307508361E-2</v>
      </c>
      <c r="W105" s="1"/>
      <c r="X105" s="1">
        <f t="shared" ref="X105:X113" si="90">+P105-T105</f>
        <v>17426.729999999996</v>
      </c>
      <c r="Y105" s="1"/>
      <c r="Z105" s="5">
        <f t="shared" ref="Z105:Z113" si="91">IF(T105=0,0,X105/T105)</f>
        <v>0.14353967553451993</v>
      </c>
    </row>
    <row r="106" spans="1:26" s="24" customFormat="1" hidden="1" outlineLevel="2" x14ac:dyDescent="0.25">
      <c r="A106" s="26"/>
      <c r="B106" s="11" t="str">
        <f>CONCATENATE("          ", "6234", " - ", "EXPENDABLE SUPPLIES &amp; EQUIPMEN")</f>
        <v xml:space="preserve">          6234 - EXPENDABLE SUPPLIES &amp; EQUIPMEN</v>
      </c>
      <c r="C106" s="11"/>
      <c r="D106" s="6">
        <v>584.04999999999995</v>
      </c>
      <c r="E106" s="2"/>
      <c r="F106" s="7">
        <f t="shared" si="84"/>
        <v>6.790377212924115E-4</v>
      </c>
      <c r="G106" s="2"/>
      <c r="H106" s="6">
        <v>710.95</v>
      </c>
      <c r="I106" s="2"/>
      <c r="J106" s="7">
        <f t="shared" si="85"/>
        <v>9.0507873612129361E-4</v>
      </c>
      <c r="K106" s="2"/>
      <c r="L106" s="6">
        <f t="shared" si="86"/>
        <v>-126.90000000000009</v>
      </c>
      <c r="M106" s="2"/>
      <c r="N106" s="7">
        <f t="shared" si="87"/>
        <v>-0.17849356494830873</v>
      </c>
      <c r="O106" s="11"/>
      <c r="P106" s="6">
        <v>13295.18</v>
      </c>
      <c r="Q106" s="2"/>
      <c r="R106" s="7">
        <f t="shared" si="88"/>
        <v>3.2512951497661994E-3</v>
      </c>
      <c r="S106" s="2"/>
      <c r="T106" s="6">
        <v>7787.54</v>
      </c>
      <c r="U106" s="2"/>
      <c r="V106" s="7">
        <f t="shared" si="89"/>
        <v>1.9106239417053146E-3</v>
      </c>
      <c r="W106" s="2"/>
      <c r="X106" s="6">
        <f t="shared" si="90"/>
        <v>5507.64</v>
      </c>
      <c r="Y106" s="2"/>
      <c r="Z106" s="7">
        <f t="shared" si="91"/>
        <v>0.70723745881241062</v>
      </c>
    </row>
    <row r="107" spans="1:26" s="24" customFormat="1" hidden="1" outlineLevel="2" x14ac:dyDescent="0.25">
      <c r="A107" s="26"/>
      <c r="B107" s="11" t="str">
        <f>CONCATENATE("          ", "6237", " - ", "JANITORIAL SUPPLIES")</f>
        <v xml:space="preserve">          6237 - JANITORIAL SUPPLIES</v>
      </c>
      <c r="C107" s="11"/>
      <c r="D107" s="6">
        <v>6002.88</v>
      </c>
      <c r="E107" s="2"/>
      <c r="F107" s="7">
        <f t="shared" si="84"/>
        <v>6.9791660926150009E-3</v>
      </c>
      <c r="G107" s="2"/>
      <c r="H107" s="6">
        <v>4714.71</v>
      </c>
      <c r="I107" s="2"/>
      <c r="J107" s="7">
        <f t="shared" si="85"/>
        <v>6.0020870215604805E-3</v>
      </c>
      <c r="K107" s="2"/>
      <c r="L107" s="6">
        <f t="shared" si="86"/>
        <v>1288.17</v>
      </c>
      <c r="M107" s="2"/>
      <c r="N107" s="7">
        <f t="shared" si="87"/>
        <v>0.27322359169492927</v>
      </c>
      <c r="O107" s="11"/>
      <c r="P107" s="6">
        <v>27208.62</v>
      </c>
      <c r="Q107" s="2"/>
      <c r="R107" s="7">
        <f t="shared" si="88"/>
        <v>6.65378387038247E-3</v>
      </c>
      <c r="S107" s="2"/>
      <c r="T107" s="6">
        <v>26277.22</v>
      </c>
      <c r="U107" s="2"/>
      <c r="V107" s="7">
        <f t="shared" si="89"/>
        <v>6.4469505971664646E-3</v>
      </c>
      <c r="W107" s="2"/>
      <c r="X107" s="6">
        <f t="shared" si="90"/>
        <v>931.39999999999782</v>
      </c>
      <c r="Y107" s="2"/>
      <c r="Z107" s="7">
        <f t="shared" si="91"/>
        <v>3.5445149829395874E-2</v>
      </c>
    </row>
    <row r="108" spans="1:26" s="24" customFormat="1" hidden="1" outlineLevel="2" x14ac:dyDescent="0.25">
      <c r="A108" s="26"/>
      <c r="B108" s="11" t="str">
        <f>CONCATENATE("          ", "6239", " - ", "KITCHEN SUPPLIES")</f>
        <v xml:space="preserve">          6239 - KITCHEN SUPPLIES</v>
      </c>
      <c r="C108" s="11"/>
      <c r="D108" s="6">
        <v>2631.87</v>
      </c>
      <c r="E108" s="2"/>
      <c r="F108" s="7">
        <f t="shared" si="84"/>
        <v>3.0599075550686739E-3</v>
      </c>
      <c r="G108" s="2"/>
      <c r="H108" s="6">
        <v>4151.2</v>
      </c>
      <c r="I108" s="2"/>
      <c r="J108" s="7">
        <f t="shared" si="85"/>
        <v>5.284707573509689E-3</v>
      </c>
      <c r="K108" s="2"/>
      <c r="L108" s="6">
        <f t="shared" si="86"/>
        <v>-1519.33</v>
      </c>
      <c r="M108" s="2"/>
      <c r="N108" s="7">
        <f t="shared" si="87"/>
        <v>-0.36599778377336672</v>
      </c>
      <c r="O108" s="11"/>
      <c r="P108" s="6">
        <v>30535.4</v>
      </c>
      <c r="Q108" s="2"/>
      <c r="R108" s="7">
        <f t="shared" si="88"/>
        <v>7.4673376303420348E-3</v>
      </c>
      <c r="S108" s="2"/>
      <c r="T108" s="6">
        <v>15943.02</v>
      </c>
      <c r="U108" s="2"/>
      <c r="V108" s="7">
        <f t="shared" si="89"/>
        <v>3.9115196474222499E-3</v>
      </c>
      <c r="W108" s="2"/>
      <c r="X108" s="6">
        <f t="shared" si="90"/>
        <v>14592.380000000001</v>
      </c>
      <c r="Y108" s="2"/>
      <c r="Z108" s="7">
        <f t="shared" si="91"/>
        <v>0.91528330266160363</v>
      </c>
    </row>
    <row r="109" spans="1:26" s="24" customFormat="1" hidden="1" outlineLevel="2" x14ac:dyDescent="0.25">
      <c r="A109" s="26"/>
      <c r="B109" s="11" t="str">
        <f>CONCATENATE("          ", "6241", " - ", "OFFICE EXPENSE")</f>
        <v xml:space="preserve">          6241 - OFFICE EXPENSE</v>
      </c>
      <c r="C109" s="11"/>
      <c r="D109" s="6">
        <v>2332.04</v>
      </c>
      <c r="E109" s="2"/>
      <c r="F109" s="7">
        <f t="shared" si="84"/>
        <v>2.7113143182308968E-3</v>
      </c>
      <c r="G109" s="2"/>
      <c r="H109" s="6">
        <v>2113.1799999999998</v>
      </c>
      <c r="I109" s="2"/>
      <c r="J109" s="7">
        <f t="shared" si="85"/>
        <v>2.6901952086599546E-3</v>
      </c>
      <c r="K109" s="2"/>
      <c r="L109" s="6">
        <f t="shared" si="86"/>
        <v>218.86000000000013</v>
      </c>
      <c r="M109" s="2"/>
      <c r="N109" s="7">
        <f t="shared" si="87"/>
        <v>0.1035690286676952</v>
      </c>
      <c r="O109" s="11"/>
      <c r="P109" s="6">
        <v>14815.58</v>
      </c>
      <c r="Q109" s="2"/>
      <c r="R109" s="7">
        <f t="shared" si="88"/>
        <v>3.6231042674843899E-3</v>
      </c>
      <c r="S109" s="2"/>
      <c r="T109" s="6">
        <v>13971.41</v>
      </c>
      <c r="U109" s="2"/>
      <c r="V109" s="7">
        <f t="shared" si="89"/>
        <v>3.4277975388095662E-3</v>
      </c>
      <c r="W109" s="2"/>
      <c r="X109" s="6">
        <f t="shared" si="90"/>
        <v>844.17000000000007</v>
      </c>
      <c r="Y109" s="2"/>
      <c r="Z109" s="7">
        <f t="shared" si="91"/>
        <v>6.04212459587114E-2</v>
      </c>
    </row>
    <row r="110" spans="1:26" s="24" customFormat="1" hidden="1" outlineLevel="2" x14ac:dyDescent="0.25">
      <c r="A110" s="26"/>
      <c r="B110" s="11" t="str">
        <f>CONCATENATE("          ", "6243", " - ", "PAPER SUPPLIES")</f>
        <v xml:space="preserve">          6243 - PAPER SUPPLIES</v>
      </c>
      <c r="C110" s="11"/>
      <c r="D110" s="6">
        <v>2645.27</v>
      </c>
      <c r="E110" s="2"/>
      <c r="F110" s="7">
        <f t="shared" si="84"/>
        <v>3.0754868812656066E-3</v>
      </c>
      <c r="G110" s="2"/>
      <c r="H110" s="6">
        <v>5439.95</v>
      </c>
      <c r="I110" s="2"/>
      <c r="J110" s="7">
        <f t="shared" si="85"/>
        <v>6.9253577193375488E-3</v>
      </c>
      <c r="K110" s="2"/>
      <c r="L110" s="6">
        <f t="shared" si="86"/>
        <v>-2794.68</v>
      </c>
      <c r="M110" s="2"/>
      <c r="N110" s="7">
        <f t="shared" si="87"/>
        <v>-0.51373266298403475</v>
      </c>
      <c r="O110" s="11"/>
      <c r="P110" s="6">
        <v>19582.710000000003</v>
      </c>
      <c r="Q110" s="2"/>
      <c r="R110" s="7">
        <f t="shared" si="88"/>
        <v>4.7888911652401896E-3</v>
      </c>
      <c r="S110" s="2"/>
      <c r="T110" s="6">
        <v>28631.38</v>
      </c>
      <c r="U110" s="2"/>
      <c r="V110" s="7">
        <f t="shared" si="89"/>
        <v>7.0245289413682259E-3</v>
      </c>
      <c r="W110" s="2"/>
      <c r="X110" s="6">
        <f t="shared" si="90"/>
        <v>-9048.6699999999983</v>
      </c>
      <c r="Y110" s="2"/>
      <c r="Z110" s="7">
        <f t="shared" si="91"/>
        <v>-0.31604030263298516</v>
      </c>
    </row>
    <row r="111" spans="1:26" s="24" customFormat="1" hidden="1" outlineLevel="2" x14ac:dyDescent="0.25">
      <c r="A111" s="26"/>
      <c r="B111" s="11" t="str">
        <f>CONCATENATE("          ", "6245", " - ", "PRINTING")</f>
        <v xml:space="preserve">          6245 - PRINTING</v>
      </c>
      <c r="C111" s="11"/>
      <c r="D111" s="6">
        <v>53.43</v>
      </c>
      <c r="E111" s="2"/>
      <c r="F111" s="7">
        <f t="shared" si="84"/>
        <v>6.21196566195592E-5</v>
      </c>
      <c r="G111" s="2"/>
      <c r="H111" s="6"/>
      <c r="I111" s="2"/>
      <c r="J111" s="7">
        <f t="shared" si="85"/>
        <v>0</v>
      </c>
      <c r="K111" s="2"/>
      <c r="L111" s="6">
        <f t="shared" si="86"/>
        <v>53.43</v>
      </c>
      <c r="M111" s="2"/>
      <c r="N111" s="7">
        <f t="shared" si="87"/>
        <v>0</v>
      </c>
      <c r="O111" s="11"/>
      <c r="P111" s="6">
        <v>352.64</v>
      </c>
      <c r="Q111" s="2"/>
      <c r="R111" s="7">
        <f t="shared" si="88"/>
        <v>8.6237021357631302E-5</v>
      </c>
      <c r="S111" s="2"/>
      <c r="T111" s="6">
        <v>51.82</v>
      </c>
      <c r="U111" s="2"/>
      <c r="V111" s="7">
        <f t="shared" si="89"/>
        <v>1.2713710961249561E-5</v>
      </c>
      <c r="W111" s="2"/>
      <c r="X111" s="6">
        <f t="shared" si="90"/>
        <v>300.82</v>
      </c>
      <c r="Y111" s="2"/>
      <c r="Z111" s="7">
        <f t="shared" si="91"/>
        <v>5.8050945580856812</v>
      </c>
    </row>
    <row r="112" spans="1:26" s="24" customFormat="1" hidden="1" outlineLevel="2" x14ac:dyDescent="0.25">
      <c r="A112" s="26"/>
      <c r="B112" s="11" t="str">
        <f>CONCATENATE("          ", "6247", " - ", "STORE SUPPLIES")</f>
        <v xml:space="preserve">          6247 - STORE SUPPLIES</v>
      </c>
      <c r="C112" s="11"/>
      <c r="D112" s="6">
        <v>3151.8</v>
      </c>
      <c r="E112" s="2"/>
      <c r="F112" s="7">
        <f t="shared" si="84"/>
        <v>3.6643970378724814E-3</v>
      </c>
      <c r="G112" s="2"/>
      <c r="H112" s="6">
        <v>2055.38</v>
      </c>
      <c r="I112" s="2"/>
      <c r="J112" s="7">
        <f t="shared" si="85"/>
        <v>2.6166126065813129E-3</v>
      </c>
      <c r="K112" s="2"/>
      <c r="L112" s="6">
        <f t="shared" si="86"/>
        <v>1096.42</v>
      </c>
      <c r="M112" s="2"/>
      <c r="N112" s="7">
        <f t="shared" si="87"/>
        <v>0.53343907209372476</v>
      </c>
      <c r="O112" s="11"/>
      <c r="P112" s="6">
        <v>29309.91</v>
      </c>
      <c r="Q112" s="2"/>
      <c r="R112" s="7">
        <f t="shared" si="88"/>
        <v>7.1676478410283894E-3</v>
      </c>
      <c r="S112" s="2"/>
      <c r="T112" s="6">
        <v>20611.580000000002</v>
      </c>
      <c r="U112" s="2"/>
      <c r="V112" s="7">
        <f t="shared" si="89"/>
        <v>5.0569214699859562E-3</v>
      </c>
      <c r="W112" s="2"/>
      <c r="X112" s="6">
        <f t="shared" si="90"/>
        <v>8698.3299999999981</v>
      </c>
      <c r="Y112" s="2"/>
      <c r="Z112" s="7">
        <f t="shared" si="91"/>
        <v>0.42201180113314929</v>
      </c>
    </row>
    <row r="113" spans="1:26" s="24" customFormat="1" hidden="1" outlineLevel="2" x14ac:dyDescent="0.25">
      <c r="A113" s="26"/>
      <c r="B113" s="11" t="str">
        <f>CONCATENATE("          ", "6248", " - ", "UNIFORMS")</f>
        <v xml:space="preserve">          6248 - UNIFORMS</v>
      </c>
      <c r="C113" s="11"/>
      <c r="D113" s="6">
        <v>250.51</v>
      </c>
      <c r="E113" s="2"/>
      <c r="F113" s="7">
        <f t="shared" si="84"/>
        <v>2.9125201534279944E-4</v>
      </c>
      <c r="G113" s="2"/>
      <c r="H113" s="6">
        <v>181.93</v>
      </c>
      <c r="I113" s="2"/>
      <c r="J113" s="7">
        <f t="shared" si="85"/>
        <v>2.3160696879182352E-4</v>
      </c>
      <c r="K113" s="2"/>
      <c r="L113" s="6">
        <f t="shared" si="86"/>
        <v>68.579999999999984</v>
      </c>
      <c r="M113" s="2"/>
      <c r="N113" s="7">
        <f t="shared" si="87"/>
        <v>0.37695817072500404</v>
      </c>
      <c r="O113" s="11"/>
      <c r="P113" s="6">
        <v>3733.75</v>
      </c>
      <c r="Q113" s="2"/>
      <c r="R113" s="7">
        <f t="shared" si="88"/>
        <v>9.1307701478577556E-4</v>
      </c>
      <c r="S113" s="2"/>
      <c r="T113" s="6">
        <v>8133.09</v>
      </c>
      <c r="U113" s="2"/>
      <c r="V113" s="7">
        <f t="shared" si="89"/>
        <v>1.9954024600893319E-3</v>
      </c>
      <c r="W113" s="2"/>
      <c r="X113" s="6">
        <f t="shared" si="90"/>
        <v>-4399.34</v>
      </c>
      <c r="Y113" s="2"/>
      <c r="Z113" s="7">
        <f t="shared" si="91"/>
        <v>-0.54091864223806696</v>
      </c>
    </row>
    <row r="114" spans="1:26" s="25" customFormat="1" outlineLevel="1" collapsed="1" x14ac:dyDescent="0.25">
      <c r="A114" s="27"/>
      <c r="B114" s="13" t="str">
        <f>CONCATENATE("     ","Telephone/Data Lines                              ")</f>
        <v xml:space="preserve">     Telephone/Data Lines                              </v>
      </c>
      <c r="C114" s="13"/>
      <c r="D114" s="1">
        <f>SUM(OSRRefD22_21x_0)</f>
        <v>1790.68</v>
      </c>
      <c r="E114" s="1"/>
      <c r="F114" s="5">
        <f t="shared" ref="F114:F121" si="92">IF(D$12=0,0,D114/D$12)</f>
        <v>2.0819095398748317E-3</v>
      </c>
      <c r="G114" s="1"/>
      <c r="H114" s="1">
        <f>SUM(OSRRefH22_21x_0)</f>
        <v>2235.9899999999998</v>
      </c>
      <c r="I114" s="1"/>
      <c r="J114" s="5">
        <f t="shared" ref="J114:J121" si="93">IF(H$12=0,0,H114/H$12)</f>
        <v>2.8465391422460803E-3</v>
      </c>
      <c r="K114" s="1"/>
      <c r="L114" s="1">
        <f t="shared" ref="L114:L121" si="94">+D114-H114</f>
        <v>-445.30999999999972</v>
      </c>
      <c r="M114" s="1"/>
      <c r="N114" s="5">
        <f t="shared" ref="N114:N121" si="95">IF(H114=0,0,L114/H114)</f>
        <v>-0.19915563128636521</v>
      </c>
      <c r="O114" s="13"/>
      <c r="P114" s="1">
        <f>SUM(OSRRefP22_21x_0)</f>
        <v>10283.129999999999</v>
      </c>
      <c r="Q114" s="1"/>
      <c r="R114" s="5">
        <f t="shared" ref="R114:R121" si="96">IF(P$12=0,0,P114/P$12)</f>
        <v>2.5147076379120324E-3</v>
      </c>
      <c r="S114" s="1"/>
      <c r="T114" s="1">
        <f>SUM(OSRRefT22_21x_0)</f>
        <v>11448.3</v>
      </c>
      <c r="U114" s="1"/>
      <c r="V114" s="5">
        <f t="shared" ref="V114:V121" si="97">IF(T$12=0,0,T114/T$12)</f>
        <v>2.8087683750998328E-3</v>
      </c>
      <c r="W114" s="1"/>
      <c r="X114" s="1">
        <f t="shared" ref="X114:X121" si="98">+P114-T114</f>
        <v>-1165.17</v>
      </c>
      <c r="Y114" s="1"/>
      <c r="Z114" s="5">
        <f t="shared" ref="Z114:Z121" si="99">IF(T114=0,0,X114/T114)</f>
        <v>-0.10177668300096959</v>
      </c>
    </row>
    <row r="115" spans="1:26" s="24" customFormat="1" hidden="1" outlineLevel="2" x14ac:dyDescent="0.25">
      <c r="A115" s="26"/>
      <c r="B115" s="11" t="str">
        <f>CONCATENATE("          ", "6309", " - ", "TELEPHONE")</f>
        <v xml:space="preserve">          6309 - TELEPHONE</v>
      </c>
      <c r="C115" s="11"/>
      <c r="D115" s="6">
        <v>1790.68</v>
      </c>
      <c r="E115" s="2"/>
      <c r="F115" s="7">
        <f t="shared" si="92"/>
        <v>2.0819095398748317E-3</v>
      </c>
      <c r="G115" s="2"/>
      <c r="H115" s="6">
        <v>2235.9899999999998</v>
      </c>
      <c r="I115" s="2"/>
      <c r="J115" s="7">
        <f t="shared" si="93"/>
        <v>2.8465391422460803E-3</v>
      </c>
      <c r="K115" s="2"/>
      <c r="L115" s="6">
        <f t="shared" si="94"/>
        <v>-445.30999999999972</v>
      </c>
      <c r="M115" s="2"/>
      <c r="N115" s="7">
        <f t="shared" si="95"/>
        <v>-0.19915563128636521</v>
      </c>
      <c r="O115" s="11"/>
      <c r="P115" s="6">
        <v>10283.129999999999</v>
      </c>
      <c r="Q115" s="2"/>
      <c r="R115" s="7">
        <f t="shared" si="96"/>
        <v>2.5147076379120324E-3</v>
      </c>
      <c r="S115" s="2"/>
      <c r="T115" s="6">
        <v>11448.3</v>
      </c>
      <c r="U115" s="2"/>
      <c r="V115" s="7">
        <f t="shared" si="97"/>
        <v>2.8087683750998328E-3</v>
      </c>
      <c r="W115" s="2"/>
      <c r="X115" s="6">
        <f t="shared" si="98"/>
        <v>-1165.17</v>
      </c>
      <c r="Y115" s="2"/>
      <c r="Z115" s="7">
        <f t="shared" si="99"/>
        <v>-0.10177668300096959</v>
      </c>
    </row>
    <row r="116" spans="1:26" s="25" customFormat="1" outlineLevel="1" collapsed="1" x14ac:dyDescent="0.25">
      <c r="A116" s="27"/>
      <c r="B116" s="13" t="str">
        <f>CONCATENATE("     ","Training                                          ")</f>
        <v xml:space="preserve">     Training                                          </v>
      </c>
      <c r="C116" s="13"/>
      <c r="D116" s="1">
        <f>SUM(OSRRefD22_22x_0)</f>
        <v>85</v>
      </c>
      <c r="E116" s="1"/>
      <c r="F116" s="5">
        <f t="shared" si="92"/>
        <v>9.8824084085018368E-5</v>
      </c>
      <c r="G116" s="1"/>
      <c r="H116" s="1">
        <f>SUM(OSRRefH22_22x_0)</f>
        <v>240</v>
      </c>
      <c r="I116" s="1"/>
      <c r="J116" s="5">
        <f t="shared" si="93"/>
        <v>3.0553329582827266E-4</v>
      </c>
      <c r="K116" s="1"/>
      <c r="L116" s="1">
        <f t="shared" si="94"/>
        <v>-155</v>
      </c>
      <c r="M116" s="1"/>
      <c r="N116" s="5">
        <f t="shared" si="95"/>
        <v>-0.64583333333333337</v>
      </c>
      <c r="O116" s="13"/>
      <c r="P116" s="1">
        <f>SUM(OSRRefP22_22x_0)</f>
        <v>1748.5</v>
      </c>
      <c r="Q116" s="1"/>
      <c r="R116" s="5">
        <f t="shared" si="96"/>
        <v>4.2759026725220717E-4</v>
      </c>
      <c r="S116" s="1"/>
      <c r="T116" s="1">
        <f>SUM(OSRRefT22_22x_0)</f>
        <v>1029.3</v>
      </c>
      <c r="U116" s="1"/>
      <c r="V116" s="5">
        <f t="shared" si="97"/>
        <v>2.5253227889645256E-4</v>
      </c>
      <c r="W116" s="1"/>
      <c r="X116" s="1">
        <f t="shared" si="98"/>
        <v>719.2</v>
      </c>
      <c r="Y116" s="1"/>
      <c r="Z116" s="5">
        <f t="shared" si="99"/>
        <v>0.69872729039152826</v>
      </c>
    </row>
    <row r="117" spans="1:26" s="24" customFormat="1" hidden="1" outlineLevel="2" x14ac:dyDescent="0.25">
      <c r="A117" s="26"/>
      <c r="B117" s="11" t="str">
        <f>CONCATENATE("          ", "6376", " - ", "TRAINING")</f>
        <v xml:space="preserve">          6376 - TRAINING</v>
      </c>
      <c r="C117" s="11"/>
      <c r="D117" s="6">
        <v>85</v>
      </c>
      <c r="E117" s="2"/>
      <c r="F117" s="7">
        <f t="shared" si="92"/>
        <v>9.8824084085018368E-5</v>
      </c>
      <c r="G117" s="2"/>
      <c r="H117" s="6">
        <v>240</v>
      </c>
      <c r="I117" s="2"/>
      <c r="J117" s="7">
        <f t="shared" si="93"/>
        <v>3.0553329582827266E-4</v>
      </c>
      <c r="K117" s="2"/>
      <c r="L117" s="6">
        <f t="shared" si="94"/>
        <v>-155</v>
      </c>
      <c r="M117" s="2"/>
      <c r="N117" s="7">
        <f t="shared" si="95"/>
        <v>-0.64583333333333337</v>
      </c>
      <c r="O117" s="11"/>
      <c r="P117" s="6">
        <v>1748.5</v>
      </c>
      <c r="Q117" s="2"/>
      <c r="R117" s="7">
        <f t="shared" si="96"/>
        <v>4.2759026725220717E-4</v>
      </c>
      <c r="S117" s="2"/>
      <c r="T117" s="6">
        <v>1029.3</v>
      </c>
      <c r="U117" s="2"/>
      <c r="V117" s="7">
        <f t="shared" si="97"/>
        <v>2.5253227889645256E-4</v>
      </c>
      <c r="W117" s="2"/>
      <c r="X117" s="6">
        <f t="shared" si="98"/>
        <v>719.2</v>
      </c>
      <c r="Y117" s="2"/>
      <c r="Z117" s="7">
        <f t="shared" si="99"/>
        <v>0.69872729039152826</v>
      </c>
    </row>
    <row r="118" spans="1:26" s="25" customFormat="1" outlineLevel="1" collapsed="1" x14ac:dyDescent="0.25">
      <c r="A118" s="27"/>
      <c r="B118" s="13" t="str">
        <f>CONCATENATE("     ","Travel                                            ")</f>
        <v xml:space="preserve">     Travel                                            </v>
      </c>
      <c r="C118" s="13"/>
      <c r="D118" s="1">
        <f>SUM(OSRRefD22_23x_0)</f>
        <v>301.73</v>
      </c>
      <c r="E118" s="1"/>
      <c r="F118" s="5">
        <f t="shared" si="92"/>
        <v>3.5080224577614818E-4</v>
      </c>
      <c r="G118" s="1"/>
      <c r="H118" s="1">
        <f>SUM(OSRRefH22_23x_0)</f>
        <v>563.62</v>
      </c>
      <c r="I118" s="1"/>
      <c r="J118" s="5">
        <f t="shared" si="93"/>
        <v>7.1751948414471261E-4</v>
      </c>
      <c r="K118" s="1"/>
      <c r="L118" s="1">
        <f t="shared" si="94"/>
        <v>-261.89</v>
      </c>
      <c r="M118" s="1"/>
      <c r="N118" s="5">
        <f t="shared" si="95"/>
        <v>-0.46465703843014794</v>
      </c>
      <c r="O118" s="13"/>
      <c r="P118" s="1">
        <f>SUM(OSRRefP22_23x_0)</f>
        <v>1402.9099999999999</v>
      </c>
      <c r="Q118" s="1"/>
      <c r="R118" s="5">
        <f t="shared" si="96"/>
        <v>3.4307730159038825E-4</v>
      </c>
      <c r="S118" s="1"/>
      <c r="T118" s="1">
        <f>SUM(OSRRefT22_23x_0)</f>
        <v>2481.0299999999997</v>
      </c>
      <c r="U118" s="1"/>
      <c r="V118" s="5">
        <f t="shared" si="97"/>
        <v>6.0870510046678872E-4</v>
      </c>
      <c r="W118" s="1"/>
      <c r="X118" s="1">
        <f t="shared" si="98"/>
        <v>-1078.1199999999999</v>
      </c>
      <c r="Y118" s="1"/>
      <c r="Z118" s="5">
        <f t="shared" si="99"/>
        <v>-0.43454532996376505</v>
      </c>
    </row>
    <row r="119" spans="1:26" s="24" customFormat="1" hidden="1" outlineLevel="2" x14ac:dyDescent="0.25">
      <c r="A119" s="26"/>
      <c r="B119" s="11" t="str">
        <f>CONCATENATE("          ", "6292", " - ", "TRAVEL/CONFERENCE")</f>
        <v xml:space="preserve">          6292 - TRAVEL/CONFERENCE</v>
      </c>
      <c r="C119" s="11"/>
      <c r="D119" s="6">
        <v>153.68</v>
      </c>
      <c r="E119" s="2"/>
      <c r="F119" s="7">
        <f t="shared" si="92"/>
        <v>1.7867394402571322E-4</v>
      </c>
      <c r="G119" s="2"/>
      <c r="H119" s="6">
        <v>424.9</v>
      </c>
      <c r="I119" s="2"/>
      <c r="J119" s="7">
        <f t="shared" si="93"/>
        <v>5.4092123915597105E-4</v>
      </c>
      <c r="K119" s="2"/>
      <c r="L119" s="6">
        <f t="shared" si="94"/>
        <v>-271.21999999999997</v>
      </c>
      <c r="M119" s="2"/>
      <c r="N119" s="7">
        <f t="shared" si="95"/>
        <v>-0.63831489762297011</v>
      </c>
      <c r="O119" s="11"/>
      <c r="P119" s="6">
        <v>699.37</v>
      </c>
      <c r="Q119" s="2"/>
      <c r="R119" s="7">
        <f t="shared" si="96"/>
        <v>1.7102877049366663E-4</v>
      </c>
      <c r="S119" s="2"/>
      <c r="T119" s="6">
        <v>737.64</v>
      </c>
      <c r="U119" s="2"/>
      <c r="V119" s="7">
        <f t="shared" si="97"/>
        <v>1.8097533294975156E-4</v>
      </c>
      <c r="W119" s="2"/>
      <c r="X119" s="6">
        <f t="shared" si="98"/>
        <v>-38.269999999999982</v>
      </c>
      <c r="Y119" s="2"/>
      <c r="Z119" s="7">
        <f t="shared" si="99"/>
        <v>-5.1881676698660568E-2</v>
      </c>
    </row>
    <row r="120" spans="1:26" s="24" customFormat="1" hidden="1" outlineLevel="2" x14ac:dyDescent="0.25">
      <c r="A120" s="26"/>
      <c r="B120" s="11" t="str">
        <f>CONCATENATE("          ", "6294", " - ", "TRAVEL OPERATIONAL")</f>
        <v xml:space="preserve">          6294 - TRAVEL OPERATIONAL</v>
      </c>
      <c r="C120" s="11"/>
      <c r="D120" s="6"/>
      <c r="E120" s="2"/>
      <c r="F120" s="7">
        <f t="shared" si="92"/>
        <v>0</v>
      </c>
      <c r="G120" s="2"/>
      <c r="H120" s="6"/>
      <c r="I120" s="2"/>
      <c r="J120" s="7">
        <f t="shared" si="93"/>
        <v>0</v>
      </c>
      <c r="K120" s="2"/>
      <c r="L120" s="6">
        <f t="shared" si="94"/>
        <v>0</v>
      </c>
      <c r="M120" s="2"/>
      <c r="N120" s="7">
        <f t="shared" si="95"/>
        <v>0</v>
      </c>
      <c r="O120" s="11"/>
      <c r="P120" s="6">
        <v>45.49</v>
      </c>
      <c r="Q120" s="2"/>
      <c r="R120" s="7">
        <f t="shared" si="96"/>
        <v>1.1124438808866402E-5</v>
      </c>
      <c r="S120" s="2"/>
      <c r="T120" s="6">
        <v>1258.9000000000001</v>
      </c>
      <c r="U120" s="2"/>
      <c r="V120" s="7">
        <f t="shared" si="97"/>
        <v>3.0886319430947654E-4</v>
      </c>
      <c r="W120" s="2"/>
      <c r="X120" s="6">
        <f t="shared" si="98"/>
        <v>-1213.4100000000001</v>
      </c>
      <c r="Y120" s="2"/>
      <c r="Z120" s="7">
        <f t="shared" si="99"/>
        <v>-0.96386527921201048</v>
      </c>
    </row>
    <row r="121" spans="1:26" s="24" customFormat="1" hidden="1" outlineLevel="2" x14ac:dyDescent="0.25">
      <c r="A121" s="26"/>
      <c r="B121" s="11" t="str">
        <f>CONCATENATE("          ", "6298", " - ", "VEHICLE MILEAGE")</f>
        <v xml:space="preserve">          6298 - VEHICLE MILEAGE</v>
      </c>
      <c r="C121" s="11"/>
      <c r="D121" s="6">
        <v>148.05000000000001</v>
      </c>
      <c r="E121" s="2"/>
      <c r="F121" s="7">
        <f t="shared" si="92"/>
        <v>1.7212830175043496E-4</v>
      </c>
      <c r="G121" s="2"/>
      <c r="H121" s="6">
        <v>138.72</v>
      </c>
      <c r="I121" s="2"/>
      <c r="J121" s="7">
        <f t="shared" si="93"/>
        <v>1.7659824498874159E-4</v>
      </c>
      <c r="K121" s="2"/>
      <c r="L121" s="6">
        <f t="shared" si="94"/>
        <v>9.3300000000000125</v>
      </c>
      <c r="M121" s="2"/>
      <c r="N121" s="7">
        <f t="shared" si="95"/>
        <v>6.7257785467128114E-2</v>
      </c>
      <c r="O121" s="11"/>
      <c r="P121" s="6">
        <v>658.05</v>
      </c>
      <c r="Q121" s="2"/>
      <c r="R121" s="7">
        <f t="shared" si="96"/>
        <v>1.6092409228785526E-4</v>
      </c>
      <c r="S121" s="2"/>
      <c r="T121" s="6">
        <v>484.49</v>
      </c>
      <c r="U121" s="2"/>
      <c r="V121" s="7">
        <f t="shared" si="97"/>
        <v>1.1886657320756079E-4</v>
      </c>
      <c r="W121" s="2"/>
      <c r="X121" s="6">
        <f t="shared" si="98"/>
        <v>173.55999999999995</v>
      </c>
      <c r="Y121" s="2"/>
      <c r="Z121" s="7">
        <f t="shared" si="99"/>
        <v>0.3582323680571321</v>
      </c>
    </row>
    <row r="122" spans="1:26" s="25" customFormat="1" outlineLevel="1" collapsed="1" x14ac:dyDescent="0.25">
      <c r="A122" s="27"/>
      <c r="B122" s="13" t="str">
        <f>CONCATENATE("     ","Utilities                                         ")</f>
        <v xml:space="preserve">     Utilities                                         </v>
      </c>
      <c r="C122" s="13"/>
      <c r="D122" s="1">
        <f>SUM(OSRRefD22_24x_0)</f>
        <v>14669</v>
      </c>
      <c r="E122" s="1"/>
      <c r="F122" s="5">
        <f t="shared" ref="F122:F123" si="100">IF(D$12=0,0,D122/D$12)</f>
        <v>1.7054711640507463E-2</v>
      </c>
      <c r="G122" s="1"/>
      <c r="H122" s="1">
        <f>SUM(OSRRefH22_24x_0)</f>
        <v>14439.89</v>
      </c>
      <c r="I122" s="1"/>
      <c r="J122" s="5">
        <f t="shared" ref="J122:J123" si="101">IF(H$12=0,0,H122/H$12)</f>
        <v>1.8382779929573816E-2</v>
      </c>
      <c r="K122" s="1"/>
      <c r="L122" s="1">
        <f t="shared" ref="L122:L123" si="102">+D122-H122</f>
        <v>229.11000000000058</v>
      </c>
      <c r="M122" s="1"/>
      <c r="N122" s="5">
        <f t="shared" ref="N122:N123" si="103">IF(H122=0,0,L122/H122)</f>
        <v>1.5866464356722981E-2</v>
      </c>
      <c r="O122" s="13"/>
      <c r="P122" s="1">
        <f>SUM(OSRRefP22_24x_0)</f>
        <v>61378.119999999995</v>
      </c>
      <c r="Q122" s="1"/>
      <c r="R122" s="5">
        <f t="shared" ref="R122:R123" si="104">IF(P$12=0,0,P122/P$12)</f>
        <v>1.5009829416207057E-2</v>
      </c>
      <c r="S122" s="1"/>
      <c r="T122" s="1">
        <f>SUM(OSRRefT22_24x_0)</f>
        <v>47678.11</v>
      </c>
      <c r="U122" s="1"/>
      <c r="V122" s="5">
        <f t="shared" ref="V122:V123" si="105">IF(T$12=0,0,T122/T$12)</f>
        <v>1.1697524309507185E-2</v>
      </c>
      <c r="W122" s="1"/>
      <c r="X122" s="1">
        <f t="shared" ref="X122:X123" si="106">+P122-T122</f>
        <v>13700.009999999995</v>
      </c>
      <c r="Y122" s="1"/>
      <c r="Z122" s="5">
        <f t="shared" ref="Z122:Z123" si="107">IF(T122=0,0,X122/T122)</f>
        <v>0.28734381459332164</v>
      </c>
    </row>
    <row r="123" spans="1:26" s="24" customFormat="1" hidden="1" outlineLevel="2" x14ac:dyDescent="0.25">
      <c r="A123" s="26"/>
      <c r="B123" s="11" t="str">
        <f>CONCATENATE("          ", "6274", " - ", "UTILITIES")</f>
        <v xml:space="preserve">          6274 - UTILITIES</v>
      </c>
      <c r="C123" s="11"/>
      <c r="D123" s="6">
        <v>14669</v>
      </c>
      <c r="E123" s="2"/>
      <c r="F123" s="7">
        <f t="shared" si="100"/>
        <v>1.7054711640507463E-2</v>
      </c>
      <c r="G123" s="2"/>
      <c r="H123" s="6">
        <v>14439.89</v>
      </c>
      <c r="I123" s="2"/>
      <c r="J123" s="7">
        <f t="shared" si="101"/>
        <v>1.8382779929573816E-2</v>
      </c>
      <c r="K123" s="2"/>
      <c r="L123" s="6">
        <f t="shared" si="102"/>
        <v>229.11000000000058</v>
      </c>
      <c r="M123" s="2"/>
      <c r="N123" s="7">
        <f t="shared" si="103"/>
        <v>1.5866464356722981E-2</v>
      </c>
      <c r="O123" s="11"/>
      <c r="P123" s="6">
        <v>61378.119999999995</v>
      </c>
      <c r="Q123" s="2"/>
      <c r="R123" s="7">
        <f t="shared" si="104"/>
        <v>1.5009829416207057E-2</v>
      </c>
      <c r="S123" s="2"/>
      <c r="T123" s="6">
        <v>47678.11</v>
      </c>
      <c r="U123" s="2"/>
      <c r="V123" s="7">
        <f t="shared" si="105"/>
        <v>1.1697524309507185E-2</v>
      </c>
      <c r="W123" s="2"/>
      <c r="X123" s="6">
        <f t="shared" si="106"/>
        <v>13700.009999999995</v>
      </c>
      <c r="Y123" s="2"/>
      <c r="Z123" s="7">
        <f t="shared" si="107"/>
        <v>0.28734381459332164</v>
      </c>
    </row>
    <row r="124" spans="1:26" s="53" customFormat="1" x14ac:dyDescent="0.25">
      <c r="A124" s="37"/>
      <c r="B124" s="37"/>
      <c r="C124" s="37"/>
      <c r="D124" s="1"/>
      <c r="E124" s="1"/>
      <c r="F124" s="5"/>
      <c r="G124" s="1"/>
      <c r="H124" s="1"/>
      <c r="I124" s="1"/>
      <c r="J124" s="5"/>
      <c r="K124" s="1"/>
      <c r="L124" s="1"/>
      <c r="M124" s="1"/>
      <c r="N124" s="5"/>
      <c r="O124" s="37"/>
      <c r="P124" s="1"/>
      <c r="Q124" s="1"/>
      <c r="R124" s="5"/>
      <c r="S124" s="1"/>
      <c r="T124" s="1"/>
      <c r="U124" s="1"/>
      <c r="V124" s="5"/>
      <c r="W124" s="1"/>
      <c r="X124" s="1"/>
      <c r="Y124" s="1"/>
      <c r="Z124" s="5"/>
    </row>
    <row r="125" spans="1:26" s="23" customFormat="1" collapsed="1" x14ac:dyDescent="0.25">
      <c r="A125" s="10"/>
      <c r="B125" s="28" t="s">
        <v>0</v>
      </c>
      <c r="C125" s="10"/>
      <c r="D125" s="4">
        <f>SUM(OSRRefD25x_0)</f>
        <v>66542.63</v>
      </c>
      <c r="E125" s="4"/>
      <c r="F125" s="12">
        <f t="shared" ref="F125:F128" si="108">IF(D$12=0,0,D125/D$12)</f>
        <v>7.7364876027744306E-2</v>
      </c>
      <c r="G125" s="4"/>
      <c r="H125" s="4">
        <f>SUM(OSRRefH25x_0)</f>
        <v>93308.69</v>
      </c>
      <c r="I125" s="4"/>
      <c r="J125" s="12">
        <f t="shared" ref="J125:J128" si="109">IF(H$12=0,0,H125/H$12)</f>
        <v>0.11878713160466078</v>
      </c>
      <c r="K125" s="4"/>
      <c r="L125" s="4">
        <f t="shared" ref="L125:L128" si="110">+D125-H125</f>
        <v>-26766.059999999998</v>
      </c>
      <c r="M125" s="4"/>
      <c r="N125" s="12">
        <f t="shared" ref="N125:N128" si="111">IF(H125=0,0,L125/H125)</f>
        <v>-0.28685495423845297</v>
      </c>
      <c r="O125" s="10"/>
      <c r="P125" s="4">
        <f>SUM(OSRRefP25x_0)</f>
        <v>493067.26</v>
      </c>
      <c r="Q125" s="4"/>
      <c r="R125" s="12">
        <f t="shared" ref="R125:R128" si="112">IF(P$12=0,0,P125/P$12)</f>
        <v>0.12057807347824623</v>
      </c>
      <c r="S125" s="4"/>
      <c r="T125" s="4">
        <f>SUM(OSRRefT25x_0)</f>
        <v>426231.95</v>
      </c>
      <c r="U125" s="4"/>
      <c r="V125" s="12">
        <f t="shared" ref="V125:V128" si="113">IF(T$12=0,0,T125/T$12)</f>
        <v>0.10457332718544529</v>
      </c>
      <c r="W125" s="4"/>
      <c r="X125" s="4">
        <f t="shared" ref="X125:X128" si="114">+P125-T125</f>
        <v>66835.31</v>
      </c>
      <c r="Y125" s="4"/>
      <c r="Z125" s="12">
        <f t="shared" ref="Z125:Z128" si="115">IF(T125=0,0,X125/T125)</f>
        <v>0.1568050213035414</v>
      </c>
    </row>
    <row r="126" spans="1:26" s="24" customFormat="1" hidden="1" outlineLevel="1" x14ac:dyDescent="0.25">
      <c r="A126" s="44"/>
      <c r="B126" s="11" t="str">
        <f>CONCATENATE("          ", "9150", " - ", "MISC. INCOME")</f>
        <v xml:space="preserve">          9150 - MISC. INCOME</v>
      </c>
      <c r="C126" s="11"/>
      <c r="D126" s="2">
        <f>--48346.26</f>
        <v>48346.26</v>
      </c>
      <c r="E126" s="2"/>
      <c r="F126" s="19">
        <f t="shared" si="108"/>
        <v>5.6209116040425416E-2</v>
      </c>
      <c r="G126" s="2"/>
      <c r="H126" s="2">
        <f>--71607.8</f>
        <v>71607.8</v>
      </c>
      <c r="I126" s="2"/>
      <c r="J126" s="19">
        <f t="shared" si="109"/>
        <v>9.1160696420882426E-2</v>
      </c>
      <c r="K126" s="2"/>
      <c r="L126" s="2">
        <f t="shared" si="110"/>
        <v>-23261.54</v>
      </c>
      <c r="M126" s="2"/>
      <c r="N126" s="19">
        <f t="shared" si="111"/>
        <v>-0.32484645527442541</v>
      </c>
      <c r="O126" s="11"/>
      <c r="P126" s="2">
        <f>--165642.94</f>
        <v>165642.94</v>
      </c>
      <c r="Q126" s="2"/>
      <c r="R126" s="19">
        <f t="shared" si="112"/>
        <v>4.0507468677747391E-2</v>
      </c>
      <c r="S126" s="2"/>
      <c r="T126" s="2">
        <f>--147915.28</f>
        <v>147915.28</v>
      </c>
      <c r="U126" s="2"/>
      <c r="V126" s="19">
        <f t="shared" si="113"/>
        <v>3.6290083301279384E-2</v>
      </c>
      <c r="W126" s="2"/>
      <c r="X126" s="2">
        <f t="shared" si="114"/>
        <v>17727.660000000003</v>
      </c>
      <c r="Y126" s="2"/>
      <c r="Z126" s="19">
        <f t="shared" si="115"/>
        <v>0.1198500925665016</v>
      </c>
    </row>
    <row r="127" spans="1:26" s="24" customFormat="1" hidden="1" outlineLevel="1" x14ac:dyDescent="0.25">
      <c r="A127" s="44"/>
      <c r="B127" s="11" t="str">
        <f>CONCATENATE("          ", "9160", " - ", "MISC. INCOME")</f>
        <v xml:space="preserve">          9160 - MISC. INCOME</v>
      </c>
      <c r="C127" s="11"/>
      <c r="D127" s="2">
        <f>--7692.32</f>
        <v>7692.32</v>
      </c>
      <c r="E127" s="2"/>
      <c r="F127" s="19">
        <f t="shared" si="108"/>
        <v>8.9433703351631585E-3</v>
      </c>
      <c r="G127" s="2"/>
      <c r="H127" s="2">
        <f>--14981.17</f>
        <v>14981.17</v>
      </c>
      <c r="I127" s="2"/>
      <c r="J127" s="19">
        <f t="shared" si="109"/>
        <v>1.9071859356098515E-2</v>
      </c>
      <c r="K127" s="2"/>
      <c r="L127" s="2">
        <f t="shared" si="110"/>
        <v>-7288.85</v>
      </c>
      <c r="M127" s="2"/>
      <c r="N127" s="19">
        <f t="shared" si="111"/>
        <v>-0.48653409580159629</v>
      </c>
      <c r="O127" s="11"/>
      <c r="P127" s="2">
        <f>--104050.2</f>
        <v>104050.2</v>
      </c>
      <c r="Q127" s="2"/>
      <c r="R127" s="19">
        <f t="shared" si="112"/>
        <v>2.5445154604315474E-2</v>
      </c>
      <c r="S127" s="2"/>
      <c r="T127" s="2">
        <f>--60385.67</f>
        <v>60385.67</v>
      </c>
      <c r="U127" s="2"/>
      <c r="V127" s="19">
        <f t="shared" si="113"/>
        <v>1.4815244202651462E-2</v>
      </c>
      <c r="W127" s="2"/>
      <c r="X127" s="2">
        <f t="shared" si="114"/>
        <v>43664.53</v>
      </c>
      <c r="Y127" s="2"/>
      <c r="Z127" s="19">
        <f t="shared" si="115"/>
        <v>0.72309423742421008</v>
      </c>
    </row>
    <row r="128" spans="1:26" s="24" customFormat="1" hidden="1" outlineLevel="1" x14ac:dyDescent="0.25">
      <c r="A128" s="44"/>
      <c r="B128" s="11" t="str">
        <f>CONCATENATE("          ", "9165", " - ", "OTHER INCOME")</f>
        <v xml:space="preserve">          9165 - OTHER INCOME</v>
      </c>
      <c r="C128" s="11"/>
      <c r="D128" s="2">
        <f>--10504.05</f>
        <v>10504.05</v>
      </c>
      <c r="E128" s="2"/>
      <c r="F128" s="19">
        <f t="shared" si="108"/>
        <v>1.2212389652155731E-2</v>
      </c>
      <c r="G128" s="2"/>
      <c r="H128" s="2">
        <f>--6719.72</f>
        <v>6719.72</v>
      </c>
      <c r="I128" s="2"/>
      <c r="J128" s="19">
        <f t="shared" si="109"/>
        <v>8.5545758276798344E-3</v>
      </c>
      <c r="K128" s="2"/>
      <c r="L128" s="2">
        <f t="shared" si="110"/>
        <v>3784.329999999999</v>
      </c>
      <c r="M128" s="2"/>
      <c r="N128" s="19">
        <f t="shared" si="111"/>
        <v>0.56316781056353526</v>
      </c>
      <c r="O128" s="11"/>
      <c r="P128" s="2">
        <f>--223374.12</f>
        <v>223374.12</v>
      </c>
      <c r="Q128" s="2"/>
      <c r="R128" s="19">
        <f t="shared" si="112"/>
        <v>5.4625450196183353E-2</v>
      </c>
      <c r="S128" s="2"/>
      <c r="T128" s="2">
        <f>--217931</f>
        <v>217931</v>
      </c>
      <c r="U128" s="2"/>
      <c r="V128" s="19">
        <f t="shared" si="113"/>
        <v>5.346799968151443E-2</v>
      </c>
      <c r="W128" s="2"/>
      <c r="X128" s="2">
        <f t="shared" si="114"/>
        <v>5443.1199999999953</v>
      </c>
      <c r="Y128" s="2"/>
      <c r="Z128" s="19">
        <f t="shared" si="115"/>
        <v>2.4976345724105314E-2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10"/>
      <c r="B130" s="29" t="s">
        <v>3</v>
      </c>
      <c r="C130" s="29"/>
      <c r="D130" s="21">
        <f>+D36-D38+D125</f>
        <v>27000.059999999474</v>
      </c>
      <c r="E130" s="14"/>
      <c r="F130" s="20">
        <f>IF(D$12=0,0,D130/D$12)</f>
        <v>3.1391249408711637E-2</v>
      </c>
      <c r="G130" s="14"/>
      <c r="H130" s="21">
        <f>+H36-H38+H125</f>
        <v>66676.769999999669</v>
      </c>
      <c r="I130" s="14"/>
      <c r="J130" s="20">
        <f>IF(H$12=0,0,H130/H$12)</f>
        <v>8.4883222055348304E-2</v>
      </c>
      <c r="K130" s="15"/>
      <c r="L130" s="21">
        <f>+D130-H130</f>
        <v>-39676.710000000196</v>
      </c>
      <c r="M130" s="15"/>
      <c r="N130" s="20">
        <f>IF(H130=0,0,L130/H130)</f>
        <v>-0.59506046858599171</v>
      </c>
      <c r="O130" s="28"/>
      <c r="P130" s="21">
        <f>+P36-P38+P125</f>
        <v>96646.769999998854</v>
      </c>
      <c r="Q130" s="14"/>
      <c r="R130" s="20">
        <f>IF(P$12=0,0,P130/P$12)</f>
        <v>2.3634668695088422E-2</v>
      </c>
      <c r="S130" s="14"/>
      <c r="T130" s="21">
        <f>+T36-T38+T125</f>
        <v>300985.9399999993</v>
      </c>
      <c r="U130" s="14"/>
      <c r="V130" s="20">
        <f>IF(T$12=0,0,T130/T$12)</f>
        <v>7.3845006649170084E-2</v>
      </c>
      <c r="W130" s="15"/>
      <c r="X130" s="21">
        <f>+P130-T130</f>
        <v>-204339.17000000045</v>
      </c>
      <c r="Y130" s="15"/>
      <c r="Z130" s="20">
        <f>IF(T130=0,0,X130/T130)</f>
        <v>-0.67889938646303849</v>
      </c>
    </row>
    <row r="131" spans="1:26" x14ac:dyDescent="0.2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51"/>
      <c r="B132" s="10" t="s">
        <v>13</v>
      </c>
      <c r="C132" s="10"/>
      <c r="D132" s="4">
        <v>107970.59999999999</v>
      </c>
      <c r="E132" s="4"/>
      <c r="F132" s="12">
        <f>IF(D$12=0,0,D132/D$12)</f>
        <v>0.1255305370954104</v>
      </c>
      <c r="G132" s="4"/>
      <c r="H132" s="4">
        <v>126687.60000000002</v>
      </c>
      <c r="I132" s="4"/>
      <c r="J132" s="12">
        <f>IF(H$12=0,0,H132/H$12)</f>
        <v>0.16128033320239116</v>
      </c>
      <c r="K132" s="4"/>
      <c r="L132" s="4">
        <f>+D132-H132</f>
        <v>-18717.000000000029</v>
      </c>
      <c r="M132" s="4"/>
      <c r="N132" s="12">
        <f>IF(H132=0,0,L132/H132)</f>
        <v>-0.14774137326778647</v>
      </c>
      <c r="O132" s="10"/>
      <c r="P132" s="4">
        <v>433018.12</v>
      </c>
      <c r="Q132" s="4"/>
      <c r="R132" s="12">
        <f>IF(P$12=0,0,P132/P$12)</f>
        <v>0.10589324201077971</v>
      </c>
      <c r="S132" s="4"/>
      <c r="T132" s="4">
        <v>428877.48</v>
      </c>
      <c r="U132" s="4"/>
      <c r="V132" s="12">
        <f>IF(T$12=0,0,T132/T$12)</f>
        <v>0.10522239132591835</v>
      </c>
      <c r="W132" s="4"/>
      <c r="X132" s="4">
        <f>+P132-T132</f>
        <v>4140.640000000014</v>
      </c>
      <c r="Y132" s="4"/>
      <c r="Z132" s="12">
        <f>IF(T132=0,0,X132/T132)</f>
        <v>9.6545987912445633E-3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9" t="s">
        <v>4</v>
      </c>
      <c r="C134" s="29"/>
      <c r="D134" s="31">
        <f>+D130-D132</f>
        <v>-80970.540000000517</v>
      </c>
      <c r="E134" s="14"/>
      <c r="F134" s="32">
        <f>IF(D$12=0,0,D134/D$12)</f>
        <v>-9.4139287686698755E-2</v>
      </c>
      <c r="G134" s="14"/>
      <c r="H134" s="31">
        <f>+H130-H132</f>
        <v>-60010.830000000351</v>
      </c>
      <c r="I134" s="14"/>
      <c r="J134" s="32">
        <f>IF(H$12=0,0,H134/H$12)</f>
        <v>-7.6397111147042854E-2</v>
      </c>
      <c r="K134" s="15"/>
      <c r="L134" s="31">
        <f>D134-H134</f>
        <v>-20959.710000000166</v>
      </c>
      <c r="M134" s="15"/>
      <c r="N134" s="32">
        <f>IF(H134=0,0,L134/H134)</f>
        <v>0.34926545758490668</v>
      </c>
      <c r="O134" s="28"/>
      <c r="P134" s="31">
        <f>+P130-P132</f>
        <v>-336371.35000000114</v>
      </c>
      <c r="Q134" s="14"/>
      <c r="R134" s="32">
        <f>IF(P$12=0,0,P134/P$12)</f>
        <v>-8.225857331569128E-2</v>
      </c>
      <c r="S134" s="14"/>
      <c r="T134" s="31">
        <f>+T130-T132</f>
        <v>-127891.54000000068</v>
      </c>
      <c r="U134" s="14"/>
      <c r="V134" s="32">
        <f>IF(T$12=0,0,T134/T$12)</f>
        <v>-3.137738467674827E-2</v>
      </c>
      <c r="W134" s="15"/>
      <c r="X134" s="31">
        <f>P134-T134</f>
        <v>-208479.81000000046</v>
      </c>
      <c r="Y134" s="15"/>
      <c r="Z134" s="32">
        <f>IF(T134=0,0,X134/T134)</f>
        <v>1.630129795919256</v>
      </c>
    </row>
    <row r="135" spans="1:26" ht="15.75" thickTop="1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9" t="s">
        <v>5</v>
      </c>
      <c r="C137" s="29"/>
      <c r="D137" s="34">
        <f>SUM(D134:D136)</f>
        <v>-80970.540000000517</v>
      </c>
      <c r="E137" s="14"/>
      <c r="F137" s="30">
        <f>IF(D$12=0,0,D137/D$12)</f>
        <v>-9.4139287686698755E-2</v>
      </c>
      <c r="G137" s="14"/>
      <c r="H137" s="34">
        <f>SUM(H134:H136)</f>
        <v>-60010.830000000351</v>
      </c>
      <c r="I137" s="14"/>
      <c r="J137" s="30">
        <f>IF(H$12=0,0,H137/H$12)</f>
        <v>-7.6397111147042854E-2</v>
      </c>
      <c r="K137" s="15"/>
      <c r="L137" s="34">
        <f>+D137-H137</f>
        <v>-20959.710000000166</v>
      </c>
      <c r="M137" s="15"/>
      <c r="N137" s="30">
        <f>IF(H137=0,0,L137/H137)</f>
        <v>0.34926545758490668</v>
      </c>
      <c r="O137" s="28"/>
      <c r="P137" s="34">
        <f>SUM(P134:P136)</f>
        <v>-336371.35000000114</v>
      </c>
      <c r="Q137" s="14"/>
      <c r="R137" s="30">
        <f>IF(P$12=0,0,P137/P$12)</f>
        <v>-8.225857331569128E-2</v>
      </c>
      <c r="S137" s="14"/>
      <c r="T137" s="34">
        <f>SUM(T134:T136)</f>
        <v>-127891.54000000068</v>
      </c>
      <c r="U137" s="14"/>
      <c r="V137" s="30">
        <f>IF(T$12=0,0,T137/T$12)</f>
        <v>-3.137738467674827E-2</v>
      </c>
      <c r="W137" s="15"/>
      <c r="X137" s="34">
        <f>+P137-T137</f>
        <v>-208479.81000000046</v>
      </c>
      <c r="Y137" s="15"/>
      <c r="Z137" s="30">
        <f>IF(T137=0,0,X137/T137)</f>
        <v>1.630129795919256</v>
      </c>
    </row>
    <row r="138" spans="1:26" ht="15.75" thickTop="1" x14ac:dyDescent="0.25">
      <c r="A138" s="9"/>
      <c r="C138" s="9"/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A139" s="9"/>
      <c r="B139" s="59">
        <v>43815.491388854163</v>
      </c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  <row r="140" spans="1:26" x14ac:dyDescent="0.25">
      <c r="A140" s="9"/>
      <c r="B140" s="62" t="s">
        <v>313</v>
      </c>
      <c r="D140" s="18"/>
      <c r="E140" s="18"/>
      <c r="G140" s="18"/>
      <c r="H140" s="18"/>
      <c r="I140" s="18"/>
      <c r="J140" s="43"/>
      <c r="K140" s="18"/>
      <c r="L140" s="18"/>
      <c r="M140" s="18"/>
      <c r="P140" s="18"/>
      <c r="Q140" s="18"/>
      <c r="R140" s="43"/>
      <c r="S140" s="18"/>
      <c r="T140" s="18"/>
      <c r="U140" s="18"/>
      <c r="V140" s="43"/>
      <c r="W140" s="18"/>
      <c r="X140" s="18"/>
    </row>
    <row r="141" spans="1:26" x14ac:dyDescent="0.25">
      <c r="A141" s="9"/>
      <c r="B141" s="61"/>
      <c r="D141" s="18"/>
      <c r="E141" s="18"/>
      <c r="G141" s="18"/>
      <c r="H141" s="18"/>
      <c r="I141" s="18"/>
      <c r="J141" s="43"/>
      <c r="K141" s="18"/>
      <c r="L141" s="18"/>
      <c r="M141" s="18"/>
      <c r="P141" s="18"/>
      <c r="Q141" s="18"/>
      <c r="R141" s="43"/>
      <c r="S141" s="18"/>
      <c r="T141" s="18"/>
      <c r="U141" s="18"/>
      <c r="V141" s="43"/>
      <c r="W141" s="18"/>
      <c r="X141" s="18"/>
    </row>
    <row r="142" spans="1:26" x14ac:dyDescent="0.25">
      <c r="D142" s="18"/>
      <c r="E142" s="18"/>
      <c r="G142" s="18"/>
      <c r="H142" s="18"/>
      <c r="I142" s="18"/>
      <c r="J142" s="43"/>
      <c r="K142" s="18"/>
      <c r="L142" s="18"/>
      <c r="M142" s="18"/>
      <c r="P142" s="18"/>
      <c r="Q142" s="18"/>
      <c r="R142" s="43"/>
      <c r="S142" s="18"/>
      <c r="T142" s="18"/>
      <c r="U142" s="18"/>
      <c r="V142" s="43"/>
      <c r="W142" s="18"/>
      <c r="X142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299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559361.14</v>
      </c>
      <c r="E12" s="4"/>
      <c r="F12" s="12"/>
      <c r="G12" s="4"/>
      <c r="H12" s="4">
        <f>SUM(OSRRefH13x_0)</f>
        <v>535452.36</v>
      </c>
      <c r="I12" s="4"/>
      <c r="J12" s="12"/>
      <c r="K12" s="4"/>
      <c r="L12" s="4">
        <f t="shared" ref="L12:L23" si="0">+D12-H12</f>
        <v>23908.780000000028</v>
      </c>
      <c r="M12" s="4"/>
      <c r="N12" s="12">
        <f t="shared" ref="N12:N23" si="1">IF(H12=0,0,L12/H12)</f>
        <v>4.4651554061690996E-2</v>
      </c>
      <c r="O12" s="10"/>
      <c r="P12" s="4">
        <f>SUM(OSRRefP13x_0)</f>
        <v>2670369.5200000005</v>
      </c>
      <c r="Q12" s="4"/>
      <c r="R12" s="12"/>
      <c r="S12" s="4"/>
      <c r="T12" s="4">
        <f>SUM(OSRRefT13x_0)</f>
        <v>2754345.3899999997</v>
      </c>
      <c r="U12" s="4"/>
      <c r="V12" s="12"/>
      <c r="W12" s="4"/>
      <c r="X12" s="4">
        <f t="shared" ref="X12:X23" si="2">+P12-T12</f>
        <v>-83975.86999999918</v>
      </c>
      <c r="Y12" s="4"/>
      <c r="Z12" s="12">
        <f t="shared" ref="Z12:Z23" si="3">IF(T12=0,0,X12/T12)</f>
        <v>-3.0488503840108153E-2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--57390.66</f>
        <v>57390.66</v>
      </c>
      <c r="E13" s="2"/>
      <c r="F13" s="19"/>
      <c r="G13" s="2"/>
      <c r="H13" s="2">
        <f>--56705.26</f>
        <v>56705.26</v>
      </c>
      <c r="I13" s="2"/>
      <c r="J13" s="19"/>
      <c r="K13" s="2"/>
      <c r="L13" s="2">
        <f t="shared" si="0"/>
        <v>685.40000000000146</v>
      </c>
      <c r="M13" s="2"/>
      <c r="N13" s="19">
        <f t="shared" si="1"/>
        <v>1.2087062117341521E-2</v>
      </c>
      <c r="O13" s="11"/>
      <c r="P13" s="2">
        <f>--283007.33</f>
        <v>283007.33</v>
      </c>
      <c r="Q13" s="2"/>
      <c r="R13" s="19"/>
      <c r="S13" s="2"/>
      <c r="T13" s="2">
        <f>--292659.55</f>
        <v>292659.55</v>
      </c>
      <c r="U13" s="2"/>
      <c r="V13" s="19"/>
      <c r="W13" s="2"/>
      <c r="X13" s="2">
        <f t="shared" si="2"/>
        <v>-9652.2199999999721</v>
      </c>
      <c r="Y13" s="2"/>
      <c r="Z13" s="19">
        <f t="shared" si="3"/>
        <v>-3.2981052557485215E-2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--85023.13</f>
        <v>85023.13</v>
      </c>
      <c r="E14" s="2"/>
      <c r="F14" s="19"/>
      <c r="G14" s="2"/>
      <c r="H14" s="2">
        <f>--110319.13</f>
        <v>110319.13</v>
      </c>
      <c r="I14" s="2"/>
      <c r="J14" s="19"/>
      <c r="K14" s="2"/>
      <c r="L14" s="2">
        <f t="shared" si="0"/>
        <v>-25296</v>
      </c>
      <c r="M14" s="2"/>
      <c r="N14" s="19">
        <f t="shared" si="1"/>
        <v>-0.22929840001457588</v>
      </c>
      <c r="O14" s="11"/>
      <c r="P14" s="2">
        <f>--453845.53</f>
        <v>453845.53</v>
      </c>
      <c r="Q14" s="2"/>
      <c r="R14" s="19"/>
      <c r="S14" s="2"/>
      <c r="T14" s="2">
        <f>--568867.41</f>
        <v>568867.41</v>
      </c>
      <c r="U14" s="2"/>
      <c r="V14" s="19"/>
      <c r="W14" s="2"/>
      <c r="X14" s="2">
        <f t="shared" si="2"/>
        <v>-115021.88</v>
      </c>
      <c r="Y14" s="2"/>
      <c r="Z14" s="19">
        <f t="shared" si="3"/>
        <v>-0.20219453246583416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--10014.68</f>
        <v>10014.68</v>
      </c>
      <c r="E15" s="2"/>
      <c r="F15" s="19"/>
      <c r="G15" s="2"/>
      <c r="H15" s="2">
        <f>--7819.52</f>
        <v>7819.52</v>
      </c>
      <c r="I15" s="2"/>
      <c r="J15" s="19"/>
      <c r="K15" s="2"/>
      <c r="L15" s="2">
        <f t="shared" si="0"/>
        <v>2195.16</v>
      </c>
      <c r="M15" s="2"/>
      <c r="N15" s="19">
        <f t="shared" si="1"/>
        <v>0.28072822884269105</v>
      </c>
      <c r="O15" s="11"/>
      <c r="P15" s="2">
        <f>--70515.29</f>
        <v>70515.289999999994</v>
      </c>
      <c r="Q15" s="2"/>
      <c r="R15" s="19"/>
      <c r="S15" s="2"/>
      <c r="T15" s="2">
        <f>--56840.95</f>
        <v>56840.95</v>
      </c>
      <c r="U15" s="2"/>
      <c r="V15" s="19"/>
      <c r="W15" s="2"/>
      <c r="X15" s="2">
        <f t="shared" si="2"/>
        <v>13674.339999999997</v>
      </c>
      <c r="Y15" s="2"/>
      <c r="Z15" s="19">
        <f t="shared" si="3"/>
        <v>0.24057198199537477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>--49116.37</f>
        <v>49116.37</v>
      </c>
      <c r="E16" s="2"/>
      <c r="F16" s="19"/>
      <c r="G16" s="2"/>
      <c r="H16" s="2">
        <f>--49959.18</f>
        <v>49959.18</v>
      </c>
      <c r="I16" s="2"/>
      <c r="J16" s="19"/>
      <c r="K16" s="2"/>
      <c r="L16" s="2">
        <f t="shared" si="0"/>
        <v>-842.80999999999767</v>
      </c>
      <c r="M16" s="2"/>
      <c r="N16" s="19">
        <f t="shared" si="1"/>
        <v>-1.6869972645667877E-2</v>
      </c>
      <c r="O16" s="11"/>
      <c r="P16" s="2">
        <f>--235107.97</f>
        <v>235107.97</v>
      </c>
      <c r="Q16" s="2"/>
      <c r="R16" s="19"/>
      <c r="S16" s="2"/>
      <c r="T16" s="2">
        <f>--267636.36</f>
        <v>267636.36</v>
      </c>
      <c r="U16" s="2"/>
      <c r="V16" s="19"/>
      <c r="W16" s="2"/>
      <c r="X16" s="2">
        <f t="shared" si="2"/>
        <v>-32528.389999999985</v>
      </c>
      <c r="Y16" s="2"/>
      <c r="Z16" s="19">
        <f t="shared" si="3"/>
        <v>-0.12153950233069971</v>
      </c>
    </row>
    <row r="17" spans="1:26" s="24" customFormat="1" hidden="1" outlineLevel="1" x14ac:dyDescent="0.25">
      <c r="A17" s="44"/>
      <c r="B17" s="11" t="str">
        <f>CONCATENATE("          ", "4057", " - ", "TAXABLE SALES-FOOD")</f>
        <v xml:space="preserve">          4057 - TAXABLE SALES-FOOD</v>
      </c>
      <c r="C17" s="11"/>
      <c r="D17" s="2">
        <f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--11506.08</f>
        <v>11506.08</v>
      </c>
      <c r="U17" s="2"/>
      <c r="V17" s="19"/>
      <c r="W17" s="2"/>
      <c r="X17" s="2">
        <f t="shared" si="2"/>
        <v>-11506.08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--14656.48</f>
        <v>14656.48</v>
      </c>
      <c r="E18" s="2"/>
      <c r="F18" s="19"/>
      <c r="G18" s="2"/>
      <c r="H18" s="2">
        <f>--15410.23</f>
        <v>15410.23</v>
      </c>
      <c r="I18" s="2"/>
      <c r="J18" s="19"/>
      <c r="K18" s="2"/>
      <c r="L18" s="2">
        <f t="shared" si="0"/>
        <v>-753.75</v>
      </c>
      <c r="M18" s="2"/>
      <c r="N18" s="19">
        <f t="shared" si="1"/>
        <v>-4.8912313443731863E-2</v>
      </c>
      <c r="O18" s="11"/>
      <c r="P18" s="2">
        <f>--78802.41</f>
        <v>78802.41</v>
      </c>
      <c r="Q18" s="2"/>
      <c r="R18" s="19"/>
      <c r="S18" s="2"/>
      <c r="T18" s="2">
        <f>--108999.15</f>
        <v>108999.15</v>
      </c>
      <c r="U18" s="2"/>
      <c r="V18" s="19"/>
      <c r="W18" s="2"/>
      <c r="X18" s="2">
        <f t="shared" si="2"/>
        <v>-30196.739999999991</v>
      </c>
      <c r="Y18" s="2"/>
      <c r="Z18" s="19">
        <f t="shared" si="3"/>
        <v>-0.27703647230276557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--183372.01</f>
        <v>183372.01</v>
      </c>
      <c r="E19" s="2"/>
      <c r="F19" s="19"/>
      <c r="G19" s="2"/>
      <c r="H19" s="2">
        <f>--165439.93</f>
        <v>165439.93</v>
      </c>
      <c r="I19" s="2"/>
      <c r="J19" s="19"/>
      <c r="K19" s="2"/>
      <c r="L19" s="2">
        <f t="shared" si="0"/>
        <v>17932.080000000016</v>
      </c>
      <c r="M19" s="2"/>
      <c r="N19" s="19">
        <f t="shared" si="1"/>
        <v>0.10839027796977439</v>
      </c>
      <c r="O19" s="11"/>
      <c r="P19" s="2">
        <f>--824397.09</f>
        <v>824397.09</v>
      </c>
      <c r="Q19" s="2"/>
      <c r="R19" s="19"/>
      <c r="S19" s="2"/>
      <c r="T19" s="2">
        <f>--770877.36</f>
        <v>770877.36</v>
      </c>
      <c r="U19" s="2"/>
      <c r="V19" s="19"/>
      <c r="W19" s="2"/>
      <c r="X19" s="2">
        <f t="shared" si="2"/>
        <v>53519.729999999981</v>
      </c>
      <c r="Y19" s="2"/>
      <c r="Z19" s="19">
        <f t="shared" si="3"/>
        <v>6.9427035709026377E-2</v>
      </c>
    </row>
    <row r="20" spans="1:26" s="24" customFormat="1" hidden="1" outlineLevel="1" x14ac:dyDescent="0.25">
      <c r="A20" s="44"/>
      <c r="B20" s="11" t="str">
        <f>CONCATENATE("          ", "4152", " - ", "NON-TAXABLE SALES-FOOD")</f>
        <v xml:space="preserve">          4152 - NON-TAXABLE SALES-FOOD</v>
      </c>
      <c r="C20" s="11"/>
      <c r="D20" s="2">
        <f>--5402.66</f>
        <v>5402.66</v>
      </c>
      <c r="E20" s="2"/>
      <c r="F20" s="19"/>
      <c r="G20" s="2"/>
      <c r="H20" s="2">
        <f>--7298.95</f>
        <v>7298.95</v>
      </c>
      <c r="I20" s="2"/>
      <c r="J20" s="19"/>
      <c r="K20" s="2"/>
      <c r="L20" s="2">
        <f t="shared" si="0"/>
        <v>-1896.29</v>
      </c>
      <c r="M20" s="2"/>
      <c r="N20" s="19">
        <f t="shared" si="1"/>
        <v>-0.25980312236691577</v>
      </c>
      <c r="O20" s="11"/>
      <c r="P20" s="2">
        <f>--30341.45</f>
        <v>30341.45</v>
      </c>
      <c r="Q20" s="2"/>
      <c r="R20" s="19"/>
      <c r="S20" s="2"/>
      <c r="T20" s="2">
        <f>--34277.1</f>
        <v>34277.1</v>
      </c>
      <c r="U20" s="2"/>
      <c r="V20" s="19"/>
      <c r="W20" s="2"/>
      <c r="X20" s="2">
        <f t="shared" si="2"/>
        <v>-3935.6499999999978</v>
      </c>
      <c r="Y20" s="2"/>
      <c r="Z20" s="19">
        <f t="shared" si="3"/>
        <v>-0.11481863984992891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0</f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0</f>
        <v>0</v>
      </c>
      <c r="Q21" s="2"/>
      <c r="R21" s="19"/>
      <c r="S21" s="2"/>
      <c r="T21" s="2">
        <f>--527.13</f>
        <v>527.13</v>
      </c>
      <c r="U21" s="2"/>
      <c r="V21" s="19"/>
      <c r="W21" s="2"/>
      <c r="X21" s="2">
        <f t="shared" si="2"/>
        <v>-527.13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--89218.16</f>
        <v>89218.16</v>
      </c>
      <c r="E22" s="2"/>
      <c r="F22" s="19"/>
      <c r="G22" s="2"/>
      <c r="H22" s="2">
        <f>--71512.93</f>
        <v>71512.929999999993</v>
      </c>
      <c r="I22" s="2"/>
      <c r="J22" s="19"/>
      <c r="K22" s="2"/>
      <c r="L22" s="2">
        <f t="shared" si="0"/>
        <v>17705.23000000001</v>
      </c>
      <c r="M22" s="2"/>
      <c r="N22" s="19">
        <f t="shared" si="1"/>
        <v>0.24758082209748661</v>
      </c>
      <c r="O22" s="11"/>
      <c r="P22" s="2">
        <f>--421465.19</f>
        <v>421465.19</v>
      </c>
      <c r="Q22" s="2"/>
      <c r="R22" s="19"/>
      <c r="S22" s="2"/>
      <c r="T22" s="2">
        <f>--377672.5</f>
        <v>377672.5</v>
      </c>
      <c r="U22" s="2"/>
      <c r="V22" s="19"/>
      <c r="W22" s="2"/>
      <c r="X22" s="2">
        <f t="shared" si="2"/>
        <v>43792.69</v>
      </c>
      <c r="Y22" s="2"/>
      <c r="Z22" s="19">
        <f t="shared" si="3"/>
        <v>0.11595414016111844</v>
      </c>
    </row>
    <row r="23" spans="1:26" s="24" customFormat="1" hidden="1" outlineLevel="1" x14ac:dyDescent="0.25">
      <c r="A23" s="44"/>
      <c r="B23" s="11" t="str">
        <f>CONCATENATE("          ", "4158", " - ", "NON-TAXABLE SALES-FOOD")</f>
        <v xml:space="preserve">          4158 - NON-TAXABLE SALES-FOOD</v>
      </c>
      <c r="C23" s="11"/>
      <c r="D23" s="2">
        <f>--65166.99</f>
        <v>65166.99</v>
      </c>
      <c r="E23" s="2"/>
      <c r="F23" s="19"/>
      <c r="G23" s="2"/>
      <c r="H23" s="2">
        <f>--50987.23</f>
        <v>50987.23</v>
      </c>
      <c r="I23" s="2"/>
      <c r="J23" s="19"/>
      <c r="K23" s="2"/>
      <c r="L23" s="2">
        <f t="shared" si="0"/>
        <v>14179.759999999995</v>
      </c>
      <c r="M23" s="2"/>
      <c r="N23" s="19">
        <f t="shared" si="1"/>
        <v>0.2781041449005956</v>
      </c>
      <c r="O23" s="11"/>
      <c r="P23" s="2">
        <f>--272887.26</f>
        <v>272887.26</v>
      </c>
      <c r="Q23" s="2"/>
      <c r="R23" s="19"/>
      <c r="S23" s="2"/>
      <c r="T23" s="2">
        <f>--264481.8</f>
        <v>264481.8</v>
      </c>
      <c r="U23" s="2"/>
      <c r="V23" s="19"/>
      <c r="W23" s="2"/>
      <c r="X23" s="2">
        <f t="shared" si="2"/>
        <v>8405.460000000021</v>
      </c>
      <c r="Y23" s="2"/>
      <c r="Z23" s="19">
        <f t="shared" si="3"/>
        <v>3.1780863560366052E-2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8" t="s">
        <v>8</v>
      </c>
      <c r="C25" s="10"/>
      <c r="D25" s="4">
        <f>SUM(OSRRefD16x_0)</f>
        <v>189266.8</v>
      </c>
      <c r="E25" s="4"/>
      <c r="F25" s="12">
        <f t="shared" ref="F25:F27" si="4">IF(D$12=0,0,D25/D$12)</f>
        <v>0.3383624396932543</v>
      </c>
      <c r="G25" s="4"/>
      <c r="H25" s="4">
        <f>SUM(OSRRefH16x_0)</f>
        <v>169816.98</v>
      </c>
      <c r="I25" s="4"/>
      <c r="J25" s="12">
        <f t="shared" ref="J25:J27" si="5">IF(H$12=0,0,H25/H$12)</f>
        <v>0.31714675793006125</v>
      </c>
      <c r="K25" s="4"/>
      <c r="L25" s="4">
        <f t="shared" ref="L25:L27" si="6">+D25-H25</f>
        <v>19449.819999999978</v>
      </c>
      <c r="M25" s="4"/>
      <c r="N25" s="12">
        <f t="shared" ref="N25:N27" si="7">IF(H25=0,0,L25/H25)</f>
        <v>0.11453401185205377</v>
      </c>
      <c r="O25" s="10"/>
      <c r="P25" s="4">
        <f>SUM(OSRRefP16x_0)</f>
        <v>874671.59000000008</v>
      </c>
      <c r="Q25" s="4"/>
      <c r="R25" s="12">
        <f t="shared" ref="R25:R27" si="8">IF(P$12=0,0,P25/P$12)</f>
        <v>0.32754702427849758</v>
      </c>
      <c r="S25" s="4"/>
      <c r="T25" s="4">
        <f>SUM(OSRRefT16x_0)</f>
        <v>852174.75</v>
      </c>
      <c r="U25" s="4"/>
      <c r="V25" s="12">
        <f t="shared" ref="V25:V27" si="9">IF(T$12=0,0,T25/T$12)</f>
        <v>0.30939284270372502</v>
      </c>
      <c r="W25" s="4"/>
      <c r="X25" s="4">
        <f t="shared" ref="X25:X27" si="10">+P25-T25</f>
        <v>22496.840000000084</v>
      </c>
      <c r="Y25" s="4"/>
      <c r="Z25" s="12">
        <f t="shared" ref="Z25:Z27" si="11">IF(T25=0,0,X25/T25)</f>
        <v>2.6399327133314009E-2</v>
      </c>
    </row>
    <row r="26" spans="1:26" s="24" customFormat="1" hidden="1" outlineLevel="1" x14ac:dyDescent="0.25">
      <c r="A26" s="44"/>
      <c r="B26" s="11" t="str">
        <f>CONCATENATE("          ", "5053", " - ", "PURCHASES @ COST-FOOD")</f>
        <v xml:space="preserve">          5053 - PURCHASES @ COST-FOOD</v>
      </c>
      <c r="C26" s="11"/>
      <c r="D26" s="2">
        <v>181470.34</v>
      </c>
      <c r="E26" s="2"/>
      <c r="F26" s="19">
        <f t="shared" si="4"/>
        <v>0.32442428875198587</v>
      </c>
      <c r="G26" s="2"/>
      <c r="H26" s="2">
        <v>177481.58000000002</v>
      </c>
      <c r="I26" s="2"/>
      <c r="J26" s="19">
        <f t="shared" si="5"/>
        <v>0.33146100990198274</v>
      </c>
      <c r="K26" s="2"/>
      <c r="L26" s="2">
        <f t="shared" si="6"/>
        <v>3988.7599999999802</v>
      </c>
      <c r="M26" s="2"/>
      <c r="N26" s="19">
        <f t="shared" si="7"/>
        <v>2.2474219578166817E-2</v>
      </c>
      <c r="O26" s="11"/>
      <c r="P26" s="2">
        <v>906527.28</v>
      </c>
      <c r="Q26" s="2"/>
      <c r="R26" s="19">
        <f t="shared" si="8"/>
        <v>0.33947634333393673</v>
      </c>
      <c r="S26" s="2"/>
      <c r="T26" s="2">
        <v>899369.14</v>
      </c>
      <c r="U26" s="2"/>
      <c r="V26" s="19">
        <f t="shared" si="9"/>
        <v>0.32652736409357874</v>
      </c>
      <c r="W26" s="2"/>
      <c r="X26" s="2">
        <f t="shared" si="10"/>
        <v>7158.140000000014</v>
      </c>
      <c r="Y26" s="2"/>
      <c r="Z26" s="19">
        <f t="shared" si="11"/>
        <v>7.9590678417095946E-3</v>
      </c>
    </row>
    <row r="27" spans="1:26" s="24" customFormat="1" hidden="1" outlineLevel="1" x14ac:dyDescent="0.25">
      <c r="A27" s="44"/>
      <c r="B27" s="11" t="str">
        <f>CONCATENATE("          ", "5059", " - ", "PURCHASES @ COST-FOOD")</f>
        <v xml:space="preserve">          5059 - PURCHASES @ COST-FOOD</v>
      </c>
      <c r="C27" s="11"/>
      <c r="D27" s="2">
        <v>7796.46</v>
      </c>
      <c r="E27" s="2"/>
      <c r="F27" s="19">
        <f t="shared" si="4"/>
        <v>1.3938150941268462E-2</v>
      </c>
      <c r="G27" s="2"/>
      <c r="H27" s="2">
        <v>-7664.6</v>
      </c>
      <c r="I27" s="2"/>
      <c r="J27" s="19">
        <f t="shared" si="5"/>
        <v>-1.4314251971921462E-2</v>
      </c>
      <c r="K27" s="2"/>
      <c r="L27" s="2">
        <f t="shared" si="6"/>
        <v>15461.060000000001</v>
      </c>
      <c r="M27" s="2"/>
      <c r="N27" s="19">
        <f t="shared" si="7"/>
        <v>-2.0172037679722359</v>
      </c>
      <c r="O27" s="11"/>
      <c r="P27" s="2">
        <v>-31855.69</v>
      </c>
      <c r="Q27" s="2"/>
      <c r="R27" s="19">
        <f t="shared" si="8"/>
        <v>-1.1929319055439187E-2</v>
      </c>
      <c r="S27" s="2"/>
      <c r="T27" s="2">
        <v>-47194.39</v>
      </c>
      <c r="U27" s="2"/>
      <c r="V27" s="19">
        <f t="shared" si="9"/>
        <v>-1.7134521389853725E-2</v>
      </c>
      <c r="W27" s="2"/>
      <c r="X27" s="2">
        <f t="shared" si="10"/>
        <v>15338.7</v>
      </c>
      <c r="Y27" s="2"/>
      <c r="Z27" s="19">
        <f t="shared" si="11"/>
        <v>-0.32501108712285509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9" t="s">
        <v>6</v>
      </c>
      <c r="C29" s="29"/>
      <c r="D29" s="21">
        <f>D12-D25</f>
        <v>370094.34</v>
      </c>
      <c r="E29" s="14"/>
      <c r="F29" s="20">
        <f>IF(D$12=0,0,D29/D$12)</f>
        <v>0.6616375603067457</v>
      </c>
      <c r="G29" s="14"/>
      <c r="H29" s="21">
        <f>H12-H25</f>
        <v>365635.38</v>
      </c>
      <c r="I29" s="14"/>
      <c r="J29" s="20">
        <f>IF(H$12=0,0,H29/H$12)</f>
        <v>0.6828532420699388</v>
      </c>
      <c r="K29" s="15"/>
      <c r="L29" s="21">
        <f>+D29-H29</f>
        <v>4458.960000000021</v>
      </c>
      <c r="M29" s="15"/>
      <c r="N29" s="20">
        <f>IF(H29=0,0,L29/H29)</f>
        <v>1.2195099938085917E-2</v>
      </c>
      <c r="O29" s="28"/>
      <c r="P29" s="21">
        <f>P12-P25</f>
        <v>1795697.9300000004</v>
      </c>
      <c r="Q29" s="14"/>
      <c r="R29" s="20">
        <f>IF(P$12=0,0,P29/P$12)</f>
        <v>0.67245297572150242</v>
      </c>
      <c r="S29" s="14"/>
      <c r="T29" s="21">
        <f>T12-T25</f>
        <v>1902170.6399999997</v>
      </c>
      <c r="U29" s="14"/>
      <c r="V29" s="20">
        <f>IF(T$12=0,0,T29/T$12)</f>
        <v>0.69060715729627498</v>
      </c>
      <c r="W29" s="15"/>
      <c r="X29" s="21">
        <f>+P29-T29</f>
        <v>-106472.70999999926</v>
      </c>
      <c r="Y29" s="15"/>
      <c r="Z29" s="20">
        <f>IF(T29=0,0,X29/T29)</f>
        <v>-5.5974320999928419E-2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9</v>
      </c>
      <c r="C31" s="10"/>
      <c r="D31" s="22">
        <f>SUM(OSRRefD22x_0)</f>
        <v>463317.77000000025</v>
      </c>
      <c r="E31" s="22"/>
      <c r="F31" s="33">
        <f t="shared" ref="F31:F41" si="12">IF(D$12=0,0,D31/D$12)</f>
        <v>0.82829810093708023</v>
      </c>
      <c r="G31" s="22"/>
      <c r="H31" s="22">
        <f>SUM(OSRRefH22x_0)</f>
        <v>425064.11</v>
      </c>
      <c r="I31" s="22"/>
      <c r="J31" s="33">
        <f t="shared" ref="J31:J41" si="13">IF(H$12=0,0,H31/H$12)</f>
        <v>0.79384113649251631</v>
      </c>
      <c r="K31" s="4"/>
      <c r="L31" s="22">
        <f t="shared" ref="L31:L41" si="14">+D31-H31</f>
        <v>38253.660000000265</v>
      </c>
      <c r="M31" s="4"/>
      <c r="N31" s="33">
        <f t="shared" ref="N31:N41" si="15">IF(H31=0,0,L31/H31)</f>
        <v>8.9995036278175233E-2</v>
      </c>
      <c r="O31" s="10"/>
      <c r="P31" s="22">
        <f>SUM(OSRRefP22x_0)</f>
        <v>2393156.9799999995</v>
      </c>
      <c r="Q31" s="22"/>
      <c r="R31" s="33">
        <f t="shared" ref="R31:R41" si="16">IF(P$12=0,0,P31/P$12)</f>
        <v>0.89618944572135439</v>
      </c>
      <c r="S31" s="22"/>
      <c r="T31" s="22">
        <f>SUM(OSRRefT22x_0)</f>
        <v>2219104.34</v>
      </c>
      <c r="U31" s="22"/>
      <c r="V31" s="33">
        <f t="shared" ref="V31:V41" si="17">IF(T$12=0,0,T31/T$12)</f>
        <v>0.80567395362133587</v>
      </c>
      <c r="W31" s="4"/>
      <c r="X31" s="22">
        <f t="shared" ref="X31:X41" si="18">+P31-T31</f>
        <v>174052.63999999966</v>
      </c>
      <c r="Y31" s="4"/>
      <c r="Z31" s="33">
        <f t="shared" ref="Z31:Z41" si="19">IF(T31=0,0,X31/T31)</f>
        <v>7.84337342154897E-2</v>
      </c>
    </row>
    <row r="32" spans="1:26" s="25" customFormat="1" outlineLevel="1" collapsed="1" x14ac:dyDescent="0.25">
      <c r="A32" s="27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64696.899999999994</v>
      </c>
      <c r="E32" s="1"/>
      <c r="F32" s="5">
        <f t="shared" si="12"/>
        <v>0.11566212840598829</v>
      </c>
      <c r="G32" s="1"/>
      <c r="H32" s="1">
        <f>SUM(OSRRefH22_0x_0)</f>
        <v>52976.42</v>
      </c>
      <c r="I32" s="1"/>
      <c r="J32" s="5">
        <f t="shared" si="13"/>
        <v>9.8937690740591749E-2</v>
      </c>
      <c r="K32" s="1"/>
      <c r="L32" s="1">
        <f t="shared" si="14"/>
        <v>11720.479999999996</v>
      </c>
      <c r="M32" s="1"/>
      <c r="N32" s="5">
        <f t="shared" si="15"/>
        <v>0.22123956280926488</v>
      </c>
      <c r="O32" s="13"/>
      <c r="P32" s="1">
        <f>SUM(OSRRefP22_0x_0)</f>
        <v>340693.22</v>
      </c>
      <c r="Q32" s="1"/>
      <c r="R32" s="5">
        <f t="shared" si="16"/>
        <v>0.12758279985161003</v>
      </c>
      <c r="S32" s="1"/>
      <c r="T32" s="1">
        <f>SUM(OSRRefT22_0x_0)</f>
        <v>301052.71999999997</v>
      </c>
      <c r="U32" s="1"/>
      <c r="V32" s="5">
        <f t="shared" si="17"/>
        <v>0.10930100527443293</v>
      </c>
      <c r="W32" s="1"/>
      <c r="X32" s="1">
        <f t="shared" si="18"/>
        <v>39640.5</v>
      </c>
      <c r="Y32" s="1"/>
      <c r="Z32" s="5">
        <f t="shared" si="19"/>
        <v>0.13167295083731514</v>
      </c>
    </row>
    <row r="33" spans="1:26" s="24" customFormat="1" hidden="1" outlineLevel="2" x14ac:dyDescent="0.25">
      <c r="A33" s="26"/>
      <c r="B33" s="11" t="str">
        <f>CONCATENATE("          ", "6111", " - ", "F.I.C.A.")</f>
        <v xml:space="preserve">          6111 - F.I.C.A.</v>
      </c>
      <c r="C33" s="11"/>
      <c r="D33" s="6">
        <v>11324.56</v>
      </c>
      <c r="E33" s="2"/>
      <c r="F33" s="7">
        <f t="shared" si="12"/>
        <v>2.0245525100295668E-2</v>
      </c>
      <c r="G33" s="2"/>
      <c r="H33" s="6">
        <v>9785.5300000000007</v>
      </c>
      <c r="I33" s="2"/>
      <c r="J33" s="7">
        <f t="shared" si="13"/>
        <v>1.8275257951986618E-2</v>
      </c>
      <c r="K33" s="2"/>
      <c r="L33" s="6">
        <f t="shared" si="14"/>
        <v>1539.0299999999988</v>
      </c>
      <c r="M33" s="2"/>
      <c r="N33" s="7">
        <f t="shared" si="15"/>
        <v>0.1572761005280244</v>
      </c>
      <c r="O33" s="11"/>
      <c r="P33" s="6">
        <v>69326.38</v>
      </c>
      <c r="Q33" s="2"/>
      <c r="R33" s="7">
        <f t="shared" si="16"/>
        <v>2.5961343357454137E-2</v>
      </c>
      <c r="S33" s="2"/>
      <c r="T33" s="6">
        <v>61010.22</v>
      </c>
      <c r="U33" s="2"/>
      <c r="V33" s="7">
        <f t="shared" si="17"/>
        <v>2.2150533561079648E-2</v>
      </c>
      <c r="W33" s="2"/>
      <c r="X33" s="6">
        <f t="shared" si="18"/>
        <v>8316.1600000000035</v>
      </c>
      <c r="Y33" s="2"/>
      <c r="Z33" s="7">
        <f t="shared" si="19"/>
        <v>0.13630765468473977</v>
      </c>
    </row>
    <row r="34" spans="1:26" s="24" customFormat="1" hidden="1" outlineLevel="2" x14ac:dyDescent="0.25">
      <c r="A34" s="26"/>
      <c r="B34" s="11" t="str">
        <f>CONCATENATE("          ", "6112", " - ", "COMPENSATION INSURANCE")</f>
        <v xml:space="preserve">          6112 - COMPENSATION INSURANCE</v>
      </c>
      <c r="C34" s="11"/>
      <c r="D34" s="6">
        <v>9079.14</v>
      </c>
      <c r="E34" s="2"/>
      <c r="F34" s="7">
        <f t="shared" si="12"/>
        <v>1.6231266977180431E-2</v>
      </c>
      <c r="G34" s="2"/>
      <c r="H34" s="6">
        <v>7722.34</v>
      </c>
      <c r="I34" s="2"/>
      <c r="J34" s="7">
        <f t="shared" si="13"/>
        <v>1.4422086028344334E-2</v>
      </c>
      <c r="K34" s="2"/>
      <c r="L34" s="6">
        <f t="shared" si="14"/>
        <v>1356.7999999999993</v>
      </c>
      <c r="M34" s="2"/>
      <c r="N34" s="7">
        <f t="shared" si="15"/>
        <v>0.17569803971335105</v>
      </c>
      <c r="O34" s="11"/>
      <c r="P34" s="6">
        <v>27196.69</v>
      </c>
      <c r="Q34" s="2"/>
      <c r="R34" s="7">
        <f t="shared" si="16"/>
        <v>1.0184616696793332E-2</v>
      </c>
      <c r="S34" s="2"/>
      <c r="T34" s="6">
        <v>36683.990000000005</v>
      </c>
      <c r="U34" s="2"/>
      <c r="V34" s="7">
        <f t="shared" si="17"/>
        <v>1.3318587470251874E-2</v>
      </c>
      <c r="W34" s="2"/>
      <c r="X34" s="6">
        <f t="shared" si="18"/>
        <v>-9487.3000000000065</v>
      </c>
      <c r="Y34" s="2"/>
      <c r="Z34" s="7">
        <f t="shared" si="19"/>
        <v>-0.25862235814588341</v>
      </c>
    </row>
    <row r="35" spans="1:26" s="24" customFormat="1" hidden="1" outlineLevel="2" x14ac:dyDescent="0.25">
      <c r="A35" s="26"/>
      <c r="B35" s="11" t="str">
        <f>CONCATENATE("          ", "6113", " - ", "GROUP INSURANCE")</f>
        <v xml:space="preserve">          6113 - GROUP INSURANCE</v>
      </c>
      <c r="C35" s="11"/>
      <c r="D35" s="6">
        <v>23214.5</v>
      </c>
      <c r="E35" s="2"/>
      <c r="F35" s="7">
        <f t="shared" si="12"/>
        <v>4.150181044038919E-2</v>
      </c>
      <c r="G35" s="2"/>
      <c r="H35" s="6">
        <v>23505.57</v>
      </c>
      <c r="I35" s="2"/>
      <c r="J35" s="7">
        <f t="shared" si="13"/>
        <v>4.389852721911619E-2</v>
      </c>
      <c r="K35" s="2"/>
      <c r="L35" s="6">
        <f t="shared" si="14"/>
        <v>-291.06999999999971</v>
      </c>
      <c r="M35" s="2"/>
      <c r="N35" s="7">
        <f t="shared" si="15"/>
        <v>-1.2383022407029471E-2</v>
      </c>
      <c r="O35" s="11"/>
      <c r="P35" s="6">
        <v>105775.6</v>
      </c>
      <c r="Q35" s="2"/>
      <c r="R35" s="7">
        <f t="shared" si="16"/>
        <v>3.961084756539611E-2</v>
      </c>
      <c r="S35" s="2"/>
      <c r="T35" s="6">
        <v>101440.78</v>
      </c>
      <c r="U35" s="2"/>
      <c r="V35" s="7">
        <f t="shared" si="17"/>
        <v>3.6829360750577474E-2</v>
      </c>
      <c r="W35" s="2"/>
      <c r="X35" s="6">
        <f t="shared" si="18"/>
        <v>4334.820000000007</v>
      </c>
      <c r="Y35" s="2"/>
      <c r="Z35" s="7">
        <f t="shared" si="19"/>
        <v>4.2732518421092651E-2</v>
      </c>
    </row>
    <row r="36" spans="1:26" s="24" customFormat="1" hidden="1" outlineLevel="2" x14ac:dyDescent="0.25">
      <c r="A36" s="26"/>
      <c r="B36" s="11" t="str">
        <f>CONCATENATE("          ", "6114", " - ", "STATE UNEMPLOYMENT INSURANCE")</f>
        <v xml:space="preserve">          6114 - STATE UNEMPLOYMENT INSURANCE</v>
      </c>
      <c r="C36" s="11"/>
      <c r="D36" s="6">
        <v>648.67999999999995</v>
      </c>
      <c r="E36" s="2"/>
      <c r="F36" s="7">
        <f t="shared" si="12"/>
        <v>1.1596801308006487E-3</v>
      </c>
      <c r="G36" s="2"/>
      <c r="H36" s="6">
        <v>584.59</v>
      </c>
      <c r="I36" s="2"/>
      <c r="J36" s="7">
        <f t="shared" si="13"/>
        <v>1.091768462837665E-3</v>
      </c>
      <c r="K36" s="2"/>
      <c r="L36" s="6">
        <f t="shared" si="14"/>
        <v>64.089999999999918</v>
      </c>
      <c r="M36" s="2"/>
      <c r="N36" s="7">
        <f t="shared" si="15"/>
        <v>0.10963239193280747</v>
      </c>
      <c r="O36" s="11"/>
      <c r="P36" s="6">
        <v>2900.1</v>
      </c>
      <c r="Q36" s="2"/>
      <c r="R36" s="7">
        <f t="shared" si="16"/>
        <v>1.086029472055987E-3</v>
      </c>
      <c r="S36" s="2"/>
      <c r="T36" s="6">
        <v>2786.31</v>
      </c>
      <c r="U36" s="2"/>
      <c r="V36" s="7">
        <f t="shared" si="17"/>
        <v>1.0116051567519643E-3</v>
      </c>
      <c r="W36" s="2"/>
      <c r="X36" s="6">
        <f t="shared" si="18"/>
        <v>113.78999999999996</v>
      </c>
      <c r="Y36" s="2"/>
      <c r="Z36" s="7">
        <f t="shared" si="19"/>
        <v>4.0838959053371648E-2</v>
      </c>
    </row>
    <row r="37" spans="1:26" s="24" customFormat="1" hidden="1" outlineLevel="2" x14ac:dyDescent="0.25">
      <c r="A37" s="26"/>
      <c r="B37" s="11" t="str">
        <f>CONCATENATE("          ", "6115", " - ", "P.E.R.S.")</f>
        <v xml:space="preserve">          6115 - P.E.R.S.</v>
      </c>
      <c r="C37" s="11"/>
      <c r="D37" s="6">
        <v>6762.88</v>
      </c>
      <c r="E37" s="2"/>
      <c r="F37" s="7">
        <f t="shared" si="12"/>
        <v>1.2090364375330042E-2</v>
      </c>
      <c r="G37" s="2"/>
      <c r="H37" s="6">
        <v>6270.88</v>
      </c>
      <c r="I37" s="2"/>
      <c r="J37" s="7">
        <f t="shared" si="13"/>
        <v>1.1711368682733979E-2</v>
      </c>
      <c r="K37" s="2"/>
      <c r="L37" s="6">
        <f t="shared" si="14"/>
        <v>492</v>
      </c>
      <c r="M37" s="2"/>
      <c r="N37" s="7">
        <f t="shared" si="15"/>
        <v>7.8457887888143285E-2</v>
      </c>
      <c r="O37" s="11"/>
      <c r="P37" s="6">
        <v>35546</v>
      </c>
      <c r="Q37" s="2"/>
      <c r="R37" s="7">
        <f t="shared" si="16"/>
        <v>1.3311266374849872E-2</v>
      </c>
      <c r="S37" s="2"/>
      <c r="T37" s="6">
        <v>35939.24</v>
      </c>
      <c r="U37" s="2"/>
      <c r="V37" s="7">
        <f t="shared" si="17"/>
        <v>1.3048196544442817E-2</v>
      </c>
      <c r="W37" s="2"/>
      <c r="X37" s="6">
        <f t="shared" si="18"/>
        <v>-393.23999999999796</v>
      </c>
      <c r="Y37" s="2"/>
      <c r="Z37" s="7">
        <f t="shared" si="19"/>
        <v>-1.0941800661338359E-2</v>
      </c>
    </row>
    <row r="38" spans="1:26" s="24" customFormat="1" hidden="1" outlineLevel="2" x14ac:dyDescent="0.25">
      <c r="A38" s="26"/>
      <c r="B38" s="11" t="str">
        <f>CONCATENATE("          ", "6117", " - ", "RETIREMENT STAFF HOURLY")</f>
        <v xml:space="preserve">          6117 - RETIREMENT STAFF HOURLY</v>
      </c>
      <c r="C38" s="11"/>
      <c r="D38" s="6">
        <v>56</v>
      </c>
      <c r="E38" s="2"/>
      <c r="F38" s="7">
        <f t="shared" si="12"/>
        <v>1.0011421243885479E-4</v>
      </c>
      <c r="G38" s="2"/>
      <c r="H38" s="6">
        <v>56</v>
      </c>
      <c r="I38" s="2"/>
      <c r="J38" s="7">
        <f t="shared" si="13"/>
        <v>1.0458446760791193E-4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>
        <v>308</v>
      </c>
      <c r="Q38" s="2"/>
      <c r="R38" s="7">
        <f t="shared" si="16"/>
        <v>1.1533984255482363E-4</v>
      </c>
      <c r="S38" s="2"/>
      <c r="T38" s="6">
        <v>308</v>
      </c>
      <c r="U38" s="2"/>
      <c r="V38" s="7">
        <f t="shared" si="17"/>
        <v>1.1182330332217341E-4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25">
      <c r="A39" s="26"/>
      <c r="B39" s="11" t="str">
        <f>CONCATENATE("          ", "6118", " - ", "VACATION")</f>
        <v xml:space="preserve">          6118 - VACATION</v>
      </c>
      <c r="C39" s="11"/>
      <c r="D39" s="6">
        <v>6170.88</v>
      </c>
      <c r="E39" s="2"/>
      <c r="F39" s="7">
        <f t="shared" si="12"/>
        <v>1.1032014129547862E-2</v>
      </c>
      <c r="G39" s="2"/>
      <c r="H39" s="6">
        <v>5046.72</v>
      </c>
      <c r="I39" s="2"/>
      <c r="J39" s="7">
        <f t="shared" si="13"/>
        <v>9.4251522208250241E-3</v>
      </c>
      <c r="K39" s="2"/>
      <c r="L39" s="6">
        <f t="shared" si="14"/>
        <v>1124.1599999999999</v>
      </c>
      <c r="M39" s="2"/>
      <c r="N39" s="7">
        <f t="shared" si="15"/>
        <v>0.22275061822332123</v>
      </c>
      <c r="O39" s="11"/>
      <c r="P39" s="6">
        <v>38912.720000000001</v>
      </c>
      <c r="Q39" s="2"/>
      <c r="R39" s="7">
        <f t="shared" si="16"/>
        <v>1.4572035708376417E-2</v>
      </c>
      <c r="S39" s="2"/>
      <c r="T39" s="6">
        <v>30950.09</v>
      </c>
      <c r="U39" s="2"/>
      <c r="V39" s="7">
        <f t="shared" si="17"/>
        <v>1.1236822408826513E-2</v>
      </c>
      <c r="W39" s="2"/>
      <c r="X39" s="6">
        <f t="shared" si="18"/>
        <v>7962.630000000001</v>
      </c>
      <c r="Y39" s="2"/>
      <c r="Z39" s="7">
        <f t="shared" si="19"/>
        <v>0.2572732421779711</v>
      </c>
    </row>
    <row r="40" spans="1:26" s="24" customFormat="1" hidden="1" outlineLevel="2" x14ac:dyDescent="0.25">
      <c r="A40" s="26"/>
      <c r="B40" s="11" t="str">
        <f>CONCATENATE("          ", "6119", " - ", "SICK LEAVE")</f>
        <v xml:space="preserve">          6119 - SICK LEAVE</v>
      </c>
      <c r="C40" s="11"/>
      <c r="D40" s="6">
        <v>4702.12</v>
      </c>
      <c r="E40" s="2"/>
      <c r="F40" s="7">
        <f t="shared" si="12"/>
        <v>8.4062328677319276E-3</v>
      </c>
      <c r="G40" s="2"/>
      <c r="H40" s="6">
        <v>-2789.96</v>
      </c>
      <c r="I40" s="2"/>
      <c r="J40" s="7">
        <f t="shared" si="13"/>
        <v>-5.2104728794173209E-3</v>
      </c>
      <c r="K40" s="2"/>
      <c r="L40" s="6">
        <f t="shared" si="14"/>
        <v>7492.08</v>
      </c>
      <c r="M40" s="2"/>
      <c r="N40" s="7">
        <f t="shared" si="15"/>
        <v>-2.6853718332879324</v>
      </c>
      <c r="O40" s="11"/>
      <c r="P40" s="6">
        <v>47914.12</v>
      </c>
      <c r="Q40" s="2"/>
      <c r="R40" s="7">
        <f t="shared" si="16"/>
        <v>1.7942880055041969E-2</v>
      </c>
      <c r="S40" s="2"/>
      <c r="T40" s="6">
        <v>17665.849999999999</v>
      </c>
      <c r="U40" s="2"/>
      <c r="V40" s="7">
        <f t="shared" si="17"/>
        <v>6.413810724006549E-3</v>
      </c>
      <c r="W40" s="2"/>
      <c r="X40" s="6">
        <f t="shared" si="18"/>
        <v>30248.270000000004</v>
      </c>
      <c r="Y40" s="2"/>
      <c r="Z40" s="7">
        <f t="shared" si="19"/>
        <v>1.712245377380653</v>
      </c>
    </row>
    <row r="41" spans="1:26" s="24" customFormat="1" hidden="1" outlineLevel="2" x14ac:dyDescent="0.25">
      <c r="A41" s="26"/>
      <c r="B41" s="11" t="str">
        <f>CONCATENATE("          ", "6156", " - ", "EMPLOYEE MEALS")</f>
        <v xml:space="preserve">          6156 - EMPLOYEE MEALS</v>
      </c>
      <c r="C41" s="11"/>
      <c r="D41" s="6">
        <v>2738.14</v>
      </c>
      <c r="E41" s="2"/>
      <c r="F41" s="7">
        <f t="shared" si="12"/>
        <v>4.8951201722736764E-3</v>
      </c>
      <c r="G41" s="2"/>
      <c r="H41" s="6">
        <v>2794.75</v>
      </c>
      <c r="I41" s="2"/>
      <c r="J41" s="7">
        <f t="shared" si="13"/>
        <v>5.2194185865573547E-3</v>
      </c>
      <c r="K41" s="2"/>
      <c r="L41" s="6">
        <f t="shared" si="14"/>
        <v>-56.610000000000127</v>
      </c>
      <c r="M41" s="2"/>
      <c r="N41" s="7">
        <f t="shared" si="15"/>
        <v>-2.0255836836926427E-2</v>
      </c>
      <c r="O41" s="11"/>
      <c r="P41" s="6">
        <v>12813.61</v>
      </c>
      <c r="Q41" s="2"/>
      <c r="R41" s="7">
        <f t="shared" si="16"/>
        <v>4.7984407790873816E-3</v>
      </c>
      <c r="S41" s="2"/>
      <c r="T41" s="6">
        <v>14268.24</v>
      </c>
      <c r="U41" s="2"/>
      <c r="V41" s="7">
        <f t="shared" si="17"/>
        <v>5.1802653551739205E-3</v>
      </c>
      <c r="W41" s="2"/>
      <c r="X41" s="6">
        <f t="shared" si="18"/>
        <v>-1454.6299999999992</v>
      </c>
      <c r="Y41" s="2"/>
      <c r="Z41" s="7">
        <f t="shared" si="19"/>
        <v>-0.1019488037767797</v>
      </c>
    </row>
    <row r="42" spans="1:26" s="25" customFormat="1" outlineLevel="1" collapsed="1" x14ac:dyDescent="0.25">
      <c r="A42" s="27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214322.08</v>
      </c>
      <c r="E42" s="1"/>
      <c r="F42" s="5">
        <f t="shared" ref="F42:F49" si="20">IF(D$12=0,0,D42/D$12)</f>
        <v>0.38315511156173626</v>
      </c>
      <c r="G42" s="1"/>
      <c r="H42" s="1">
        <f>SUM(OSRRefH22_1x_0)</f>
        <v>191800.44999999998</v>
      </c>
      <c r="I42" s="1"/>
      <c r="J42" s="5">
        <f t="shared" ref="J42:J49" si="21">IF(H$12=0,0,H42/H$12)</f>
        <v>0.35820264196799878</v>
      </c>
      <c r="K42" s="1"/>
      <c r="L42" s="1">
        <f t="shared" ref="L42:L49" si="22">+D42-H42</f>
        <v>22521.630000000005</v>
      </c>
      <c r="M42" s="1"/>
      <c r="N42" s="5">
        <f t="shared" ref="N42:N49" si="23">IF(H42=0,0,L42/H42)</f>
        <v>0.11742219582905049</v>
      </c>
      <c r="O42" s="13"/>
      <c r="P42" s="1">
        <f>SUM(OSRRefP22_1x_0)</f>
        <v>1103067.8400000001</v>
      </c>
      <c r="Q42" s="1"/>
      <c r="R42" s="5">
        <f t="shared" ref="R42:R49" si="24">IF(P$12=0,0,P42/P$12)</f>
        <v>0.41307685387301751</v>
      </c>
      <c r="S42" s="1"/>
      <c r="T42" s="1">
        <f>SUM(OSRRefT22_1x_0)</f>
        <v>999264.14000000013</v>
      </c>
      <c r="U42" s="1"/>
      <c r="V42" s="5">
        <f t="shared" ref="V42:V49" si="25">IF(T$12=0,0,T42/T$12)</f>
        <v>0.36279550982529474</v>
      </c>
      <c r="W42" s="1"/>
      <c r="X42" s="1">
        <f t="shared" ref="X42:X49" si="26">+P42-T42</f>
        <v>103803.69999999995</v>
      </c>
      <c r="Y42" s="1"/>
      <c r="Z42" s="5">
        <f t="shared" ref="Z42:Z49" si="27">IF(T42=0,0,X42/T42)</f>
        <v>0.10388014124073335</v>
      </c>
    </row>
    <row r="43" spans="1:26" s="24" customFormat="1" hidden="1" outlineLevel="2" x14ac:dyDescent="0.25">
      <c r="A43" s="26"/>
      <c r="B43" s="11" t="str">
        <f>CONCATENATE("          ", "6001", " - ", "ADMINISTRATIVE SALARIES")</f>
        <v xml:space="preserve">          6001 - ADMINISTRATIVE SALARIES</v>
      </c>
      <c r="C43" s="11"/>
      <c r="D43" s="6">
        <v>16486.030000000002</v>
      </c>
      <c r="E43" s="2"/>
      <c r="F43" s="7">
        <f t="shared" si="20"/>
        <v>2.9472962673095241E-2</v>
      </c>
      <c r="G43" s="2"/>
      <c r="H43" s="6">
        <v>15267.14</v>
      </c>
      <c r="I43" s="2"/>
      <c r="J43" s="7">
        <f t="shared" si="21"/>
        <v>2.8512601942776012E-2</v>
      </c>
      <c r="K43" s="2"/>
      <c r="L43" s="6">
        <f t="shared" si="22"/>
        <v>1218.8900000000031</v>
      </c>
      <c r="M43" s="2"/>
      <c r="N43" s="7">
        <f t="shared" si="23"/>
        <v>7.983748102133098E-2</v>
      </c>
      <c r="O43" s="11"/>
      <c r="P43" s="6">
        <v>86742.09</v>
      </c>
      <c r="Q43" s="2"/>
      <c r="R43" s="7">
        <f t="shared" si="24"/>
        <v>3.2483178582715391E-2</v>
      </c>
      <c r="S43" s="2"/>
      <c r="T43" s="6">
        <v>81486.200000000012</v>
      </c>
      <c r="U43" s="2"/>
      <c r="V43" s="7">
        <f t="shared" si="25"/>
        <v>2.9584597594711978E-2</v>
      </c>
      <c r="W43" s="2"/>
      <c r="X43" s="6">
        <f t="shared" si="26"/>
        <v>5255.8899999999849</v>
      </c>
      <c r="Y43" s="2"/>
      <c r="Z43" s="7">
        <f t="shared" si="27"/>
        <v>6.4500369387699805E-2</v>
      </c>
    </row>
    <row r="44" spans="1:26" s="24" customFormat="1" hidden="1" outlineLevel="2" x14ac:dyDescent="0.25">
      <c r="A44" s="26"/>
      <c r="B44" s="11" t="str">
        <f>CONCATENATE("          ", "6002", " - ", "STAFF SALARIES")</f>
        <v xml:space="preserve">          6002 - STAFF SALARIES</v>
      </c>
      <c r="C44" s="11"/>
      <c r="D44" s="6">
        <v>60375.06</v>
      </c>
      <c r="E44" s="2"/>
      <c r="F44" s="7">
        <f t="shared" si="20"/>
        <v>0.10793574255086794</v>
      </c>
      <c r="G44" s="2"/>
      <c r="H44" s="6">
        <v>56932.899999999994</v>
      </c>
      <c r="I44" s="2"/>
      <c r="J44" s="7">
        <f t="shared" si="21"/>
        <v>0.10632673278347302</v>
      </c>
      <c r="K44" s="2"/>
      <c r="L44" s="6">
        <f t="shared" si="22"/>
        <v>3442.1600000000035</v>
      </c>
      <c r="M44" s="2"/>
      <c r="N44" s="7">
        <f t="shared" si="23"/>
        <v>6.0459944952742685E-2</v>
      </c>
      <c r="O44" s="11"/>
      <c r="P44" s="6">
        <v>300865.44</v>
      </c>
      <c r="Q44" s="2"/>
      <c r="R44" s="7">
        <f t="shared" si="24"/>
        <v>0.1126680924668433</v>
      </c>
      <c r="S44" s="2"/>
      <c r="T44" s="6">
        <v>285797.19</v>
      </c>
      <c r="U44" s="2"/>
      <c r="V44" s="7">
        <f t="shared" si="25"/>
        <v>0.10376229177271049</v>
      </c>
      <c r="W44" s="2"/>
      <c r="X44" s="6">
        <f t="shared" si="26"/>
        <v>15068.25</v>
      </c>
      <c r="Y44" s="2"/>
      <c r="Z44" s="7">
        <f t="shared" si="27"/>
        <v>5.2723576463435486E-2</v>
      </c>
    </row>
    <row r="45" spans="1:26" s="24" customFormat="1" hidden="1" outlineLevel="2" x14ac:dyDescent="0.25">
      <c r="A45" s="26"/>
      <c r="B45" s="11" t="str">
        <f>CONCATENATE("          ", "6004", " - ", "STAFF HOURLY")</f>
        <v xml:space="preserve">          6004 - STAFF HOURLY</v>
      </c>
      <c r="C45" s="11"/>
      <c r="D45" s="6">
        <v>20555.48</v>
      </c>
      <c r="E45" s="2"/>
      <c r="F45" s="7">
        <f t="shared" si="20"/>
        <v>3.6748137348261267E-2</v>
      </c>
      <c r="G45" s="2"/>
      <c r="H45" s="6">
        <v>14946.56</v>
      </c>
      <c r="I45" s="2"/>
      <c r="J45" s="7">
        <f t="shared" si="21"/>
        <v>2.7913893217316289E-2</v>
      </c>
      <c r="K45" s="2"/>
      <c r="L45" s="6">
        <f t="shared" si="22"/>
        <v>5608.92</v>
      </c>
      <c r="M45" s="2"/>
      <c r="N45" s="7">
        <f t="shared" si="23"/>
        <v>0.37526494390682541</v>
      </c>
      <c r="O45" s="11"/>
      <c r="P45" s="6">
        <v>103390.75</v>
      </c>
      <c r="Q45" s="2"/>
      <c r="R45" s="7">
        <f t="shared" si="24"/>
        <v>3.8717768917614061E-2</v>
      </c>
      <c r="S45" s="2"/>
      <c r="T45" s="6">
        <v>71222.95</v>
      </c>
      <c r="U45" s="2"/>
      <c r="V45" s="7">
        <f t="shared" si="25"/>
        <v>2.5858394614772698E-2</v>
      </c>
      <c r="W45" s="2"/>
      <c r="X45" s="6">
        <f t="shared" si="26"/>
        <v>32167.800000000003</v>
      </c>
      <c r="Y45" s="2"/>
      <c r="Z45" s="7">
        <f t="shared" si="27"/>
        <v>0.45164936302132958</v>
      </c>
    </row>
    <row r="46" spans="1:26" s="24" customFormat="1" hidden="1" outlineLevel="2" x14ac:dyDescent="0.25">
      <c r="A46" s="26"/>
      <c r="B46" s="11" t="str">
        <f>CONCATENATE("          ", "6005", " - ", "TEMPORARY WAGES-HOURLY")</f>
        <v xml:space="preserve">          6005 - TEMPORARY WAGES-HOURLY</v>
      </c>
      <c r="C46" s="11"/>
      <c r="D46" s="6">
        <v>45444.68</v>
      </c>
      <c r="E46" s="2"/>
      <c r="F46" s="7">
        <f t="shared" si="20"/>
        <v>8.1243899066710284E-2</v>
      </c>
      <c r="G46" s="2"/>
      <c r="H46" s="6">
        <v>31505.040000000001</v>
      </c>
      <c r="I46" s="2"/>
      <c r="J46" s="7">
        <f t="shared" si="21"/>
        <v>5.8838175631535178E-2</v>
      </c>
      <c r="K46" s="2"/>
      <c r="L46" s="6">
        <f t="shared" si="22"/>
        <v>13939.64</v>
      </c>
      <c r="M46" s="2"/>
      <c r="N46" s="7">
        <f t="shared" si="23"/>
        <v>0.44245746077453002</v>
      </c>
      <c r="O46" s="11"/>
      <c r="P46" s="6">
        <v>235929.49</v>
      </c>
      <c r="Q46" s="2"/>
      <c r="R46" s="7">
        <f t="shared" si="24"/>
        <v>8.8350877372207259E-2</v>
      </c>
      <c r="S46" s="2"/>
      <c r="T46" s="6">
        <v>187571.78</v>
      </c>
      <c r="U46" s="2"/>
      <c r="V46" s="7">
        <f t="shared" si="25"/>
        <v>6.8100311849415521E-2</v>
      </c>
      <c r="W46" s="2"/>
      <c r="X46" s="6">
        <f t="shared" si="26"/>
        <v>48357.709999999992</v>
      </c>
      <c r="Y46" s="2"/>
      <c r="Z46" s="7">
        <f t="shared" si="27"/>
        <v>0.25780909047192491</v>
      </c>
    </row>
    <row r="47" spans="1:26" s="24" customFormat="1" hidden="1" outlineLevel="2" x14ac:dyDescent="0.25">
      <c r="A47" s="26"/>
      <c r="B47" s="11" t="str">
        <f>CONCATENATE("          ", "6006", " - ", "TEMPORARY PART TIME")</f>
        <v xml:space="preserve">          6006 - TEMPORARY PART TIME</v>
      </c>
      <c r="C47" s="11"/>
      <c r="D47" s="6">
        <v>611</v>
      </c>
      <c r="E47" s="2"/>
      <c r="F47" s="7">
        <f t="shared" si="20"/>
        <v>1.092317567859648E-3</v>
      </c>
      <c r="G47" s="2"/>
      <c r="H47" s="6">
        <v>1562.06</v>
      </c>
      <c r="I47" s="2"/>
      <c r="J47" s="7">
        <f t="shared" si="21"/>
        <v>2.9172716691359805E-3</v>
      </c>
      <c r="K47" s="2"/>
      <c r="L47" s="6">
        <f t="shared" si="22"/>
        <v>-951.06</v>
      </c>
      <c r="M47" s="2"/>
      <c r="N47" s="7">
        <f t="shared" si="23"/>
        <v>-0.60884985211835652</v>
      </c>
      <c r="O47" s="11"/>
      <c r="P47" s="6">
        <v>10073.9</v>
      </c>
      <c r="Q47" s="2"/>
      <c r="R47" s="7">
        <f t="shared" si="24"/>
        <v>3.7724741555618109E-3</v>
      </c>
      <c r="S47" s="2"/>
      <c r="T47" s="6">
        <v>4766.93</v>
      </c>
      <c r="U47" s="2"/>
      <c r="V47" s="7">
        <f t="shared" si="25"/>
        <v>1.7306943483947018E-3</v>
      </c>
      <c r="W47" s="2"/>
      <c r="X47" s="6">
        <f t="shared" si="26"/>
        <v>5306.9699999999993</v>
      </c>
      <c r="Y47" s="2"/>
      <c r="Z47" s="7">
        <f t="shared" si="27"/>
        <v>1.1132888462805199</v>
      </c>
    </row>
    <row r="48" spans="1:26" s="24" customFormat="1" hidden="1" outlineLevel="2" x14ac:dyDescent="0.25">
      <c r="A48" s="26"/>
      <c r="B48" s="11" t="str">
        <f>CONCATENATE("          ", "6007", " - ", "STUDENT HOURLY")</f>
        <v xml:space="preserve">          6007 - STUDENT HOURLY</v>
      </c>
      <c r="C48" s="11"/>
      <c r="D48" s="6">
        <v>67105.539999999994</v>
      </c>
      <c r="E48" s="2"/>
      <c r="F48" s="7">
        <f t="shared" si="20"/>
        <v>0.11996818370328692</v>
      </c>
      <c r="G48" s="2"/>
      <c r="H48" s="6">
        <v>65036.679999999993</v>
      </c>
      <c r="I48" s="2"/>
      <c r="J48" s="7">
        <f t="shared" si="21"/>
        <v>0.12146118844260953</v>
      </c>
      <c r="K48" s="2"/>
      <c r="L48" s="6">
        <f t="shared" si="22"/>
        <v>2068.8600000000006</v>
      </c>
      <c r="M48" s="2"/>
      <c r="N48" s="7">
        <f t="shared" si="23"/>
        <v>3.1810664382007213E-2</v>
      </c>
      <c r="O48" s="11"/>
      <c r="P48" s="6">
        <v>347974.91</v>
      </c>
      <c r="Q48" s="2"/>
      <c r="R48" s="7">
        <f t="shared" si="24"/>
        <v>0.13030964718321078</v>
      </c>
      <c r="S48" s="2"/>
      <c r="T48" s="6">
        <v>335436.34000000003</v>
      </c>
      <c r="U48" s="2"/>
      <c r="V48" s="7">
        <f t="shared" si="25"/>
        <v>0.1217844142633107</v>
      </c>
      <c r="W48" s="2"/>
      <c r="X48" s="6">
        <f t="shared" si="26"/>
        <v>12538.569999999949</v>
      </c>
      <c r="Y48" s="2"/>
      <c r="Z48" s="7">
        <f t="shared" si="27"/>
        <v>3.7379879592055971E-2</v>
      </c>
    </row>
    <row r="49" spans="1:26" s="24" customFormat="1" hidden="1" outlineLevel="2" x14ac:dyDescent="0.25">
      <c r="A49" s="26"/>
      <c r="B49" s="11" t="str">
        <f>CONCATENATE("          ", "6008", " - ", "STUDENT HOURLY-FICA EXEMPT")</f>
        <v xml:space="preserve">          6008 - STUDENT HOURLY-FICA EXEMPT</v>
      </c>
      <c r="C49" s="11"/>
      <c r="D49" s="6">
        <v>3744.29</v>
      </c>
      <c r="E49" s="2"/>
      <c r="F49" s="7">
        <f t="shared" si="20"/>
        <v>6.6938686516549934E-3</v>
      </c>
      <c r="G49" s="2"/>
      <c r="H49" s="6">
        <v>6550.07</v>
      </c>
      <c r="I49" s="2"/>
      <c r="J49" s="7">
        <f t="shared" si="21"/>
        <v>1.2232778281152781E-2</v>
      </c>
      <c r="K49" s="2"/>
      <c r="L49" s="6">
        <f t="shared" si="22"/>
        <v>-2805.7799999999997</v>
      </c>
      <c r="M49" s="2"/>
      <c r="N49" s="7">
        <f t="shared" si="23"/>
        <v>-0.42835878089852475</v>
      </c>
      <c r="O49" s="11"/>
      <c r="P49" s="6">
        <v>18091.259999999998</v>
      </c>
      <c r="Q49" s="2"/>
      <c r="R49" s="7">
        <f t="shared" si="24"/>
        <v>6.7748151948648647E-3</v>
      </c>
      <c r="S49" s="2"/>
      <c r="T49" s="6">
        <v>32982.75</v>
      </c>
      <c r="U49" s="2"/>
      <c r="V49" s="7">
        <f t="shared" si="25"/>
        <v>1.197480538197862E-2</v>
      </c>
      <c r="W49" s="2"/>
      <c r="X49" s="6">
        <f t="shared" si="26"/>
        <v>-14891.490000000002</v>
      </c>
      <c r="Y49" s="2"/>
      <c r="Z49" s="7">
        <f t="shared" si="27"/>
        <v>-0.45149328057848426</v>
      </c>
    </row>
    <row r="50" spans="1:26" s="25" customFormat="1" outlineLevel="1" collapsed="1" x14ac:dyDescent="0.25">
      <c r="A50" s="27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4267.8900000000003</v>
      </c>
      <c r="E50" s="1"/>
      <c r="F50" s="5">
        <f t="shared" ref="F50:F59" si="28">IF(D$12=0,0,D50/D$12)</f>
        <v>7.6299365379582859E-3</v>
      </c>
      <c r="G50" s="1"/>
      <c r="H50" s="1">
        <f>SUM(OSRRefH22_2x_0)</f>
        <v>1424.29</v>
      </c>
      <c r="I50" s="1"/>
      <c r="J50" s="5">
        <f t="shared" ref="J50:J59" si="29">IF(H$12=0,0,H50/H$12)</f>
        <v>2.6599752030227303E-3</v>
      </c>
      <c r="K50" s="1"/>
      <c r="L50" s="1">
        <f t="shared" ref="L50:L59" si="30">+D50-H50</f>
        <v>2843.6000000000004</v>
      </c>
      <c r="M50" s="1"/>
      <c r="N50" s="5">
        <f t="shared" ref="N50:N59" si="31">IF(H50=0,0,L50/H50)</f>
        <v>1.996503521052595</v>
      </c>
      <c r="O50" s="13"/>
      <c r="P50" s="1">
        <f>SUM(OSRRefP22_2x_0)</f>
        <v>16937</v>
      </c>
      <c r="Q50" s="1"/>
      <c r="R50" s="5">
        <f t="shared" ref="R50:R59" si="32">IF(P$12=0,0,P50/P$12)</f>
        <v>6.3425679004904152E-3</v>
      </c>
      <c r="S50" s="1"/>
      <c r="T50" s="1">
        <f>SUM(OSRRefT22_2x_0)</f>
        <v>11726.62</v>
      </c>
      <c r="U50" s="1"/>
      <c r="V50" s="5">
        <f t="shared" ref="V50:V59" si="33">IF(T$12=0,0,T50/T$12)</f>
        <v>4.257498003908654E-3</v>
      </c>
      <c r="W50" s="1"/>
      <c r="X50" s="1">
        <f t="shared" ref="X50:X59" si="34">+P50-T50</f>
        <v>5210.3799999999992</v>
      </c>
      <c r="Y50" s="1"/>
      <c r="Z50" s="5">
        <f t="shared" ref="Z50:Z59" si="35">IF(T50=0,0,X50/T50)</f>
        <v>0.44432069940016805</v>
      </c>
    </row>
    <row r="51" spans="1:26" s="24" customFormat="1" hidden="1" outlineLevel="2" x14ac:dyDescent="0.25">
      <c r="A51" s="26"/>
      <c r="B51" s="11" t="str">
        <f>CONCATENATE("          ", "6362", " - ", "ADVERTISING EXPENSE")</f>
        <v xml:space="preserve">          6362 - ADVERTISING EXPENSE</v>
      </c>
      <c r="C51" s="11"/>
      <c r="D51" s="6">
        <v>4267.8900000000003</v>
      </c>
      <c r="E51" s="2"/>
      <c r="F51" s="7">
        <f t="shared" si="28"/>
        <v>7.6299365379582859E-3</v>
      </c>
      <c r="G51" s="2"/>
      <c r="H51" s="6">
        <v>1424.29</v>
      </c>
      <c r="I51" s="2"/>
      <c r="J51" s="7">
        <f t="shared" si="29"/>
        <v>2.6599752030227303E-3</v>
      </c>
      <c r="K51" s="2"/>
      <c r="L51" s="6">
        <f t="shared" si="30"/>
        <v>2843.6000000000004</v>
      </c>
      <c r="M51" s="2"/>
      <c r="N51" s="7">
        <f t="shared" si="31"/>
        <v>1.996503521052595</v>
      </c>
      <c r="O51" s="11"/>
      <c r="P51" s="6">
        <v>16937</v>
      </c>
      <c r="Q51" s="2"/>
      <c r="R51" s="7">
        <f t="shared" si="32"/>
        <v>6.3425679004904152E-3</v>
      </c>
      <c r="S51" s="2"/>
      <c r="T51" s="6">
        <v>11726.62</v>
      </c>
      <c r="U51" s="2"/>
      <c r="V51" s="7">
        <f t="shared" si="33"/>
        <v>4.257498003908654E-3</v>
      </c>
      <c r="W51" s="2"/>
      <c r="X51" s="6">
        <f t="shared" si="34"/>
        <v>5210.3799999999992</v>
      </c>
      <c r="Y51" s="2"/>
      <c r="Z51" s="7">
        <f t="shared" si="35"/>
        <v>0.44432069940016805</v>
      </c>
    </row>
    <row r="52" spans="1:26" s="25" customFormat="1" outlineLevel="1" collapsed="1" x14ac:dyDescent="0.25">
      <c r="A52" s="27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8.7200000000000006</v>
      </c>
      <c r="E52" s="1"/>
      <c r="F52" s="5">
        <f t="shared" si="28"/>
        <v>1.5589213079764532E-5</v>
      </c>
      <c r="G52" s="1"/>
      <c r="H52" s="1">
        <f>SUM(OSRRefH22_3x_0)</f>
        <v>41.76</v>
      </c>
      <c r="I52" s="1"/>
      <c r="J52" s="5">
        <f t="shared" si="29"/>
        <v>7.7990131559042892E-5</v>
      </c>
      <c r="K52" s="1"/>
      <c r="L52" s="1">
        <f t="shared" si="30"/>
        <v>-33.04</v>
      </c>
      <c r="M52" s="1"/>
      <c r="N52" s="5">
        <f t="shared" si="31"/>
        <v>-0.79118773946360155</v>
      </c>
      <c r="O52" s="13"/>
      <c r="P52" s="1">
        <f>SUM(OSRRefP22_3x_0)</f>
        <v>-21.23</v>
      </c>
      <c r="Q52" s="1"/>
      <c r="R52" s="5">
        <f t="shared" si="32"/>
        <v>-7.9502105761003429E-6</v>
      </c>
      <c r="S52" s="1"/>
      <c r="T52" s="1">
        <f>SUM(OSRRefT22_3x_0)</f>
        <v>-353.8</v>
      </c>
      <c r="U52" s="1"/>
      <c r="V52" s="5">
        <f t="shared" si="33"/>
        <v>-1.2845157375124985E-4</v>
      </c>
      <c r="W52" s="1"/>
      <c r="X52" s="1">
        <f t="shared" si="34"/>
        <v>332.57</v>
      </c>
      <c r="Y52" s="1"/>
      <c r="Z52" s="5">
        <f t="shared" si="35"/>
        <v>-0.93999434708875063</v>
      </c>
    </row>
    <row r="53" spans="1:26" s="24" customFormat="1" hidden="1" outlineLevel="2" x14ac:dyDescent="0.25">
      <c r="A53" s="26"/>
      <c r="B53" s="11" t="str">
        <f>CONCATENATE("          ", "6272", " - ", "CASH (OVER/SHORT)")</f>
        <v xml:space="preserve">          6272 - CASH (OVER/SHORT)</v>
      </c>
      <c r="C53" s="11"/>
      <c r="D53" s="6">
        <v>8.7200000000000006</v>
      </c>
      <c r="E53" s="2"/>
      <c r="F53" s="7">
        <f t="shared" si="28"/>
        <v>1.5589213079764532E-5</v>
      </c>
      <c r="G53" s="2"/>
      <c r="H53" s="6">
        <v>41.76</v>
      </c>
      <c r="I53" s="2"/>
      <c r="J53" s="7">
        <f t="shared" si="29"/>
        <v>7.7990131559042892E-5</v>
      </c>
      <c r="K53" s="2"/>
      <c r="L53" s="6">
        <f t="shared" si="30"/>
        <v>-33.04</v>
      </c>
      <c r="M53" s="2"/>
      <c r="N53" s="7">
        <f t="shared" si="31"/>
        <v>-0.79118773946360155</v>
      </c>
      <c r="O53" s="11"/>
      <c r="P53" s="6">
        <v>-21.23</v>
      </c>
      <c r="Q53" s="2"/>
      <c r="R53" s="7">
        <f t="shared" si="32"/>
        <v>-7.9502105761003429E-6</v>
      </c>
      <c r="S53" s="2"/>
      <c r="T53" s="6">
        <v>-353.8</v>
      </c>
      <c r="U53" s="2"/>
      <c r="V53" s="7">
        <f t="shared" si="33"/>
        <v>-1.2845157375124985E-4</v>
      </c>
      <c r="W53" s="2"/>
      <c r="X53" s="6">
        <f t="shared" si="34"/>
        <v>332.57</v>
      </c>
      <c r="Y53" s="2"/>
      <c r="Z53" s="7">
        <f t="shared" si="35"/>
        <v>-0.93999434708875063</v>
      </c>
    </row>
    <row r="54" spans="1:26" s="25" customFormat="1" outlineLevel="1" collapsed="1" x14ac:dyDescent="0.25">
      <c r="A54" s="27"/>
      <c r="B54" s="13" t="str">
        <f>CONCATENATE("     ","Bank/card Fees                                    ")</f>
        <v xml:space="preserve">     Bank/card Fees                                    </v>
      </c>
      <c r="C54" s="13"/>
      <c r="D54" s="1">
        <f>SUM(OSRRefD22_4x_0)</f>
        <v>15621.329999999998</v>
      </c>
      <c r="E54" s="1"/>
      <c r="F54" s="5">
        <f t="shared" si="28"/>
        <v>2.7927091967811703E-2</v>
      </c>
      <c r="G54" s="1"/>
      <c r="H54" s="1">
        <f>SUM(OSRRefH22_4x_0)</f>
        <v>15037.510000000002</v>
      </c>
      <c r="I54" s="1"/>
      <c r="J54" s="5">
        <f t="shared" si="29"/>
        <v>2.8083749598190214E-2</v>
      </c>
      <c r="K54" s="1"/>
      <c r="L54" s="1">
        <f t="shared" si="30"/>
        <v>583.81999999999607</v>
      </c>
      <c r="M54" s="1"/>
      <c r="N54" s="5">
        <f t="shared" si="31"/>
        <v>3.8824246833418299E-2</v>
      </c>
      <c r="O54" s="13"/>
      <c r="P54" s="1">
        <f>SUM(OSRRefP22_4x_0)</f>
        <v>78527.8</v>
      </c>
      <c r="Q54" s="1"/>
      <c r="R54" s="5">
        <f t="shared" si="32"/>
        <v>2.9407091195378827E-2</v>
      </c>
      <c r="S54" s="1"/>
      <c r="T54" s="1">
        <f>SUM(OSRRefT22_4x_0)</f>
        <v>76582.240000000005</v>
      </c>
      <c r="U54" s="1"/>
      <c r="V54" s="5">
        <f t="shared" si="33"/>
        <v>2.7804152768219098E-2</v>
      </c>
      <c r="W54" s="1"/>
      <c r="X54" s="1">
        <f t="shared" si="34"/>
        <v>1945.5599999999977</v>
      </c>
      <c r="Y54" s="1"/>
      <c r="Z54" s="5">
        <f t="shared" si="35"/>
        <v>2.540484582326134E-2</v>
      </c>
    </row>
    <row r="55" spans="1:26" s="24" customFormat="1" hidden="1" outlineLevel="2" x14ac:dyDescent="0.25">
      <c r="A55" s="26"/>
      <c r="B55" s="11" t="str">
        <f>CONCATENATE("          ", "6381", " - ", "BANK/CREDIT CARD FEES")</f>
        <v xml:space="preserve">          6381 - BANK/CREDIT CARD FEES</v>
      </c>
      <c r="C55" s="11"/>
      <c r="D55" s="6">
        <v>15621.329999999998</v>
      </c>
      <c r="E55" s="2"/>
      <c r="F55" s="7">
        <f t="shared" si="28"/>
        <v>2.7927091967811703E-2</v>
      </c>
      <c r="G55" s="2"/>
      <c r="H55" s="6">
        <v>15037.510000000002</v>
      </c>
      <c r="I55" s="2"/>
      <c r="J55" s="7">
        <f t="shared" si="29"/>
        <v>2.8083749598190214E-2</v>
      </c>
      <c r="K55" s="2"/>
      <c r="L55" s="6">
        <f t="shared" si="30"/>
        <v>583.81999999999607</v>
      </c>
      <c r="M55" s="2"/>
      <c r="N55" s="7">
        <f t="shared" si="31"/>
        <v>3.8824246833418299E-2</v>
      </c>
      <c r="O55" s="11"/>
      <c r="P55" s="6">
        <v>78527.8</v>
      </c>
      <c r="Q55" s="2"/>
      <c r="R55" s="7">
        <f t="shared" si="32"/>
        <v>2.9407091195378827E-2</v>
      </c>
      <c r="S55" s="2"/>
      <c r="T55" s="6">
        <v>76582.240000000005</v>
      </c>
      <c r="U55" s="2"/>
      <c r="V55" s="7">
        <f t="shared" si="33"/>
        <v>2.7804152768219098E-2</v>
      </c>
      <c r="W55" s="2"/>
      <c r="X55" s="6">
        <f t="shared" si="34"/>
        <v>1945.5599999999977</v>
      </c>
      <c r="Y55" s="2"/>
      <c r="Z55" s="7">
        <f t="shared" si="35"/>
        <v>2.540484582326134E-2</v>
      </c>
    </row>
    <row r="56" spans="1:26" s="25" customFormat="1" outlineLevel="1" collapsed="1" x14ac:dyDescent="0.25">
      <c r="A56" s="27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SUM(OSRRefD22_5x_0)</f>
        <v>39571.050000000003</v>
      </c>
      <c r="E56" s="1"/>
      <c r="F56" s="5">
        <f t="shared" si="28"/>
        <v>7.0743294752295446E-2</v>
      </c>
      <c r="G56" s="1"/>
      <c r="H56" s="1">
        <f>SUM(OSRRefH22_5x_0)</f>
        <v>35444.590000000004</v>
      </c>
      <c r="I56" s="1"/>
      <c r="J56" s="5">
        <f t="shared" si="29"/>
        <v>6.6195599548762848E-2</v>
      </c>
      <c r="K56" s="1"/>
      <c r="L56" s="1">
        <f t="shared" si="30"/>
        <v>4126.4599999999991</v>
      </c>
      <c r="M56" s="1"/>
      <c r="N56" s="5">
        <f t="shared" si="31"/>
        <v>0.11642002347890042</v>
      </c>
      <c r="O56" s="13"/>
      <c r="P56" s="1">
        <f>SUM(OSRRefP22_5x_0)</f>
        <v>197855.25</v>
      </c>
      <c r="Q56" s="1"/>
      <c r="R56" s="5">
        <f t="shared" si="32"/>
        <v>7.4092835661185935E-2</v>
      </c>
      <c r="S56" s="1"/>
      <c r="T56" s="1">
        <f>SUM(OSRRefT22_5x_0)</f>
        <v>196196.81</v>
      </c>
      <c r="U56" s="1"/>
      <c r="V56" s="5">
        <f t="shared" si="33"/>
        <v>7.1231738296989699E-2</v>
      </c>
      <c r="W56" s="1"/>
      <c r="X56" s="1">
        <f t="shared" si="34"/>
        <v>1658.4400000000023</v>
      </c>
      <c r="Y56" s="1"/>
      <c r="Z56" s="5">
        <f t="shared" si="35"/>
        <v>8.4529406976596739E-3</v>
      </c>
    </row>
    <row r="57" spans="1:26" s="24" customFormat="1" hidden="1" outlineLevel="2" x14ac:dyDescent="0.25">
      <c r="A57" s="26"/>
      <c r="B57" s="11" t="str">
        <f>CONCATENATE("          ", "6321", " - ", "BUILDING DEPRECIATION")</f>
        <v xml:space="preserve">          6321 - BUILDING DEPRECIATION</v>
      </c>
      <c r="C57" s="11"/>
      <c r="D57" s="6">
        <v>24042.959999999999</v>
      </c>
      <c r="E57" s="2"/>
      <c r="F57" s="7">
        <f t="shared" si="28"/>
        <v>4.2982892948194434E-2</v>
      </c>
      <c r="G57" s="2"/>
      <c r="H57" s="6">
        <v>21516.510000000002</v>
      </c>
      <c r="I57" s="2"/>
      <c r="J57" s="7">
        <f t="shared" si="29"/>
        <v>4.018379898446988E-2</v>
      </c>
      <c r="K57" s="2"/>
      <c r="L57" s="6">
        <f t="shared" si="30"/>
        <v>2526.4499999999971</v>
      </c>
      <c r="M57" s="2"/>
      <c r="N57" s="7">
        <f t="shared" si="31"/>
        <v>0.11741913535234091</v>
      </c>
      <c r="O57" s="11"/>
      <c r="P57" s="6">
        <v>120214.79999999999</v>
      </c>
      <c r="Q57" s="2"/>
      <c r="R57" s="7">
        <f t="shared" si="32"/>
        <v>4.5018039301167566E-2</v>
      </c>
      <c r="S57" s="2"/>
      <c r="T57" s="6">
        <v>126556.41</v>
      </c>
      <c r="U57" s="2"/>
      <c r="V57" s="7">
        <f t="shared" si="33"/>
        <v>4.5947908515569291E-2</v>
      </c>
      <c r="W57" s="2"/>
      <c r="X57" s="6">
        <f t="shared" si="34"/>
        <v>-6341.6100000000151</v>
      </c>
      <c r="Y57" s="2"/>
      <c r="Z57" s="7">
        <f t="shared" si="35"/>
        <v>-5.0108959317035108E-2</v>
      </c>
    </row>
    <row r="58" spans="1:26" s="24" customFormat="1" hidden="1" outlineLevel="2" x14ac:dyDescent="0.25">
      <c r="A58" s="26"/>
      <c r="B58" s="11" t="str">
        <f>CONCATENATE("          ", "6322", " - ", "EQUIPMENT DEPRECIATION EXPENSE")</f>
        <v xml:space="preserve">          6322 - EQUIPMENT DEPRECIATION EXPENSE</v>
      </c>
      <c r="C58" s="11"/>
      <c r="D58" s="6">
        <v>15103.84</v>
      </c>
      <c r="E58" s="2"/>
      <c r="F58" s="7">
        <f t="shared" si="28"/>
        <v>2.700194725718701E-2</v>
      </c>
      <c r="G58" s="2"/>
      <c r="H58" s="6">
        <v>13503.83</v>
      </c>
      <c r="I58" s="2"/>
      <c r="J58" s="7">
        <f t="shared" si="29"/>
        <v>2.5219479843174096E-2</v>
      </c>
      <c r="K58" s="2"/>
      <c r="L58" s="6">
        <f t="shared" si="30"/>
        <v>1600.0100000000002</v>
      </c>
      <c r="M58" s="2"/>
      <c r="N58" s="7">
        <f t="shared" si="31"/>
        <v>0.11848564444309505</v>
      </c>
      <c r="O58" s="11"/>
      <c r="P58" s="6">
        <v>75519.199999999997</v>
      </c>
      <c r="Q58" s="2"/>
      <c r="R58" s="7">
        <f t="shared" si="32"/>
        <v>2.8280430642422846E-2</v>
      </c>
      <c r="S58" s="2"/>
      <c r="T58" s="6">
        <v>67519.149999999994</v>
      </c>
      <c r="U58" s="2"/>
      <c r="V58" s="7">
        <f t="shared" si="33"/>
        <v>2.451368308605625E-2</v>
      </c>
      <c r="W58" s="2"/>
      <c r="X58" s="6">
        <f t="shared" si="34"/>
        <v>8000.0500000000029</v>
      </c>
      <c r="Y58" s="2"/>
      <c r="Z58" s="7">
        <f t="shared" si="35"/>
        <v>0.11848564444309509</v>
      </c>
    </row>
    <row r="59" spans="1:26" s="24" customFormat="1" hidden="1" outlineLevel="2" x14ac:dyDescent="0.25">
      <c r="A59" s="26"/>
      <c r="B59" s="11" t="str">
        <f>CONCATENATE("          ", "6326", " - ", "VEHICLES DEPRECIATION EXPENSE")</f>
        <v xml:space="preserve">          6326 - VEHICLES DEPRECIATION EXPENSE</v>
      </c>
      <c r="C59" s="11"/>
      <c r="D59" s="6">
        <v>424.25</v>
      </c>
      <c r="E59" s="2"/>
      <c r="F59" s="7">
        <f t="shared" si="28"/>
        <v>7.5845454691400257E-4</v>
      </c>
      <c r="G59" s="2"/>
      <c r="H59" s="6">
        <v>424.25</v>
      </c>
      <c r="I59" s="2"/>
      <c r="J59" s="7">
        <f t="shared" si="29"/>
        <v>7.9232072111886851E-4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2121.25</v>
      </c>
      <c r="Q59" s="2"/>
      <c r="R59" s="7">
        <f t="shared" si="32"/>
        <v>7.9436571759551827E-4</v>
      </c>
      <c r="S59" s="2"/>
      <c r="T59" s="6">
        <v>2121.25</v>
      </c>
      <c r="U59" s="2"/>
      <c r="V59" s="7">
        <f t="shared" si="33"/>
        <v>7.7014669536415697E-4</v>
      </c>
      <c r="W59" s="2"/>
      <c r="X59" s="6">
        <f t="shared" si="34"/>
        <v>0</v>
      </c>
      <c r="Y59" s="2"/>
      <c r="Z59" s="7">
        <f t="shared" si="35"/>
        <v>0</v>
      </c>
    </row>
    <row r="60" spans="1:26" s="25" customFormat="1" outlineLevel="1" collapsed="1" x14ac:dyDescent="0.25">
      <c r="A60" s="27"/>
      <c r="B60" s="13" t="str">
        <f>CONCATENATE("     ","Donations                                         ")</f>
        <v xml:space="preserve">     Donations                                         </v>
      </c>
      <c r="C60" s="13"/>
      <c r="D60" s="1">
        <f>SUM(OSRRefD22_6x_0)</f>
        <v>0</v>
      </c>
      <c r="E60" s="1"/>
      <c r="F60" s="5">
        <f t="shared" ref="F60:F70" si="36">IF(D$12=0,0,D60/D$12)</f>
        <v>0</v>
      </c>
      <c r="G60" s="1"/>
      <c r="H60" s="1">
        <f>SUM(OSRRefH22_6x_0)</f>
        <v>62</v>
      </c>
      <c r="I60" s="1"/>
      <c r="J60" s="5">
        <f t="shared" ref="J60:J70" si="37">IF(H$12=0,0,H60/H$12)</f>
        <v>1.1578994628018821E-4</v>
      </c>
      <c r="K60" s="1"/>
      <c r="L60" s="1">
        <f t="shared" ref="L60:L70" si="38">+D60-H60</f>
        <v>-62</v>
      </c>
      <c r="M60" s="1"/>
      <c r="N60" s="5">
        <f t="shared" ref="N60:N70" si="39">IF(H60=0,0,L60/H60)</f>
        <v>-1</v>
      </c>
      <c r="O60" s="13"/>
      <c r="P60" s="1">
        <f>SUM(OSRRefP22_6x_0)</f>
        <v>163.68</v>
      </c>
      <c r="Q60" s="1"/>
      <c r="R60" s="5">
        <f t="shared" ref="R60:R70" si="40">IF(P$12=0,0,P60/P$12)</f>
        <v>6.1294887757706268E-5</v>
      </c>
      <c r="S60" s="1"/>
      <c r="T60" s="1">
        <f>SUM(OSRRefT22_6x_0)</f>
        <v>750.24</v>
      </c>
      <c r="U60" s="1"/>
      <c r="V60" s="5">
        <f t="shared" ref="V60:V70" si="41">IF(T$12=0,0,T60/T$12)</f>
        <v>2.7238413988450451E-4</v>
      </c>
      <c r="W60" s="1"/>
      <c r="X60" s="1">
        <f t="shared" ref="X60:X70" si="42">+P60-T60</f>
        <v>-586.55999999999995</v>
      </c>
      <c r="Y60" s="1"/>
      <c r="Z60" s="5">
        <f t="shared" ref="Z60:Z70" si="43">IF(T60=0,0,X60/T60)</f>
        <v>-0.78182981445937294</v>
      </c>
    </row>
    <row r="61" spans="1:26" s="24" customFormat="1" hidden="1" outlineLevel="2" x14ac:dyDescent="0.25">
      <c r="A61" s="26"/>
      <c r="B61" s="11" t="str">
        <f>CONCATENATE("          ", "6399", " - ", "DONATION-ON CAMPUS")</f>
        <v xml:space="preserve">          6399 - DONATION-ON CAMPUS</v>
      </c>
      <c r="C61" s="11"/>
      <c r="D61" s="6"/>
      <c r="E61" s="2"/>
      <c r="F61" s="7">
        <f t="shared" si="36"/>
        <v>0</v>
      </c>
      <c r="G61" s="2"/>
      <c r="H61" s="6">
        <v>62</v>
      </c>
      <c r="I61" s="2"/>
      <c r="J61" s="7">
        <f t="shared" si="37"/>
        <v>1.1578994628018821E-4</v>
      </c>
      <c r="K61" s="2"/>
      <c r="L61" s="6">
        <f t="shared" si="38"/>
        <v>-62</v>
      </c>
      <c r="M61" s="2"/>
      <c r="N61" s="7">
        <f t="shared" si="39"/>
        <v>-1</v>
      </c>
      <c r="O61" s="11"/>
      <c r="P61" s="6">
        <v>163.68</v>
      </c>
      <c r="Q61" s="2"/>
      <c r="R61" s="7">
        <f t="shared" si="40"/>
        <v>6.1294887757706268E-5</v>
      </c>
      <c r="S61" s="2"/>
      <c r="T61" s="6">
        <v>750.24</v>
      </c>
      <c r="U61" s="2"/>
      <c r="V61" s="7">
        <f t="shared" si="41"/>
        <v>2.7238413988450451E-4</v>
      </c>
      <c r="W61" s="2"/>
      <c r="X61" s="6">
        <f t="shared" si="42"/>
        <v>-586.55999999999995</v>
      </c>
      <c r="Y61" s="2"/>
      <c r="Z61" s="7">
        <f t="shared" si="43"/>
        <v>-0.78182981445937294</v>
      </c>
    </row>
    <row r="62" spans="1:26" s="25" customFormat="1" outlineLevel="1" collapsed="1" x14ac:dyDescent="0.25">
      <c r="A62" s="27"/>
      <c r="B62" s="13" t="str">
        <f>CONCATENATE("     ","Employees' Appreciation                           ")</f>
        <v xml:space="preserve">     Employees' Appreciation                           </v>
      </c>
      <c r="C62" s="13"/>
      <c r="D62" s="1">
        <f>SUM(OSRRefD22_7x_0)</f>
        <v>499.87</v>
      </c>
      <c r="E62" s="1"/>
      <c r="F62" s="5">
        <f t="shared" si="36"/>
        <v>8.9364448878232763E-4</v>
      </c>
      <c r="G62" s="1"/>
      <c r="H62" s="1">
        <f>SUM(OSRRefH22_7x_0)</f>
        <v>408.75</v>
      </c>
      <c r="I62" s="1"/>
      <c r="J62" s="5">
        <f t="shared" si="37"/>
        <v>7.6337323454882147E-4</v>
      </c>
      <c r="K62" s="1"/>
      <c r="L62" s="1">
        <f t="shared" si="38"/>
        <v>91.12</v>
      </c>
      <c r="M62" s="1"/>
      <c r="N62" s="5">
        <f t="shared" si="39"/>
        <v>0.22292354740061163</v>
      </c>
      <c r="O62" s="13"/>
      <c r="P62" s="1">
        <f>SUM(OSRRefP22_7x_0)</f>
        <v>952.71</v>
      </c>
      <c r="Q62" s="1"/>
      <c r="R62" s="5">
        <f t="shared" si="40"/>
        <v>3.5677084870261693E-4</v>
      </c>
      <c r="S62" s="1"/>
      <c r="T62" s="1">
        <f>SUM(OSRRefT22_7x_0)</f>
        <v>1246.5899999999999</v>
      </c>
      <c r="U62" s="1"/>
      <c r="V62" s="5">
        <f t="shared" si="41"/>
        <v>4.5259029768957194E-4</v>
      </c>
      <c r="W62" s="1"/>
      <c r="X62" s="1">
        <f t="shared" si="42"/>
        <v>-293.87999999999988</v>
      </c>
      <c r="Y62" s="1"/>
      <c r="Z62" s="5">
        <f t="shared" si="43"/>
        <v>-0.23574711813828114</v>
      </c>
    </row>
    <row r="63" spans="1:26" s="24" customFormat="1" hidden="1" outlineLevel="2" x14ac:dyDescent="0.25">
      <c r="A63" s="26"/>
      <c r="B63" s="11" t="str">
        <f>CONCATENATE("          ", "6277", " - ", "EMPLOYEE APPRECIATION")</f>
        <v xml:space="preserve">          6277 - EMPLOYEE APPRECIATION</v>
      </c>
      <c r="C63" s="11"/>
      <c r="D63" s="6">
        <v>499.87</v>
      </c>
      <c r="E63" s="2"/>
      <c r="F63" s="7">
        <f t="shared" si="36"/>
        <v>8.9364448878232763E-4</v>
      </c>
      <c r="G63" s="2"/>
      <c r="H63" s="6">
        <v>408.75</v>
      </c>
      <c r="I63" s="2"/>
      <c r="J63" s="7">
        <f t="shared" si="37"/>
        <v>7.6337323454882147E-4</v>
      </c>
      <c r="K63" s="2"/>
      <c r="L63" s="6">
        <f t="shared" si="38"/>
        <v>91.12</v>
      </c>
      <c r="M63" s="2"/>
      <c r="N63" s="7">
        <f t="shared" si="39"/>
        <v>0.22292354740061163</v>
      </c>
      <c r="O63" s="11"/>
      <c r="P63" s="6">
        <v>952.71</v>
      </c>
      <c r="Q63" s="2"/>
      <c r="R63" s="7">
        <f t="shared" si="40"/>
        <v>3.5677084870261693E-4</v>
      </c>
      <c r="S63" s="2"/>
      <c r="T63" s="6">
        <v>1246.5899999999999</v>
      </c>
      <c r="U63" s="2"/>
      <c r="V63" s="7">
        <f t="shared" si="41"/>
        <v>4.5259029768957194E-4</v>
      </c>
      <c r="W63" s="2"/>
      <c r="X63" s="6">
        <f t="shared" si="42"/>
        <v>-293.87999999999988</v>
      </c>
      <c r="Y63" s="2"/>
      <c r="Z63" s="7">
        <f t="shared" si="43"/>
        <v>-0.23574711813828114</v>
      </c>
    </row>
    <row r="64" spans="1:26" s="25" customFormat="1" outlineLevel="1" collapsed="1" x14ac:dyDescent="0.25">
      <c r="A64" s="27"/>
      <c r="B64" s="13" t="str">
        <f>CONCATENATE("     ","Equipment Rental                                  ")</f>
        <v xml:space="preserve">     Equipment Rental                                  </v>
      </c>
      <c r="C64" s="13"/>
      <c r="D64" s="1">
        <f>SUM(OSRRefD22_8x_0)</f>
        <v>1959.34</v>
      </c>
      <c r="E64" s="1"/>
      <c r="F64" s="5">
        <f t="shared" si="36"/>
        <v>3.5028175178561743E-3</v>
      </c>
      <c r="G64" s="1"/>
      <c r="H64" s="1">
        <f>SUM(OSRRefH22_8x_0)</f>
        <v>2289.0700000000002</v>
      </c>
      <c r="I64" s="1"/>
      <c r="J64" s="5">
        <f t="shared" si="37"/>
        <v>4.2750208440579104E-3</v>
      </c>
      <c r="K64" s="1"/>
      <c r="L64" s="1">
        <f t="shared" si="38"/>
        <v>-329.73000000000025</v>
      </c>
      <c r="M64" s="1"/>
      <c r="N64" s="5">
        <f t="shared" si="39"/>
        <v>-0.14404539834954816</v>
      </c>
      <c r="O64" s="13"/>
      <c r="P64" s="1">
        <f>SUM(OSRRefP22_8x_0)</f>
        <v>12173.5</v>
      </c>
      <c r="Q64" s="1"/>
      <c r="R64" s="5">
        <f t="shared" si="40"/>
        <v>4.5587323809777452E-3</v>
      </c>
      <c r="S64" s="1"/>
      <c r="T64" s="1">
        <f>SUM(OSRRefT22_8x_0)</f>
        <v>8097.61</v>
      </c>
      <c r="U64" s="1"/>
      <c r="V64" s="5">
        <f t="shared" si="41"/>
        <v>2.9399399325151449E-3</v>
      </c>
      <c r="W64" s="1"/>
      <c r="X64" s="1">
        <f t="shared" si="42"/>
        <v>4075.8900000000003</v>
      </c>
      <c r="Y64" s="1"/>
      <c r="Z64" s="5">
        <f t="shared" si="43"/>
        <v>0.50334481408711962</v>
      </c>
    </row>
    <row r="65" spans="1:26" s="24" customFormat="1" hidden="1" outlineLevel="2" x14ac:dyDescent="0.25">
      <c r="A65" s="26"/>
      <c r="B65" s="11" t="str">
        <f>CONCATENATE("          ", "6351", " - ", "EQUIPMENT RENTAL")</f>
        <v xml:space="preserve">          6351 - EQUIPMENT RENTAL</v>
      </c>
      <c r="C65" s="11"/>
      <c r="D65" s="6">
        <v>1959.34</v>
      </c>
      <c r="E65" s="2"/>
      <c r="F65" s="7">
        <f t="shared" si="36"/>
        <v>3.5028175178561743E-3</v>
      </c>
      <c r="G65" s="2"/>
      <c r="H65" s="6">
        <v>2289.0700000000002</v>
      </c>
      <c r="I65" s="2"/>
      <c r="J65" s="7">
        <f t="shared" si="37"/>
        <v>4.2750208440579104E-3</v>
      </c>
      <c r="K65" s="2"/>
      <c r="L65" s="6">
        <f t="shared" si="38"/>
        <v>-329.73000000000025</v>
      </c>
      <c r="M65" s="2"/>
      <c r="N65" s="7">
        <f t="shared" si="39"/>
        <v>-0.14404539834954816</v>
      </c>
      <c r="O65" s="11"/>
      <c r="P65" s="6">
        <v>12173.5</v>
      </c>
      <c r="Q65" s="2"/>
      <c r="R65" s="7">
        <f t="shared" si="40"/>
        <v>4.5587323809777452E-3</v>
      </c>
      <c r="S65" s="2"/>
      <c r="T65" s="6">
        <v>8097.61</v>
      </c>
      <c r="U65" s="2"/>
      <c r="V65" s="7">
        <f t="shared" si="41"/>
        <v>2.9399399325151449E-3</v>
      </c>
      <c r="W65" s="2"/>
      <c r="X65" s="6">
        <f t="shared" si="42"/>
        <v>4075.8900000000003</v>
      </c>
      <c r="Y65" s="2"/>
      <c r="Z65" s="7">
        <f t="shared" si="43"/>
        <v>0.50334481408711962</v>
      </c>
    </row>
    <row r="66" spans="1:26" s="25" customFormat="1" outlineLevel="1" collapsed="1" x14ac:dyDescent="0.25">
      <c r="A66" s="27"/>
      <c r="B66" s="13" t="str">
        <f>CONCATENATE("     ","Freight out/Postage                               ")</f>
        <v xml:space="preserve">     Freight out/Postage                               </v>
      </c>
      <c r="C66" s="13"/>
      <c r="D66" s="1">
        <f>SUM(OSRRefD22_9x_0)</f>
        <v>0</v>
      </c>
      <c r="E66" s="1"/>
      <c r="F66" s="5">
        <f t="shared" si="36"/>
        <v>0</v>
      </c>
      <c r="G66" s="1"/>
      <c r="H66" s="1">
        <f>SUM(OSRRefH22_9x_0)</f>
        <v>9.01</v>
      </c>
      <c r="I66" s="1"/>
      <c r="J66" s="5">
        <f t="shared" si="37"/>
        <v>1.6826893806201545E-5</v>
      </c>
      <c r="K66" s="1"/>
      <c r="L66" s="1">
        <f t="shared" si="38"/>
        <v>-9.01</v>
      </c>
      <c r="M66" s="1"/>
      <c r="N66" s="5">
        <f t="shared" si="39"/>
        <v>-1</v>
      </c>
      <c r="O66" s="13"/>
      <c r="P66" s="1">
        <f>SUM(OSRRefP22_9x_0)</f>
        <v>0</v>
      </c>
      <c r="Q66" s="1"/>
      <c r="R66" s="5">
        <f t="shared" si="40"/>
        <v>0</v>
      </c>
      <c r="S66" s="1"/>
      <c r="T66" s="1">
        <f>SUM(OSRRefT22_9x_0)</f>
        <v>9.01</v>
      </c>
      <c r="U66" s="1"/>
      <c r="V66" s="5">
        <f t="shared" si="41"/>
        <v>3.2711946848466961E-6</v>
      </c>
      <c r="W66" s="1"/>
      <c r="X66" s="1">
        <f t="shared" si="42"/>
        <v>-9.01</v>
      </c>
      <c r="Y66" s="1"/>
      <c r="Z66" s="5">
        <f t="shared" si="43"/>
        <v>-1</v>
      </c>
    </row>
    <row r="67" spans="1:26" s="24" customFormat="1" hidden="1" outlineLevel="2" x14ac:dyDescent="0.25">
      <c r="A67" s="26"/>
      <c r="B67" s="11" t="str">
        <f>CONCATENATE("          ", "6307", " - ", "POSTAGE")</f>
        <v xml:space="preserve">          6307 - POSTAGE</v>
      </c>
      <c r="C67" s="11"/>
      <c r="D67" s="6"/>
      <c r="E67" s="2"/>
      <c r="F67" s="7">
        <f t="shared" si="36"/>
        <v>0</v>
      </c>
      <c r="G67" s="2"/>
      <c r="H67" s="6">
        <v>9.01</v>
      </c>
      <c r="I67" s="2"/>
      <c r="J67" s="7">
        <f t="shared" si="37"/>
        <v>1.6826893806201545E-5</v>
      </c>
      <c r="K67" s="2"/>
      <c r="L67" s="6">
        <f t="shared" si="38"/>
        <v>-9.01</v>
      </c>
      <c r="M67" s="2"/>
      <c r="N67" s="7">
        <f t="shared" si="39"/>
        <v>-1</v>
      </c>
      <c r="O67" s="11"/>
      <c r="P67" s="6"/>
      <c r="Q67" s="2"/>
      <c r="R67" s="7">
        <f t="shared" si="40"/>
        <v>0</v>
      </c>
      <c r="S67" s="2"/>
      <c r="T67" s="6">
        <v>9.01</v>
      </c>
      <c r="U67" s="2"/>
      <c r="V67" s="7">
        <f t="shared" si="41"/>
        <v>3.2711946848466961E-6</v>
      </c>
      <c r="W67" s="2"/>
      <c r="X67" s="6">
        <f t="shared" si="42"/>
        <v>-9.01</v>
      </c>
      <c r="Y67" s="2"/>
      <c r="Z67" s="7">
        <f t="shared" si="43"/>
        <v>-1</v>
      </c>
    </row>
    <row r="68" spans="1:26" s="25" customFormat="1" outlineLevel="1" collapsed="1" x14ac:dyDescent="0.25">
      <c r="A68" s="27"/>
      <c r="B68" s="13" t="str">
        <f>CONCATENATE("     ","General                                           ")</f>
        <v xml:space="preserve">     General                                           </v>
      </c>
      <c r="C68" s="13"/>
      <c r="D68" s="1">
        <f>SUM(OSRRefD22_10x_0)</f>
        <v>21958.7</v>
      </c>
      <c r="E68" s="1"/>
      <c r="F68" s="5">
        <f t="shared" si="36"/>
        <v>3.9256749226447875E-2</v>
      </c>
      <c r="G68" s="1"/>
      <c r="H68" s="1">
        <f>SUM(OSRRefH22_10x_0)</f>
        <v>2530.04</v>
      </c>
      <c r="I68" s="1"/>
      <c r="J68" s="5">
        <f t="shared" si="37"/>
        <v>4.7250515433343125E-3</v>
      </c>
      <c r="K68" s="1"/>
      <c r="L68" s="1">
        <f t="shared" si="38"/>
        <v>19428.66</v>
      </c>
      <c r="M68" s="1"/>
      <c r="N68" s="5">
        <f t="shared" si="39"/>
        <v>7.6791908428325248</v>
      </c>
      <c r="O68" s="13"/>
      <c r="P68" s="1">
        <f>SUM(OSRRefP22_10x_0)</f>
        <v>61077.19</v>
      </c>
      <c r="Q68" s="1"/>
      <c r="R68" s="5">
        <f t="shared" si="40"/>
        <v>2.287218661782808E-2</v>
      </c>
      <c r="S68" s="1"/>
      <c r="T68" s="1">
        <f>SUM(OSRRefT22_10x_0)</f>
        <v>27963.7</v>
      </c>
      <c r="U68" s="1"/>
      <c r="V68" s="5">
        <f t="shared" si="41"/>
        <v>1.0152575672435911E-2</v>
      </c>
      <c r="W68" s="1"/>
      <c r="X68" s="1">
        <f t="shared" si="42"/>
        <v>33113.490000000005</v>
      </c>
      <c r="Y68" s="1"/>
      <c r="Z68" s="5">
        <f t="shared" si="43"/>
        <v>1.184159821482851</v>
      </c>
    </row>
    <row r="69" spans="1:26" s="24" customFormat="1" hidden="1" outlineLevel="2" x14ac:dyDescent="0.25">
      <c r="A69" s="26"/>
      <c r="B69" s="11" t="str">
        <f>CONCATENATE("          ", "6269", " - ", "ENTERTAINMENT")</f>
        <v xml:space="preserve">          6269 - ENTERTAINMENT</v>
      </c>
      <c r="C69" s="11"/>
      <c r="D69" s="6">
        <v>600</v>
      </c>
      <c r="E69" s="2"/>
      <c r="F69" s="7">
        <f t="shared" si="36"/>
        <v>1.072652276130587E-3</v>
      </c>
      <c r="G69" s="2"/>
      <c r="H69" s="6">
        <v>300</v>
      </c>
      <c r="I69" s="2"/>
      <c r="J69" s="7">
        <f t="shared" si="37"/>
        <v>5.6027393361381399E-4</v>
      </c>
      <c r="K69" s="2"/>
      <c r="L69" s="6">
        <f t="shared" si="38"/>
        <v>300</v>
      </c>
      <c r="M69" s="2"/>
      <c r="N69" s="7">
        <f t="shared" si="39"/>
        <v>1</v>
      </c>
      <c r="O69" s="11"/>
      <c r="P69" s="6">
        <v>6100</v>
      </c>
      <c r="Q69" s="2"/>
      <c r="R69" s="7">
        <f t="shared" si="40"/>
        <v>2.2843280505987795E-3</v>
      </c>
      <c r="S69" s="2"/>
      <c r="T69" s="6">
        <v>4360</v>
      </c>
      <c r="U69" s="2"/>
      <c r="V69" s="7">
        <f t="shared" si="41"/>
        <v>1.582953254820377E-3</v>
      </c>
      <c r="W69" s="2"/>
      <c r="X69" s="6">
        <f t="shared" si="42"/>
        <v>1740</v>
      </c>
      <c r="Y69" s="2"/>
      <c r="Z69" s="7">
        <f t="shared" si="43"/>
        <v>0.39908256880733944</v>
      </c>
    </row>
    <row r="70" spans="1:26" s="24" customFormat="1" hidden="1" outlineLevel="2" x14ac:dyDescent="0.25">
      <c r="A70" s="26"/>
      <c r="B70" s="11" t="str">
        <f>CONCATENATE("          ", "6279", " - ", "GENERAL EXPENSE")</f>
        <v xml:space="preserve">          6279 - GENERAL EXPENSE</v>
      </c>
      <c r="C70" s="11"/>
      <c r="D70" s="6">
        <v>21358.7</v>
      </c>
      <c r="E70" s="2"/>
      <c r="F70" s="7">
        <f t="shared" si="36"/>
        <v>3.8184096950317284E-2</v>
      </c>
      <c r="G70" s="2"/>
      <c r="H70" s="6">
        <v>2230.04</v>
      </c>
      <c r="I70" s="2"/>
      <c r="J70" s="7">
        <f t="shared" si="37"/>
        <v>4.1647776097204986E-3</v>
      </c>
      <c r="K70" s="2"/>
      <c r="L70" s="6">
        <f t="shared" si="38"/>
        <v>19128.66</v>
      </c>
      <c r="M70" s="2"/>
      <c r="N70" s="7">
        <f t="shared" si="39"/>
        <v>8.5777205790030671</v>
      </c>
      <c r="O70" s="11"/>
      <c r="P70" s="6">
        <v>54977.19</v>
      </c>
      <c r="Q70" s="2"/>
      <c r="R70" s="7">
        <f t="shared" si="40"/>
        <v>2.0587858567229299E-2</v>
      </c>
      <c r="S70" s="2"/>
      <c r="T70" s="6">
        <v>23603.7</v>
      </c>
      <c r="U70" s="2"/>
      <c r="V70" s="7">
        <f t="shared" si="41"/>
        <v>8.5696224176155349E-3</v>
      </c>
      <c r="W70" s="2"/>
      <c r="X70" s="6">
        <f t="shared" si="42"/>
        <v>31373.49</v>
      </c>
      <c r="Y70" s="2"/>
      <c r="Z70" s="7">
        <f t="shared" si="43"/>
        <v>1.3291767816062736</v>
      </c>
    </row>
    <row r="71" spans="1:26" s="25" customFormat="1" outlineLevel="1" collapsed="1" x14ac:dyDescent="0.25">
      <c r="A71" s="27"/>
      <c r="B71" s="13" t="str">
        <f>CONCATENATE("     ","Insurance                                         ")</f>
        <v xml:space="preserve">     Insurance                                         </v>
      </c>
      <c r="C71" s="13"/>
      <c r="D71" s="1">
        <f>SUM(OSRRefD22_11x_0)</f>
        <v>4240.13</v>
      </c>
      <c r="E71" s="1"/>
      <c r="F71" s="5">
        <f t="shared" ref="F71:F82" si="44">IF(D$12=0,0,D71/D$12)</f>
        <v>7.5803084926493102E-3</v>
      </c>
      <c r="G71" s="1"/>
      <c r="H71" s="1">
        <f>SUM(OSRRefH22_11x_0)</f>
        <v>3993.18</v>
      </c>
      <c r="I71" s="1"/>
      <c r="J71" s="5">
        <f t="shared" ref="J71:J82" si="45">IF(H$12=0,0,H71/H$12)</f>
        <v>7.4575822207600317E-3</v>
      </c>
      <c r="K71" s="1"/>
      <c r="L71" s="1">
        <f t="shared" ref="L71:L82" si="46">+D71-H71</f>
        <v>246.95000000000027</v>
      </c>
      <c r="M71" s="1"/>
      <c r="N71" s="5">
        <f t="shared" ref="N71:N82" si="47">IF(H71=0,0,L71/H71)</f>
        <v>6.1842942216479166E-2</v>
      </c>
      <c r="O71" s="13"/>
      <c r="P71" s="1">
        <f>SUM(OSRRefP22_11x_0)</f>
        <v>21200.649999999998</v>
      </c>
      <c r="Q71" s="1"/>
      <c r="R71" s="5">
        <f t="shared" ref="R71:R82" si="48">IF(P$12=0,0,P71/P$12)</f>
        <v>7.9392195878568873E-3</v>
      </c>
      <c r="S71" s="1"/>
      <c r="T71" s="1">
        <f>SUM(OSRRefT22_11x_0)</f>
        <v>24553.9</v>
      </c>
      <c r="U71" s="1"/>
      <c r="V71" s="5">
        <f t="shared" ref="V71:V82" si="49">IF(T$12=0,0,T71/T$12)</f>
        <v>8.9146045696179028E-3</v>
      </c>
      <c r="W71" s="1"/>
      <c r="X71" s="1">
        <f t="shared" ref="X71:X82" si="50">+P71-T71</f>
        <v>-3353.2500000000036</v>
      </c>
      <c r="Y71" s="1"/>
      <c r="Z71" s="5">
        <f t="shared" ref="Z71:Z82" si="51">IF(T71=0,0,X71/T71)</f>
        <v>-0.13656689975930517</v>
      </c>
    </row>
    <row r="72" spans="1:26" s="24" customFormat="1" hidden="1" outlineLevel="2" x14ac:dyDescent="0.25">
      <c r="A72" s="26"/>
      <c r="B72" s="11" t="str">
        <f>CONCATENATE("          ", "6314", " - ", "LIABILITY INSURANCE")</f>
        <v xml:space="preserve">          6314 - LIABILITY INSURANCE</v>
      </c>
      <c r="C72" s="11"/>
      <c r="D72" s="6">
        <v>4240.13</v>
      </c>
      <c r="E72" s="2"/>
      <c r="F72" s="7">
        <f t="shared" si="44"/>
        <v>7.5803084926493102E-3</v>
      </c>
      <c r="G72" s="2"/>
      <c r="H72" s="6">
        <v>3993.18</v>
      </c>
      <c r="I72" s="2"/>
      <c r="J72" s="7">
        <f t="shared" si="45"/>
        <v>7.4575822207600317E-3</v>
      </c>
      <c r="K72" s="2"/>
      <c r="L72" s="6">
        <f t="shared" si="46"/>
        <v>246.95000000000027</v>
      </c>
      <c r="M72" s="2"/>
      <c r="N72" s="7">
        <f t="shared" si="47"/>
        <v>6.1842942216479166E-2</v>
      </c>
      <c r="O72" s="11"/>
      <c r="P72" s="6">
        <v>21200.649999999998</v>
      </c>
      <c r="Q72" s="2"/>
      <c r="R72" s="7">
        <f t="shared" si="48"/>
        <v>7.9392195878568873E-3</v>
      </c>
      <c r="S72" s="2"/>
      <c r="T72" s="6">
        <v>24553.9</v>
      </c>
      <c r="U72" s="2"/>
      <c r="V72" s="7">
        <f t="shared" si="49"/>
        <v>8.9146045696179028E-3</v>
      </c>
      <c r="W72" s="2"/>
      <c r="X72" s="6">
        <f t="shared" si="50"/>
        <v>-3353.2500000000036</v>
      </c>
      <c r="Y72" s="2"/>
      <c r="Z72" s="7">
        <f t="shared" si="51"/>
        <v>-0.13656689975930517</v>
      </c>
    </row>
    <row r="73" spans="1:26" s="25" customFormat="1" outlineLevel="1" collapsed="1" x14ac:dyDescent="0.25">
      <c r="A73" s="27"/>
      <c r="B73" s="13" t="str">
        <f>CONCATENATE("     ","Interest                                          ")</f>
        <v xml:space="preserve">     Interest                                          </v>
      </c>
      <c r="C73" s="13"/>
      <c r="D73" s="1">
        <f>SUM(OSRRefD22_12x_0)</f>
        <v>7754</v>
      </c>
      <c r="E73" s="1"/>
      <c r="F73" s="5">
        <f t="shared" si="44"/>
        <v>1.3862242915194287E-2</v>
      </c>
      <c r="G73" s="1"/>
      <c r="H73" s="1">
        <f>SUM(OSRRefH22_12x_0)</f>
        <v>7949</v>
      </c>
      <c r="I73" s="1"/>
      <c r="J73" s="5">
        <f t="shared" si="45"/>
        <v>1.4845391660987356E-2</v>
      </c>
      <c r="K73" s="1"/>
      <c r="L73" s="1">
        <f t="shared" si="46"/>
        <v>-195</v>
      </c>
      <c r="M73" s="1"/>
      <c r="N73" s="5">
        <f t="shared" si="47"/>
        <v>-2.4531387595924017E-2</v>
      </c>
      <c r="O73" s="13"/>
      <c r="P73" s="1">
        <f>SUM(OSRRefP22_12x_0)</f>
        <v>38377.049999999996</v>
      </c>
      <c r="Q73" s="1"/>
      <c r="R73" s="5">
        <f t="shared" si="48"/>
        <v>1.4371438002333096E-2</v>
      </c>
      <c r="S73" s="1"/>
      <c r="T73" s="1">
        <f>SUM(OSRRefT22_12x_0)</f>
        <v>39345.100000000006</v>
      </c>
      <c r="U73" s="1"/>
      <c r="V73" s="5">
        <f t="shared" si="49"/>
        <v>1.4284737180328721E-2</v>
      </c>
      <c r="W73" s="1"/>
      <c r="X73" s="1">
        <f t="shared" si="50"/>
        <v>-968.05000000001019</v>
      </c>
      <c r="Y73" s="1"/>
      <c r="Z73" s="5">
        <f t="shared" si="51"/>
        <v>-2.4604080304790433E-2</v>
      </c>
    </row>
    <row r="74" spans="1:26" s="24" customFormat="1" hidden="1" outlineLevel="2" x14ac:dyDescent="0.25">
      <c r="A74" s="26"/>
      <c r="B74" s="11" t="str">
        <f>CONCATENATE("          ", "6401", " - ", "INTEREST EXPENSE")</f>
        <v xml:space="preserve">          6401 - INTEREST EXPENSE</v>
      </c>
      <c r="C74" s="11"/>
      <c r="D74" s="6">
        <v>7754</v>
      </c>
      <c r="E74" s="2"/>
      <c r="F74" s="7">
        <f t="shared" si="44"/>
        <v>1.3862242915194287E-2</v>
      </c>
      <c r="G74" s="2"/>
      <c r="H74" s="6">
        <v>7949</v>
      </c>
      <c r="I74" s="2"/>
      <c r="J74" s="7">
        <f t="shared" si="45"/>
        <v>1.4845391660987356E-2</v>
      </c>
      <c r="K74" s="2"/>
      <c r="L74" s="6">
        <f t="shared" si="46"/>
        <v>-195</v>
      </c>
      <c r="M74" s="2"/>
      <c r="N74" s="7">
        <f t="shared" si="47"/>
        <v>-2.4531387595924017E-2</v>
      </c>
      <c r="O74" s="11"/>
      <c r="P74" s="6">
        <v>38377.049999999996</v>
      </c>
      <c r="Q74" s="2"/>
      <c r="R74" s="7">
        <f t="shared" si="48"/>
        <v>1.4371438002333096E-2</v>
      </c>
      <c r="S74" s="2"/>
      <c r="T74" s="6">
        <v>39345.100000000006</v>
      </c>
      <c r="U74" s="2"/>
      <c r="V74" s="7">
        <f t="shared" si="49"/>
        <v>1.4284737180328721E-2</v>
      </c>
      <c r="W74" s="2"/>
      <c r="X74" s="6">
        <f t="shared" si="50"/>
        <v>-968.05000000001019</v>
      </c>
      <c r="Y74" s="2"/>
      <c r="Z74" s="7">
        <f t="shared" si="51"/>
        <v>-2.4604080304790433E-2</v>
      </c>
    </row>
    <row r="75" spans="1:26" s="25" customFormat="1" outlineLevel="1" collapsed="1" x14ac:dyDescent="0.25">
      <c r="A75" s="27"/>
      <c r="B75" s="13" t="str">
        <f>CONCATENATE("     ","Professional Services                             ")</f>
        <v xml:space="preserve">     Professional Services                             </v>
      </c>
      <c r="C75" s="13"/>
      <c r="D75" s="1">
        <f>SUM(OSRRefD22_13x_0)</f>
        <v>0</v>
      </c>
      <c r="E75" s="1"/>
      <c r="F75" s="5">
        <f t="shared" si="44"/>
        <v>0</v>
      </c>
      <c r="G75" s="1"/>
      <c r="H75" s="1">
        <f>SUM(OSRRefH22_13x_0)</f>
        <v>0</v>
      </c>
      <c r="I75" s="1"/>
      <c r="J75" s="5">
        <f t="shared" si="45"/>
        <v>0</v>
      </c>
      <c r="K75" s="1"/>
      <c r="L75" s="1">
        <f t="shared" si="46"/>
        <v>0</v>
      </c>
      <c r="M75" s="1"/>
      <c r="N75" s="5">
        <f t="shared" si="47"/>
        <v>0</v>
      </c>
      <c r="O75" s="13"/>
      <c r="P75" s="1">
        <f>SUM(OSRRefP22_13x_0)</f>
        <v>125</v>
      </c>
      <c r="Q75" s="1"/>
      <c r="R75" s="5">
        <f t="shared" si="48"/>
        <v>4.6810001036860241E-5</v>
      </c>
      <c r="S75" s="1"/>
      <c r="T75" s="1">
        <f>SUM(OSRRefT22_13x_0)</f>
        <v>0</v>
      </c>
      <c r="U75" s="1"/>
      <c r="V75" s="5">
        <f t="shared" si="49"/>
        <v>0</v>
      </c>
      <c r="W75" s="1"/>
      <c r="X75" s="1">
        <f t="shared" si="50"/>
        <v>125</v>
      </c>
      <c r="Y75" s="1"/>
      <c r="Z75" s="5">
        <f t="shared" si="51"/>
        <v>0</v>
      </c>
    </row>
    <row r="76" spans="1:26" s="24" customFormat="1" hidden="1" outlineLevel="2" x14ac:dyDescent="0.25">
      <c r="A76" s="26"/>
      <c r="B76" s="11" t="str">
        <f>CONCATENATE("          ", "6336", " - ", "PROFESSIONAL SERVICES")</f>
        <v xml:space="preserve">          6336 - PROFESSIONAL SERVICES</v>
      </c>
      <c r="C76" s="11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>
        <v>125</v>
      </c>
      <c r="Q76" s="2"/>
      <c r="R76" s="7">
        <f t="shared" si="48"/>
        <v>4.6810001036860241E-5</v>
      </c>
      <c r="S76" s="2"/>
      <c r="T76" s="6"/>
      <c r="U76" s="2"/>
      <c r="V76" s="7">
        <f t="shared" si="49"/>
        <v>0</v>
      </c>
      <c r="W76" s="2"/>
      <c r="X76" s="6">
        <f t="shared" si="50"/>
        <v>125</v>
      </c>
      <c r="Y76" s="2"/>
      <c r="Z76" s="7">
        <f t="shared" si="51"/>
        <v>0</v>
      </c>
    </row>
    <row r="77" spans="1:26" s="25" customFormat="1" outlineLevel="1" collapsed="1" x14ac:dyDescent="0.25">
      <c r="A77" s="27"/>
      <c r="B77" s="13" t="str">
        <f>CONCATENATE("     ","Rent                                              ")</f>
        <v xml:space="preserve">     Rent                                              </v>
      </c>
      <c r="C77" s="13"/>
      <c r="D77" s="1">
        <f>SUM(OSRRefD22_14x_0)</f>
        <v>1850</v>
      </c>
      <c r="E77" s="1"/>
      <c r="F77" s="5">
        <f t="shared" si="44"/>
        <v>3.3073445180693104E-3</v>
      </c>
      <c r="G77" s="1"/>
      <c r="H77" s="1">
        <f>SUM(OSRRefH22_14x_0)</f>
        <v>1850</v>
      </c>
      <c r="I77" s="1"/>
      <c r="J77" s="5">
        <f t="shared" si="45"/>
        <v>3.4550225906185192E-3</v>
      </c>
      <c r="K77" s="1"/>
      <c r="L77" s="1">
        <f t="shared" si="46"/>
        <v>0</v>
      </c>
      <c r="M77" s="1"/>
      <c r="N77" s="5">
        <f t="shared" si="47"/>
        <v>0</v>
      </c>
      <c r="O77" s="13"/>
      <c r="P77" s="1">
        <f>SUM(OSRRefP22_14x_0)</f>
        <v>9250</v>
      </c>
      <c r="Q77" s="1"/>
      <c r="R77" s="5">
        <f t="shared" si="48"/>
        <v>3.4639400767276576E-3</v>
      </c>
      <c r="S77" s="1"/>
      <c r="T77" s="1">
        <f>SUM(OSRRefT22_14x_0)</f>
        <v>9250</v>
      </c>
      <c r="U77" s="1"/>
      <c r="V77" s="5">
        <f t="shared" si="49"/>
        <v>3.3583297263964419E-3</v>
      </c>
      <c r="W77" s="1"/>
      <c r="X77" s="1">
        <f t="shared" si="50"/>
        <v>0</v>
      </c>
      <c r="Y77" s="1"/>
      <c r="Z77" s="5">
        <f t="shared" si="51"/>
        <v>0</v>
      </c>
    </row>
    <row r="78" spans="1:26" s="24" customFormat="1" hidden="1" outlineLevel="2" x14ac:dyDescent="0.25">
      <c r="A78" s="26"/>
      <c r="B78" s="11" t="str">
        <f>CONCATENATE("          ", "6273", " - ", "RENT")</f>
        <v xml:space="preserve">          6273 - RENT</v>
      </c>
      <c r="C78" s="11"/>
      <c r="D78" s="6">
        <v>1850</v>
      </c>
      <c r="E78" s="2"/>
      <c r="F78" s="7">
        <f t="shared" si="44"/>
        <v>3.3073445180693104E-3</v>
      </c>
      <c r="G78" s="2"/>
      <c r="H78" s="6">
        <v>1850</v>
      </c>
      <c r="I78" s="2"/>
      <c r="J78" s="7">
        <f t="shared" si="45"/>
        <v>3.4550225906185192E-3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>
        <v>9250</v>
      </c>
      <c r="Q78" s="2"/>
      <c r="R78" s="7">
        <f t="shared" si="48"/>
        <v>3.4639400767276576E-3</v>
      </c>
      <c r="S78" s="2"/>
      <c r="T78" s="6">
        <v>9250</v>
      </c>
      <c r="U78" s="2"/>
      <c r="V78" s="7">
        <f t="shared" si="49"/>
        <v>3.3583297263964419E-3</v>
      </c>
      <c r="W78" s="2"/>
      <c r="X78" s="6">
        <f t="shared" si="50"/>
        <v>0</v>
      </c>
      <c r="Y78" s="2"/>
      <c r="Z78" s="7">
        <f t="shared" si="51"/>
        <v>0</v>
      </c>
    </row>
    <row r="79" spans="1:26" s="25" customFormat="1" outlineLevel="1" collapsed="1" x14ac:dyDescent="0.25">
      <c r="A79" s="27"/>
      <c r="B79" s="13" t="str">
        <f>CONCATENATE("     ","Repair and Maintenance                            ")</f>
        <v xml:space="preserve">     Repair and Maintenance                            </v>
      </c>
      <c r="C79" s="13"/>
      <c r="D79" s="1">
        <f>SUM(OSRRefD22_15x_0)</f>
        <v>12607.89</v>
      </c>
      <c r="E79" s="1"/>
      <c r="F79" s="5">
        <f t="shared" si="44"/>
        <v>2.2539803176173445E-2</v>
      </c>
      <c r="G79" s="1"/>
      <c r="H79" s="1">
        <f>SUM(OSRRefH22_15x_0)</f>
        <v>39955.949999999997</v>
      </c>
      <c r="I79" s="1"/>
      <c r="J79" s="5">
        <f t="shared" si="45"/>
        <v>7.4620924259256233E-2</v>
      </c>
      <c r="K79" s="1"/>
      <c r="L79" s="1">
        <f t="shared" si="46"/>
        <v>-27348.059999999998</v>
      </c>
      <c r="M79" s="1"/>
      <c r="N79" s="5">
        <f t="shared" si="47"/>
        <v>-0.68445525635105664</v>
      </c>
      <c r="O79" s="13"/>
      <c r="P79" s="1">
        <f>SUM(OSRRefP22_15x_0)</f>
        <v>118716.05</v>
      </c>
      <c r="Q79" s="1"/>
      <c r="R79" s="5">
        <f t="shared" si="48"/>
        <v>4.4456787388735618E-2</v>
      </c>
      <c r="S79" s="1"/>
      <c r="T79" s="1">
        <f>SUM(OSRRefT22_15x_0)</f>
        <v>139748.22999999998</v>
      </c>
      <c r="U79" s="1"/>
      <c r="V79" s="5">
        <f t="shared" si="49"/>
        <v>5.0737365948139129E-2</v>
      </c>
      <c r="W79" s="1"/>
      <c r="X79" s="1">
        <f t="shared" si="50"/>
        <v>-21032.179999999978</v>
      </c>
      <c r="Y79" s="1"/>
      <c r="Z79" s="5">
        <f t="shared" si="51"/>
        <v>-0.15050051081147847</v>
      </c>
    </row>
    <row r="80" spans="1:26" s="24" customFormat="1" hidden="1" outlineLevel="2" x14ac:dyDescent="0.25">
      <c r="A80" s="26"/>
      <c r="B80" s="11" t="str">
        <f>CONCATENATE("          ", "6371", " - ", "COMPUTER SOFTWARE MAINTENANCE")</f>
        <v xml:space="preserve">          6371 - COMPUTER SOFTWARE MAINTENANCE</v>
      </c>
      <c r="C80" s="11"/>
      <c r="D80" s="6"/>
      <c r="E80" s="2"/>
      <c r="F80" s="7">
        <f t="shared" si="44"/>
        <v>0</v>
      </c>
      <c r="G80" s="2"/>
      <c r="H80" s="6">
        <v>1032.07</v>
      </c>
      <c r="I80" s="2"/>
      <c r="J80" s="7">
        <f t="shared" si="45"/>
        <v>1.9274730622160297E-3</v>
      </c>
      <c r="K80" s="2"/>
      <c r="L80" s="6">
        <f t="shared" si="46"/>
        <v>-1032.07</v>
      </c>
      <c r="M80" s="2"/>
      <c r="N80" s="7">
        <f t="shared" si="47"/>
        <v>-1</v>
      </c>
      <c r="O80" s="11"/>
      <c r="P80" s="6">
        <v>10932.69</v>
      </c>
      <c r="Q80" s="2"/>
      <c r="R80" s="7">
        <f t="shared" si="48"/>
        <v>4.0940738418853723E-3</v>
      </c>
      <c r="S80" s="2"/>
      <c r="T80" s="6">
        <v>13797.38</v>
      </c>
      <c r="U80" s="2"/>
      <c r="V80" s="7">
        <f t="shared" si="49"/>
        <v>5.009313664906782E-3</v>
      </c>
      <c r="W80" s="2"/>
      <c r="X80" s="6">
        <f t="shared" si="50"/>
        <v>-2864.6899999999987</v>
      </c>
      <c r="Y80" s="2"/>
      <c r="Z80" s="7">
        <f t="shared" si="51"/>
        <v>-0.20762565066701061</v>
      </c>
    </row>
    <row r="81" spans="1:26" s="24" customFormat="1" hidden="1" outlineLevel="2" x14ac:dyDescent="0.25">
      <c r="A81" s="26"/>
      <c r="B81" s="11" t="str">
        <f>CONCATENATE("          ", "6373", " - ", "MAINTENANCE CONTRACTS")</f>
        <v xml:space="preserve">          6373 - MAINTENANCE CONTRACTS</v>
      </c>
      <c r="C81" s="11"/>
      <c r="D81" s="6">
        <v>8621.15</v>
      </c>
      <c r="E81" s="2"/>
      <c r="F81" s="7">
        <f t="shared" si="44"/>
        <v>1.5412493617272018E-2</v>
      </c>
      <c r="G81" s="2"/>
      <c r="H81" s="6">
        <v>24456.02</v>
      </c>
      <c r="I81" s="2"/>
      <c r="J81" s="7">
        <f t="shared" si="45"/>
        <v>4.5673568419793691E-2</v>
      </c>
      <c r="K81" s="2"/>
      <c r="L81" s="6">
        <f t="shared" si="46"/>
        <v>-15834.87</v>
      </c>
      <c r="M81" s="2"/>
      <c r="N81" s="7">
        <f t="shared" si="47"/>
        <v>-0.64748352348419735</v>
      </c>
      <c r="O81" s="11"/>
      <c r="P81" s="6">
        <v>41066.53</v>
      </c>
      <c r="Q81" s="2"/>
      <c r="R81" s="7">
        <f t="shared" si="48"/>
        <v>1.5378594495042017E-2</v>
      </c>
      <c r="S81" s="2"/>
      <c r="T81" s="6">
        <v>61382.009999999995</v>
      </c>
      <c r="U81" s="2"/>
      <c r="V81" s="7">
        <f t="shared" si="49"/>
        <v>2.2285516632320396E-2</v>
      </c>
      <c r="W81" s="2"/>
      <c r="X81" s="6">
        <f t="shared" si="50"/>
        <v>-20315.479999999996</v>
      </c>
      <c r="Y81" s="2"/>
      <c r="Z81" s="7">
        <f t="shared" si="51"/>
        <v>-0.33096798231273294</v>
      </c>
    </row>
    <row r="82" spans="1:26" s="24" customFormat="1" hidden="1" outlineLevel="2" x14ac:dyDescent="0.25">
      <c r="A82" s="26"/>
      <c r="B82" s="11" t="str">
        <f>CONCATENATE("          ", "6375", " - ", "OUTSIDE REPAIRS &amp; MAINTENANCE")</f>
        <v xml:space="preserve">          6375 - OUTSIDE REPAIRS &amp; MAINTENANCE</v>
      </c>
      <c r="C82" s="11"/>
      <c r="D82" s="6">
        <v>3986.74</v>
      </c>
      <c r="E82" s="2"/>
      <c r="F82" s="7">
        <f t="shared" si="44"/>
        <v>7.1273095589014278E-3</v>
      </c>
      <c r="G82" s="2"/>
      <c r="H82" s="6">
        <v>14467.86</v>
      </c>
      <c r="I82" s="2"/>
      <c r="J82" s="7">
        <f t="shared" si="45"/>
        <v>2.7019882777246516E-2</v>
      </c>
      <c r="K82" s="2"/>
      <c r="L82" s="6">
        <f t="shared" si="46"/>
        <v>-10481.120000000001</v>
      </c>
      <c r="M82" s="2"/>
      <c r="N82" s="7">
        <f t="shared" si="47"/>
        <v>-0.72444162440056792</v>
      </c>
      <c r="O82" s="11"/>
      <c r="P82" s="6">
        <v>66716.83</v>
      </c>
      <c r="Q82" s="2"/>
      <c r="R82" s="7">
        <f t="shared" si="48"/>
        <v>2.4984119051808227E-2</v>
      </c>
      <c r="S82" s="2"/>
      <c r="T82" s="6">
        <v>64568.84</v>
      </c>
      <c r="U82" s="2"/>
      <c r="V82" s="7">
        <f t="shared" si="49"/>
        <v>2.344253565091196E-2</v>
      </c>
      <c r="W82" s="2"/>
      <c r="X82" s="6">
        <f t="shared" si="50"/>
        <v>2147.9900000000052</v>
      </c>
      <c r="Y82" s="2"/>
      <c r="Z82" s="7">
        <f t="shared" si="51"/>
        <v>3.3266665468978621E-2</v>
      </c>
    </row>
    <row r="83" spans="1:26" s="25" customFormat="1" outlineLevel="1" collapsed="1" x14ac:dyDescent="0.25">
      <c r="A83" s="27"/>
      <c r="B83" s="13" t="str">
        <f>CONCATENATE("     ","Royalty &amp; Commissions                             ")</f>
        <v xml:space="preserve">     Royalty &amp; Commissions                             </v>
      </c>
      <c r="C83" s="13"/>
      <c r="D83" s="1">
        <f>SUM(OSRRefD22_16x_0)</f>
        <v>22370.73</v>
      </c>
      <c r="E83" s="1"/>
      <c r="F83" s="5">
        <f t="shared" ref="F83:F85" si="52">IF(D$12=0,0,D83/D$12)</f>
        <v>3.9993357422004681E-2</v>
      </c>
      <c r="G83" s="1"/>
      <c r="H83" s="1">
        <f>SUM(OSRRefH22_16x_0)</f>
        <v>19566.11</v>
      </c>
      <c r="I83" s="1"/>
      <c r="J83" s="5">
        <f t="shared" ref="J83:J85" si="53">IF(H$12=0,0,H83/H$12)</f>
        <v>3.6541271384068603E-2</v>
      </c>
      <c r="K83" s="1"/>
      <c r="L83" s="1">
        <f t="shared" ref="L83:L85" si="54">+D83-H83</f>
        <v>2804.619999999999</v>
      </c>
      <c r="M83" s="1"/>
      <c r="N83" s="5">
        <f t="shared" ref="N83:N85" si="55">IF(H83=0,0,L83/H83)</f>
        <v>0.1433407049229509</v>
      </c>
      <c r="O83" s="13"/>
      <c r="P83" s="1">
        <f>SUM(OSRRefP22_16x_0)</f>
        <v>114719.6</v>
      </c>
      <c r="Q83" s="1"/>
      <c r="R83" s="5">
        <f t="shared" ref="R83:R85" si="56">IF(P$12=0,0,P83/P$12)</f>
        <v>4.2960196759585539E-2</v>
      </c>
      <c r="S83" s="1"/>
      <c r="T83" s="1">
        <f>SUM(OSRRefT22_16x_0)</f>
        <v>116265.57</v>
      </c>
      <c r="U83" s="1"/>
      <c r="V83" s="5">
        <f t="shared" ref="V83:V85" si="57">IF(T$12=0,0,T83/T$12)</f>
        <v>4.2211688636478527E-2</v>
      </c>
      <c r="W83" s="1"/>
      <c r="X83" s="1">
        <f t="shared" ref="X83:X85" si="58">+P83-T83</f>
        <v>-1545.9700000000012</v>
      </c>
      <c r="Y83" s="1"/>
      <c r="Z83" s="5">
        <f t="shared" ref="Z83:Z85" si="59">IF(T83=0,0,X83/T83)</f>
        <v>-1.3296885741840866E-2</v>
      </c>
    </row>
    <row r="84" spans="1:26" s="24" customFormat="1" hidden="1" outlineLevel="2" x14ac:dyDescent="0.25">
      <c r="A84" s="26"/>
      <c r="B84" s="11" t="str">
        <f>CONCATENATE("          ", "6254", " - ", "ROYALTY &amp; COMMISSIONS")</f>
        <v xml:space="preserve">          6254 - ROYALTY &amp; COMMISSIONS</v>
      </c>
      <c r="C84" s="11"/>
      <c r="D84" s="6">
        <v>8007.21</v>
      </c>
      <c r="E84" s="2"/>
      <c r="F84" s="7">
        <f t="shared" si="52"/>
        <v>1.4314920053259331E-2</v>
      </c>
      <c r="G84" s="2"/>
      <c r="H84" s="6">
        <v>6964.75</v>
      </c>
      <c r="I84" s="2"/>
      <c r="J84" s="7">
        <f t="shared" si="53"/>
        <v>1.3007226263789369E-2</v>
      </c>
      <c r="K84" s="2"/>
      <c r="L84" s="6">
        <f t="shared" si="54"/>
        <v>1042.46</v>
      </c>
      <c r="M84" s="2"/>
      <c r="N84" s="7">
        <f t="shared" si="55"/>
        <v>0.14967658566351988</v>
      </c>
      <c r="O84" s="11"/>
      <c r="P84" s="6">
        <v>52986.720000000001</v>
      </c>
      <c r="Q84" s="2"/>
      <c r="R84" s="7">
        <f t="shared" si="56"/>
        <v>1.9842467345118586E-2</v>
      </c>
      <c r="S84" s="2"/>
      <c r="T84" s="6">
        <v>56045.57</v>
      </c>
      <c r="U84" s="2"/>
      <c r="V84" s="7">
        <f t="shared" si="57"/>
        <v>2.0348054460954879E-2</v>
      </c>
      <c r="W84" s="2"/>
      <c r="X84" s="6">
        <f t="shared" si="58"/>
        <v>-3058.8499999999985</v>
      </c>
      <c r="Y84" s="2"/>
      <c r="Z84" s="7">
        <f t="shared" si="59"/>
        <v>-5.4577908655403067E-2</v>
      </c>
    </row>
    <row r="85" spans="1:26" s="24" customFormat="1" hidden="1" outlineLevel="2" x14ac:dyDescent="0.25">
      <c r="A85" s="26"/>
      <c r="B85" s="11" t="str">
        <f>CONCATENATE("          ", "6259", " - ", "ROYALTY &amp; COMMISSIONS")</f>
        <v xml:space="preserve">          6259 - ROYALTY &amp; COMMISSIONS</v>
      </c>
      <c r="C85" s="11"/>
      <c r="D85" s="6">
        <v>14363.52</v>
      </c>
      <c r="E85" s="2"/>
      <c r="F85" s="7">
        <f t="shared" si="52"/>
        <v>2.5678437368745352E-2</v>
      </c>
      <c r="G85" s="2"/>
      <c r="H85" s="6">
        <v>12601.36</v>
      </c>
      <c r="I85" s="2"/>
      <c r="J85" s="7">
        <f t="shared" si="53"/>
        <v>2.3534045120279238E-2</v>
      </c>
      <c r="K85" s="2"/>
      <c r="L85" s="6">
        <f t="shared" si="54"/>
        <v>1762.1599999999999</v>
      </c>
      <c r="M85" s="2"/>
      <c r="N85" s="7">
        <f t="shared" si="55"/>
        <v>0.13983887453417723</v>
      </c>
      <c r="O85" s="11"/>
      <c r="P85" s="6">
        <v>61732.88</v>
      </c>
      <c r="Q85" s="2"/>
      <c r="R85" s="7">
        <f t="shared" si="56"/>
        <v>2.3117729414466947E-2</v>
      </c>
      <c r="S85" s="2"/>
      <c r="T85" s="6">
        <v>60220</v>
      </c>
      <c r="U85" s="2"/>
      <c r="V85" s="7">
        <f t="shared" si="57"/>
        <v>2.1863634175523648E-2</v>
      </c>
      <c r="W85" s="2"/>
      <c r="X85" s="6">
        <f t="shared" si="58"/>
        <v>1512.8799999999974</v>
      </c>
      <c r="Y85" s="2"/>
      <c r="Z85" s="7">
        <f t="shared" si="59"/>
        <v>2.5122550647625329E-2</v>
      </c>
    </row>
    <row r="86" spans="1:26" s="25" customFormat="1" outlineLevel="1" collapsed="1" x14ac:dyDescent="0.25">
      <c r="A86" s="27"/>
      <c r="B86" s="13" t="str">
        <f>CONCATENATE("     ","Services                                          ")</f>
        <v xml:space="preserve">     Services                                          </v>
      </c>
      <c r="C86" s="13"/>
      <c r="D86" s="1">
        <f>SUM(OSRRefD22_17x_0)</f>
        <v>21411.089999999997</v>
      </c>
      <c r="E86" s="1"/>
      <c r="F86" s="5">
        <f t="shared" ref="F86:F91" si="60">IF(D$12=0,0,D86/D$12)</f>
        <v>3.8277757371561416E-2</v>
      </c>
      <c r="G86" s="1"/>
      <c r="H86" s="1">
        <f>SUM(OSRRefH22_17x_0)</f>
        <v>18014.66</v>
      </c>
      <c r="I86" s="1"/>
      <c r="J86" s="5">
        <f t="shared" ref="J86:J91" si="61">IF(H$12=0,0,H86/H$12)</f>
        <v>3.3643814736384767E-2</v>
      </c>
      <c r="K86" s="1"/>
      <c r="L86" s="1">
        <f t="shared" ref="L86:L91" si="62">+D86-H86</f>
        <v>3396.4299999999967</v>
      </c>
      <c r="M86" s="1"/>
      <c r="N86" s="5">
        <f t="shared" ref="N86:N91" si="63">IF(H86=0,0,L86/H86)</f>
        <v>0.18853700264118206</v>
      </c>
      <c r="O86" s="13"/>
      <c r="P86" s="1">
        <f>SUM(OSRRefP22_17x_0)</f>
        <v>103465.06</v>
      </c>
      <c r="Q86" s="1"/>
      <c r="R86" s="5">
        <f t="shared" ref="R86:R91" si="64">IF(P$12=0,0,P86/P$12)</f>
        <v>3.8745596527030454E-2</v>
      </c>
      <c r="S86" s="1"/>
      <c r="T86" s="1">
        <f>SUM(OSRRefT22_17x_0)</f>
        <v>117361.38</v>
      </c>
      <c r="U86" s="1"/>
      <c r="V86" s="5">
        <f t="shared" ref="V86:V91" si="65">IF(T$12=0,0,T86/T$12)</f>
        <v>4.2609536344314469E-2</v>
      </c>
      <c r="W86" s="1"/>
      <c r="X86" s="1">
        <f t="shared" ref="X86:X91" si="66">+P86-T86</f>
        <v>-13896.320000000007</v>
      </c>
      <c r="Y86" s="1"/>
      <c r="Z86" s="5">
        <f t="shared" ref="Z86:Z91" si="67">IF(T86=0,0,X86/T86)</f>
        <v>-0.11840624232605314</v>
      </c>
    </row>
    <row r="87" spans="1:26" s="24" customFormat="1" hidden="1" outlineLevel="2" x14ac:dyDescent="0.25">
      <c r="A87" s="26"/>
      <c r="B87" s="11" t="str">
        <f>CONCATENATE("          ", "6282", " - ", "JANITORIAL/EXTERMINATOR EXPENS")</f>
        <v xml:space="preserve">          6282 - JANITORIAL/EXTERMINATOR EXPENS</v>
      </c>
      <c r="C87" s="11"/>
      <c r="D87" s="6">
        <v>1277.57</v>
      </c>
      <c r="E87" s="2"/>
      <c r="F87" s="7">
        <f t="shared" si="60"/>
        <v>2.2839806140269236E-3</v>
      </c>
      <c r="G87" s="2"/>
      <c r="H87" s="6">
        <v>1277.57</v>
      </c>
      <c r="I87" s="2"/>
      <c r="J87" s="7">
        <f t="shared" si="61"/>
        <v>2.3859638978900007E-3</v>
      </c>
      <c r="K87" s="2"/>
      <c r="L87" s="6">
        <f t="shared" si="62"/>
        <v>0</v>
      </c>
      <c r="M87" s="2"/>
      <c r="N87" s="7">
        <f t="shared" si="63"/>
        <v>0</v>
      </c>
      <c r="O87" s="11"/>
      <c r="P87" s="6">
        <v>6387.85</v>
      </c>
      <c r="Q87" s="2"/>
      <c r="R87" s="7">
        <f t="shared" si="64"/>
        <v>2.3921221209864617E-3</v>
      </c>
      <c r="S87" s="2"/>
      <c r="T87" s="6">
        <v>6193.93</v>
      </c>
      <c r="U87" s="2"/>
      <c r="V87" s="7">
        <f t="shared" si="65"/>
        <v>2.2487847829425638E-3</v>
      </c>
      <c r="W87" s="2"/>
      <c r="X87" s="6">
        <f t="shared" si="66"/>
        <v>193.92000000000007</v>
      </c>
      <c r="Y87" s="2"/>
      <c r="Z87" s="7">
        <f t="shared" si="67"/>
        <v>3.1308070966252453E-2</v>
      </c>
    </row>
    <row r="88" spans="1:26" s="24" customFormat="1" hidden="1" outlineLevel="2" x14ac:dyDescent="0.25">
      <c r="A88" s="26"/>
      <c r="B88" s="11" t="str">
        <f>CONCATENATE("          ", "6283", " - ", "PLANT SERVICE")</f>
        <v xml:space="preserve">          6283 - PLANT SERVICE</v>
      </c>
      <c r="C88" s="11"/>
      <c r="D88" s="6">
        <v>199.78</v>
      </c>
      <c r="E88" s="2"/>
      <c r="F88" s="7">
        <f t="shared" si="60"/>
        <v>3.5715745287561449E-4</v>
      </c>
      <c r="G88" s="2"/>
      <c r="H88" s="6">
        <v>176</v>
      </c>
      <c r="I88" s="2"/>
      <c r="J88" s="7">
        <f t="shared" si="61"/>
        <v>3.2869404105343754E-4</v>
      </c>
      <c r="K88" s="2"/>
      <c r="L88" s="6">
        <f t="shared" si="62"/>
        <v>23.78</v>
      </c>
      <c r="M88" s="2"/>
      <c r="N88" s="7">
        <f t="shared" si="63"/>
        <v>0.13511363636363638</v>
      </c>
      <c r="O88" s="11"/>
      <c r="P88" s="6">
        <v>799.12</v>
      </c>
      <c r="Q88" s="2"/>
      <c r="R88" s="7">
        <f t="shared" si="64"/>
        <v>2.9925446422860601E-4</v>
      </c>
      <c r="S88" s="2"/>
      <c r="T88" s="6">
        <v>880</v>
      </c>
      <c r="U88" s="2"/>
      <c r="V88" s="7">
        <f t="shared" si="65"/>
        <v>3.1949515234906689E-4</v>
      </c>
      <c r="W88" s="2"/>
      <c r="X88" s="6">
        <f t="shared" si="66"/>
        <v>-80.88</v>
      </c>
      <c r="Y88" s="2"/>
      <c r="Z88" s="7">
        <f t="shared" si="67"/>
        <v>-9.1909090909090899E-2</v>
      </c>
    </row>
    <row r="89" spans="1:26" s="24" customFormat="1" hidden="1" outlineLevel="2" x14ac:dyDescent="0.25">
      <c r="A89" s="26"/>
      <c r="B89" s="11" t="str">
        <f>CONCATENATE("          ", "6284", " - ", "TRASH REMOVAL EXPENSE")</f>
        <v xml:space="preserve">          6284 - TRASH REMOVAL EXPENSE</v>
      </c>
      <c r="C89" s="11"/>
      <c r="D89" s="6">
        <v>4199</v>
      </c>
      <c r="E89" s="2"/>
      <c r="F89" s="7">
        <f t="shared" si="60"/>
        <v>7.5067781791205591E-3</v>
      </c>
      <c r="G89" s="2"/>
      <c r="H89" s="6">
        <v>4199</v>
      </c>
      <c r="I89" s="2"/>
      <c r="J89" s="7">
        <f t="shared" si="61"/>
        <v>7.8419674908146823E-3</v>
      </c>
      <c r="K89" s="2"/>
      <c r="L89" s="6">
        <f t="shared" si="62"/>
        <v>0</v>
      </c>
      <c r="M89" s="2"/>
      <c r="N89" s="7">
        <f t="shared" si="63"/>
        <v>0</v>
      </c>
      <c r="O89" s="11"/>
      <c r="P89" s="6">
        <v>13220</v>
      </c>
      <c r="Q89" s="2"/>
      <c r="R89" s="7">
        <f t="shared" si="64"/>
        <v>4.9506257096583392E-3</v>
      </c>
      <c r="S89" s="2"/>
      <c r="T89" s="6">
        <v>30501.27</v>
      </c>
      <c r="U89" s="2"/>
      <c r="V89" s="7">
        <f t="shared" si="65"/>
        <v>1.1073872619875028E-2</v>
      </c>
      <c r="W89" s="2"/>
      <c r="X89" s="6">
        <f t="shared" si="66"/>
        <v>-17281.27</v>
      </c>
      <c r="Y89" s="2"/>
      <c r="Z89" s="7">
        <f t="shared" si="67"/>
        <v>-0.56657542456428867</v>
      </c>
    </row>
    <row r="90" spans="1:26" s="24" customFormat="1" hidden="1" outlineLevel="2" x14ac:dyDescent="0.25">
      <c r="A90" s="26"/>
      <c r="B90" s="11" t="str">
        <f>CONCATENATE("          ", "6285", " - ", "JANITORIAL SERVICES")</f>
        <v xml:space="preserve">          6285 - JANITORIAL SERVICES</v>
      </c>
      <c r="C90" s="11"/>
      <c r="D90" s="6">
        <v>13319.46</v>
      </c>
      <c r="E90" s="2"/>
      <c r="F90" s="7">
        <f t="shared" si="60"/>
        <v>2.3811915143050515E-2</v>
      </c>
      <c r="G90" s="2"/>
      <c r="H90" s="6">
        <v>9146.7199999999993</v>
      </c>
      <c r="I90" s="2"/>
      <c r="J90" s="7">
        <f t="shared" si="61"/>
        <v>1.7082229313547147E-2</v>
      </c>
      <c r="K90" s="2"/>
      <c r="L90" s="6">
        <f t="shared" si="62"/>
        <v>4172.74</v>
      </c>
      <c r="M90" s="2"/>
      <c r="N90" s="7">
        <f t="shared" si="63"/>
        <v>0.45620069270733116</v>
      </c>
      <c r="O90" s="11"/>
      <c r="P90" s="6">
        <v>66327.3</v>
      </c>
      <c r="Q90" s="2"/>
      <c r="R90" s="7">
        <f t="shared" si="64"/>
        <v>2.4838247854177122E-2</v>
      </c>
      <c r="S90" s="2"/>
      <c r="T90" s="6">
        <v>62456.55</v>
      </c>
      <c r="U90" s="2"/>
      <c r="V90" s="7">
        <f t="shared" si="65"/>
        <v>2.2675641997098994E-2</v>
      </c>
      <c r="W90" s="2"/>
      <c r="X90" s="6">
        <f t="shared" si="66"/>
        <v>3870.75</v>
      </c>
      <c r="Y90" s="2"/>
      <c r="Z90" s="7">
        <f t="shared" si="67"/>
        <v>6.1975085079147021E-2</v>
      </c>
    </row>
    <row r="91" spans="1:26" s="24" customFormat="1" hidden="1" outlineLevel="2" x14ac:dyDescent="0.25">
      <c r="A91" s="26"/>
      <c r="B91" s="11" t="str">
        <f>CONCATENATE("          ", "6286", " - ", "LAUNDRY EXPENSE")</f>
        <v xml:space="preserve">          6286 - LAUNDRY EXPENSE</v>
      </c>
      <c r="C91" s="11"/>
      <c r="D91" s="6">
        <v>2415.2800000000002</v>
      </c>
      <c r="E91" s="2"/>
      <c r="F91" s="7">
        <f t="shared" si="60"/>
        <v>4.3179259824878075E-3</v>
      </c>
      <c r="G91" s="2"/>
      <c r="H91" s="6">
        <v>3215.37</v>
      </c>
      <c r="I91" s="2"/>
      <c r="J91" s="7">
        <f t="shared" si="61"/>
        <v>6.0049599930794961E-3</v>
      </c>
      <c r="K91" s="2"/>
      <c r="L91" s="6">
        <f t="shared" si="62"/>
        <v>-800.08999999999969</v>
      </c>
      <c r="M91" s="2"/>
      <c r="N91" s="7">
        <f t="shared" si="63"/>
        <v>-0.24883294924067828</v>
      </c>
      <c r="O91" s="11"/>
      <c r="P91" s="6">
        <v>16730.79</v>
      </c>
      <c r="Q91" s="2"/>
      <c r="R91" s="7">
        <f t="shared" si="64"/>
        <v>6.2653463779799275E-3</v>
      </c>
      <c r="S91" s="2"/>
      <c r="T91" s="6">
        <v>17329.63</v>
      </c>
      <c r="U91" s="2"/>
      <c r="V91" s="7">
        <f t="shared" si="65"/>
        <v>6.2917417920488189E-3</v>
      </c>
      <c r="W91" s="2"/>
      <c r="X91" s="6">
        <f t="shared" si="66"/>
        <v>-598.84000000000015</v>
      </c>
      <c r="Y91" s="2"/>
      <c r="Z91" s="7">
        <f t="shared" si="67"/>
        <v>-3.4555844527551949E-2</v>
      </c>
    </row>
    <row r="92" spans="1:26" s="25" customFormat="1" outlineLevel="1" collapsed="1" x14ac:dyDescent="0.25">
      <c r="A92" s="27"/>
      <c r="B92" s="13" t="str">
        <f>CONCATENATE("     ","Subscriptions &amp; Dues                              ")</f>
        <v xml:space="preserve">     Subscriptions &amp; Dues                              </v>
      </c>
      <c r="C92" s="13"/>
      <c r="D92" s="1">
        <f>SUM(OSRRefD22_18x_0)</f>
        <v>454.78</v>
      </c>
      <c r="E92" s="1"/>
      <c r="F92" s="5">
        <f t="shared" ref="F92:F102" si="68">IF(D$12=0,0,D92/D$12)</f>
        <v>8.130346702311139E-4</v>
      </c>
      <c r="G92" s="1"/>
      <c r="H92" s="1">
        <f>SUM(OSRRefH22_18x_0)</f>
        <v>387.42</v>
      </c>
      <c r="I92" s="1"/>
      <c r="J92" s="5">
        <f t="shared" ref="J92:J102" si="69">IF(H$12=0,0,H92/H$12)</f>
        <v>7.2353775786887931E-4</v>
      </c>
      <c r="K92" s="1"/>
      <c r="L92" s="1">
        <f t="shared" ref="L92:L102" si="70">+D92-H92</f>
        <v>67.359999999999957</v>
      </c>
      <c r="M92" s="1"/>
      <c r="N92" s="5">
        <f t="shared" ref="N92:N102" si="71">IF(H92=0,0,L92/H92)</f>
        <v>0.17386815342522316</v>
      </c>
      <c r="O92" s="13"/>
      <c r="P92" s="1">
        <f>SUM(OSRRefP22_18x_0)</f>
        <v>2151.1799999999998</v>
      </c>
      <c r="Q92" s="1"/>
      <c r="R92" s="5">
        <f t="shared" ref="R92:R102" si="72">IF(P$12=0,0,P92/P$12)</f>
        <v>8.0557390424378398E-4</v>
      </c>
      <c r="S92" s="1"/>
      <c r="T92" s="1">
        <f>SUM(OSRRefT22_18x_0)</f>
        <v>1508.01</v>
      </c>
      <c r="U92" s="1"/>
      <c r="V92" s="5">
        <f t="shared" ref="V92:V102" si="73">IF(T$12=0,0,T92/T$12)</f>
        <v>5.475021416976322E-4</v>
      </c>
      <c r="W92" s="1"/>
      <c r="X92" s="1">
        <f t="shared" ref="X92:X102" si="74">+P92-T92</f>
        <v>643.16999999999985</v>
      </c>
      <c r="Y92" s="1"/>
      <c r="Z92" s="5">
        <f t="shared" ref="Z92:Z102" si="75">IF(T92=0,0,X92/T92)</f>
        <v>0.42650247677402658</v>
      </c>
    </row>
    <row r="93" spans="1:26" s="24" customFormat="1" hidden="1" outlineLevel="2" x14ac:dyDescent="0.25">
      <c r="A93" s="26"/>
      <c r="B93" s="11" t="str">
        <f>CONCATENATE("          ", "6275", " - ", "SUBSCRIPTIONS")</f>
        <v xml:space="preserve">          6275 - SUBSCRIPTIONS</v>
      </c>
      <c r="C93" s="11"/>
      <c r="D93" s="6">
        <v>454.78</v>
      </c>
      <c r="E93" s="2"/>
      <c r="F93" s="7">
        <f t="shared" si="68"/>
        <v>8.130346702311139E-4</v>
      </c>
      <c r="G93" s="2"/>
      <c r="H93" s="6">
        <v>387.42</v>
      </c>
      <c r="I93" s="2"/>
      <c r="J93" s="7">
        <f t="shared" si="69"/>
        <v>7.2353775786887931E-4</v>
      </c>
      <c r="K93" s="2"/>
      <c r="L93" s="6">
        <f t="shared" si="70"/>
        <v>67.359999999999957</v>
      </c>
      <c r="M93" s="2"/>
      <c r="N93" s="7">
        <f t="shared" si="71"/>
        <v>0.17386815342522316</v>
      </c>
      <c r="O93" s="11"/>
      <c r="P93" s="6">
        <v>2151.1799999999998</v>
      </c>
      <c r="Q93" s="2"/>
      <c r="R93" s="7">
        <f t="shared" si="72"/>
        <v>8.0557390424378398E-4</v>
      </c>
      <c r="S93" s="2"/>
      <c r="T93" s="6">
        <v>1508.01</v>
      </c>
      <c r="U93" s="2"/>
      <c r="V93" s="7">
        <f t="shared" si="73"/>
        <v>5.475021416976322E-4</v>
      </c>
      <c r="W93" s="2"/>
      <c r="X93" s="6">
        <f t="shared" si="74"/>
        <v>643.16999999999985</v>
      </c>
      <c r="Y93" s="2"/>
      <c r="Z93" s="7">
        <f t="shared" si="75"/>
        <v>0.42650247677402658</v>
      </c>
    </row>
    <row r="94" spans="1:26" s="25" customFormat="1" outlineLevel="1" collapsed="1" x14ac:dyDescent="0.25">
      <c r="A94" s="27"/>
      <c r="B94" s="13" t="str">
        <f>CONCATENATE("     ","Supplies                                          ")</f>
        <v xml:space="preserve">     Supplies                                          </v>
      </c>
      <c r="C94" s="13"/>
      <c r="D94" s="1">
        <f>SUM(OSRRefD22_19x_0)</f>
        <v>14200.770000000002</v>
      </c>
      <c r="E94" s="1"/>
      <c r="F94" s="5">
        <f t="shared" si="68"/>
        <v>2.5387480438844933E-2</v>
      </c>
      <c r="G94" s="1"/>
      <c r="H94" s="1">
        <f>SUM(OSRRefH22_19x_0)</f>
        <v>15000.149999999998</v>
      </c>
      <c r="I94" s="1"/>
      <c r="J94" s="5">
        <f t="shared" si="69"/>
        <v>2.80139768176575E-2</v>
      </c>
      <c r="K94" s="1"/>
      <c r="L94" s="1">
        <f t="shared" si="70"/>
        <v>-799.37999999999556</v>
      </c>
      <c r="M94" s="1"/>
      <c r="N94" s="5">
        <f t="shared" si="71"/>
        <v>-5.3291467085328857E-2</v>
      </c>
      <c r="O94" s="13"/>
      <c r="P94" s="1">
        <f>SUM(OSRRefP22_19x_0)</f>
        <v>103744.29</v>
      </c>
      <c r="Q94" s="1"/>
      <c r="R94" s="5">
        <f t="shared" si="72"/>
        <v>3.8850162579746633E-2</v>
      </c>
      <c r="S94" s="1"/>
      <c r="T94" s="1">
        <f>SUM(OSRRefT22_19x_0)</f>
        <v>90888.34</v>
      </c>
      <c r="U94" s="1"/>
      <c r="V94" s="5">
        <f t="shared" si="73"/>
        <v>3.2998163676197491E-2</v>
      </c>
      <c r="W94" s="1"/>
      <c r="X94" s="1">
        <f t="shared" si="74"/>
        <v>12855.949999999997</v>
      </c>
      <c r="Y94" s="1"/>
      <c r="Z94" s="5">
        <f t="shared" si="75"/>
        <v>0.14144773686041573</v>
      </c>
    </row>
    <row r="95" spans="1:26" s="24" customFormat="1" hidden="1" outlineLevel="2" x14ac:dyDescent="0.25">
      <c r="A95" s="26"/>
      <c r="B95" s="11" t="str">
        <f>CONCATENATE("          ", "6234", " - ", "EXPENDABLE SUPPLIES &amp; EQUIPMEN")</f>
        <v xml:space="preserve">          6234 - EXPENDABLE SUPPLIES &amp; EQUIPMEN</v>
      </c>
      <c r="C95" s="11"/>
      <c r="D95" s="6">
        <v>555.83000000000004</v>
      </c>
      <c r="E95" s="2"/>
      <c r="F95" s="7">
        <f t="shared" si="68"/>
        <v>9.9368719106944048E-4</v>
      </c>
      <c r="G95" s="2"/>
      <c r="H95" s="6">
        <v>710.95</v>
      </c>
      <c r="I95" s="2"/>
      <c r="J95" s="7">
        <f t="shared" si="69"/>
        <v>1.3277558436758036E-3</v>
      </c>
      <c r="K95" s="2"/>
      <c r="L95" s="6">
        <f t="shared" si="70"/>
        <v>-155.12</v>
      </c>
      <c r="M95" s="2"/>
      <c r="N95" s="7">
        <f t="shared" si="71"/>
        <v>-0.21818693297700259</v>
      </c>
      <c r="O95" s="11"/>
      <c r="P95" s="6">
        <v>12202.72</v>
      </c>
      <c r="Q95" s="2"/>
      <c r="R95" s="7">
        <f t="shared" si="72"/>
        <v>4.5696746868201209E-3</v>
      </c>
      <c r="S95" s="2"/>
      <c r="T95" s="6">
        <v>6848.21</v>
      </c>
      <c r="U95" s="2"/>
      <c r="V95" s="7">
        <f t="shared" si="73"/>
        <v>2.4863294287140948E-3</v>
      </c>
      <c r="W95" s="2"/>
      <c r="X95" s="6">
        <f t="shared" si="74"/>
        <v>5354.5099999999993</v>
      </c>
      <c r="Y95" s="2"/>
      <c r="Z95" s="7">
        <f t="shared" si="75"/>
        <v>0.78188460926285841</v>
      </c>
    </row>
    <row r="96" spans="1:26" s="24" customFormat="1" hidden="1" outlineLevel="2" x14ac:dyDescent="0.25">
      <c r="A96" s="26"/>
      <c r="B96" s="11" t="str">
        <f>CONCATENATE("          ", "6237", " - ", "JANITORIAL SUPPLIES")</f>
        <v xml:space="preserve">          6237 - JANITORIAL SUPPLIES</v>
      </c>
      <c r="C96" s="11"/>
      <c r="D96" s="6">
        <v>5188.66</v>
      </c>
      <c r="E96" s="2"/>
      <c r="F96" s="7">
        <f t="shared" si="68"/>
        <v>9.2760465984462193E-3</v>
      </c>
      <c r="G96" s="2"/>
      <c r="H96" s="6">
        <v>3588.45</v>
      </c>
      <c r="I96" s="2"/>
      <c r="J96" s="7">
        <f t="shared" si="69"/>
        <v>6.7017166569216351E-3</v>
      </c>
      <c r="K96" s="2"/>
      <c r="L96" s="6">
        <f t="shared" si="70"/>
        <v>1600.21</v>
      </c>
      <c r="M96" s="2"/>
      <c r="N96" s="7">
        <f t="shared" si="71"/>
        <v>0.44593348102941383</v>
      </c>
      <c r="O96" s="11"/>
      <c r="P96" s="6">
        <v>24384.76</v>
      </c>
      <c r="Q96" s="2"/>
      <c r="R96" s="7">
        <f t="shared" si="72"/>
        <v>9.1316051270687038E-3</v>
      </c>
      <c r="S96" s="2"/>
      <c r="T96" s="6">
        <v>22789.68</v>
      </c>
      <c r="U96" s="2"/>
      <c r="V96" s="7">
        <f t="shared" si="73"/>
        <v>8.2740821404391849E-3</v>
      </c>
      <c r="W96" s="2"/>
      <c r="X96" s="6">
        <f t="shared" si="74"/>
        <v>1595.0799999999981</v>
      </c>
      <c r="Y96" s="2"/>
      <c r="Z96" s="7">
        <f t="shared" si="75"/>
        <v>6.9991329408749844E-2</v>
      </c>
    </row>
    <row r="97" spans="1:26" s="24" customFormat="1" hidden="1" outlineLevel="2" x14ac:dyDescent="0.25">
      <c r="A97" s="26"/>
      <c r="B97" s="11" t="str">
        <f>CONCATENATE("          ", "6239", " - ", "KITCHEN SUPPLIES")</f>
        <v xml:space="preserve">          6239 - KITCHEN SUPPLIES</v>
      </c>
      <c r="C97" s="11"/>
      <c r="D97" s="6">
        <v>2631.87</v>
      </c>
      <c r="E97" s="2"/>
      <c r="F97" s="7">
        <f t="shared" si="68"/>
        <v>4.705135576633014E-3</v>
      </c>
      <c r="G97" s="2"/>
      <c r="H97" s="6">
        <v>4151.2</v>
      </c>
      <c r="I97" s="2"/>
      <c r="J97" s="7">
        <f t="shared" si="69"/>
        <v>7.7526971773922149E-3</v>
      </c>
      <c r="K97" s="2"/>
      <c r="L97" s="6">
        <f t="shared" si="70"/>
        <v>-1519.33</v>
      </c>
      <c r="M97" s="2"/>
      <c r="N97" s="7">
        <f t="shared" si="71"/>
        <v>-0.36599778377336672</v>
      </c>
      <c r="O97" s="11"/>
      <c r="P97" s="6">
        <v>30535.4</v>
      </c>
      <c r="Q97" s="2"/>
      <c r="R97" s="7">
        <f t="shared" si="72"/>
        <v>1.1434896845287538E-2</v>
      </c>
      <c r="S97" s="2"/>
      <c r="T97" s="6">
        <v>15943.02</v>
      </c>
      <c r="U97" s="2"/>
      <c r="V97" s="7">
        <f t="shared" si="73"/>
        <v>5.7883154588684324E-3</v>
      </c>
      <c r="W97" s="2"/>
      <c r="X97" s="6">
        <f t="shared" si="74"/>
        <v>14592.380000000001</v>
      </c>
      <c r="Y97" s="2"/>
      <c r="Z97" s="7">
        <f t="shared" si="75"/>
        <v>0.91528330266160363</v>
      </c>
    </row>
    <row r="98" spans="1:26" s="24" customFormat="1" hidden="1" outlineLevel="2" x14ac:dyDescent="0.25">
      <c r="A98" s="26"/>
      <c r="B98" s="11" t="str">
        <f>CONCATENATE("          ", "6241", " - ", "OFFICE EXPENSE")</f>
        <v xml:space="preserve">          6241 - OFFICE EXPENSE</v>
      </c>
      <c r="C98" s="11"/>
      <c r="D98" s="6">
        <v>2130.4</v>
      </c>
      <c r="E98" s="2"/>
      <c r="F98" s="7">
        <f t="shared" si="68"/>
        <v>3.8086306817810048E-3</v>
      </c>
      <c r="G98" s="2"/>
      <c r="H98" s="6">
        <v>1647.79</v>
      </c>
      <c r="I98" s="2"/>
      <c r="J98" s="7">
        <f t="shared" si="69"/>
        <v>3.0773792835650216E-3</v>
      </c>
      <c r="K98" s="2"/>
      <c r="L98" s="6">
        <f t="shared" si="70"/>
        <v>482.61000000000013</v>
      </c>
      <c r="M98" s="2"/>
      <c r="N98" s="7">
        <f t="shared" si="71"/>
        <v>0.29288319506733268</v>
      </c>
      <c r="O98" s="11"/>
      <c r="P98" s="6">
        <v>13151.64</v>
      </c>
      <c r="Q98" s="2"/>
      <c r="R98" s="7">
        <f t="shared" si="72"/>
        <v>4.9250262562913006E-3</v>
      </c>
      <c r="S98" s="2"/>
      <c r="T98" s="6">
        <v>9615.32</v>
      </c>
      <c r="U98" s="2"/>
      <c r="V98" s="7">
        <f t="shared" si="73"/>
        <v>3.4909637821420795E-3</v>
      </c>
      <c r="W98" s="2"/>
      <c r="X98" s="6">
        <f t="shared" si="74"/>
        <v>3536.3199999999997</v>
      </c>
      <c r="Y98" s="2"/>
      <c r="Z98" s="7">
        <f t="shared" si="75"/>
        <v>0.36777975147992992</v>
      </c>
    </row>
    <row r="99" spans="1:26" s="24" customFormat="1" hidden="1" outlineLevel="2" x14ac:dyDescent="0.25">
      <c r="A99" s="26"/>
      <c r="B99" s="11" t="str">
        <f>CONCATENATE("          ", "6243", " - ", "PAPER SUPPLIES")</f>
        <v xml:space="preserve">          6243 - PAPER SUPPLIES</v>
      </c>
      <c r="C99" s="11"/>
      <c r="D99" s="6">
        <v>2325.0500000000002</v>
      </c>
      <c r="E99" s="2"/>
      <c r="F99" s="7">
        <f t="shared" si="68"/>
        <v>4.1566169576957033E-3</v>
      </c>
      <c r="G99" s="2"/>
      <c r="H99" s="6">
        <v>4312.62</v>
      </c>
      <c r="I99" s="2"/>
      <c r="J99" s="7">
        <f t="shared" si="69"/>
        <v>8.0541619052720212E-3</v>
      </c>
      <c r="K99" s="2"/>
      <c r="L99" s="6">
        <f t="shared" si="70"/>
        <v>-1987.5699999999997</v>
      </c>
      <c r="M99" s="2"/>
      <c r="N99" s="7">
        <f t="shared" si="71"/>
        <v>-0.46087297281003192</v>
      </c>
      <c r="O99" s="11"/>
      <c r="P99" s="6">
        <v>16564.86</v>
      </c>
      <c r="Q99" s="2"/>
      <c r="R99" s="7">
        <f t="shared" si="72"/>
        <v>6.2032089102035575E-3</v>
      </c>
      <c r="S99" s="2"/>
      <c r="T99" s="6">
        <v>23128.17</v>
      </c>
      <c r="U99" s="2"/>
      <c r="V99" s="7">
        <f t="shared" si="73"/>
        <v>8.3969752246649074E-3</v>
      </c>
      <c r="W99" s="2"/>
      <c r="X99" s="6">
        <f t="shared" si="74"/>
        <v>-6563.3099999999977</v>
      </c>
      <c r="Y99" s="2"/>
      <c r="Z99" s="7">
        <f t="shared" si="75"/>
        <v>-0.28377990995396513</v>
      </c>
    </row>
    <row r="100" spans="1:26" s="24" customFormat="1" hidden="1" outlineLevel="2" x14ac:dyDescent="0.25">
      <c r="A100" s="26"/>
      <c r="B100" s="11" t="str">
        <f>CONCATENATE("          ", "6245", " - ", "PRINTING")</f>
        <v xml:space="preserve">          6245 - PRINTING</v>
      </c>
      <c r="C100" s="11"/>
      <c r="D100" s="6">
        <v>15.99</v>
      </c>
      <c r="E100" s="2"/>
      <c r="F100" s="7">
        <f t="shared" si="68"/>
        <v>2.8586183158880146E-5</v>
      </c>
      <c r="G100" s="2"/>
      <c r="H100" s="6"/>
      <c r="I100" s="2"/>
      <c r="J100" s="7">
        <f t="shared" si="69"/>
        <v>0</v>
      </c>
      <c r="K100" s="2"/>
      <c r="L100" s="6">
        <f t="shared" si="70"/>
        <v>15.99</v>
      </c>
      <c r="M100" s="2"/>
      <c r="N100" s="7">
        <f t="shared" si="71"/>
        <v>0</v>
      </c>
      <c r="O100" s="11"/>
      <c r="P100" s="6">
        <v>270.89999999999998</v>
      </c>
      <c r="Q100" s="2"/>
      <c r="R100" s="7">
        <f t="shared" si="72"/>
        <v>1.014466342470835E-4</v>
      </c>
      <c r="S100" s="2"/>
      <c r="T100" s="6"/>
      <c r="U100" s="2"/>
      <c r="V100" s="7">
        <f t="shared" si="73"/>
        <v>0</v>
      </c>
      <c r="W100" s="2"/>
      <c r="X100" s="6">
        <f t="shared" si="74"/>
        <v>270.89999999999998</v>
      </c>
      <c r="Y100" s="2"/>
      <c r="Z100" s="7">
        <f t="shared" si="75"/>
        <v>0</v>
      </c>
    </row>
    <row r="101" spans="1:26" s="24" customFormat="1" hidden="1" outlineLevel="2" x14ac:dyDescent="0.25">
      <c r="A101" s="26"/>
      <c r="B101" s="11" t="str">
        <f>CONCATENATE("          ", "6247", " - ", "STORE SUPPLIES")</f>
        <v xml:space="preserve">          6247 - STORE SUPPLIES</v>
      </c>
      <c r="C101" s="11"/>
      <c r="D101" s="6">
        <v>1102.46</v>
      </c>
      <c r="E101" s="2"/>
      <c r="F101" s="7">
        <f t="shared" si="68"/>
        <v>1.970927047238212E-3</v>
      </c>
      <c r="G101" s="2"/>
      <c r="H101" s="6">
        <v>407.21</v>
      </c>
      <c r="I101" s="2"/>
      <c r="J101" s="7">
        <f t="shared" si="69"/>
        <v>7.6049716168960393E-4</v>
      </c>
      <c r="K101" s="2"/>
      <c r="L101" s="6">
        <f t="shared" si="70"/>
        <v>695.25</v>
      </c>
      <c r="M101" s="2"/>
      <c r="N101" s="7">
        <f t="shared" si="71"/>
        <v>1.7073500159622801</v>
      </c>
      <c r="O101" s="11"/>
      <c r="P101" s="6">
        <v>2900.26</v>
      </c>
      <c r="Q101" s="2"/>
      <c r="R101" s="7">
        <f t="shared" si="72"/>
        <v>1.0860893888573143E-3</v>
      </c>
      <c r="S101" s="2"/>
      <c r="T101" s="6">
        <v>5582.03</v>
      </c>
      <c r="U101" s="2"/>
      <c r="V101" s="7">
        <f t="shared" si="73"/>
        <v>2.0266267332580247E-3</v>
      </c>
      <c r="W101" s="2"/>
      <c r="X101" s="6">
        <f t="shared" si="74"/>
        <v>-2681.7699999999995</v>
      </c>
      <c r="Y101" s="2"/>
      <c r="Z101" s="7">
        <f t="shared" si="75"/>
        <v>-0.48042916286727222</v>
      </c>
    </row>
    <row r="102" spans="1:26" s="24" customFormat="1" hidden="1" outlineLevel="2" x14ac:dyDescent="0.25">
      <c r="A102" s="26"/>
      <c r="B102" s="11" t="str">
        <f>CONCATENATE("          ", "6248", " - ", "UNIFORMS")</f>
        <v xml:space="preserve">          6248 - UNIFORMS</v>
      </c>
      <c r="C102" s="11"/>
      <c r="D102" s="6">
        <v>250.51</v>
      </c>
      <c r="E102" s="2"/>
      <c r="F102" s="7">
        <f t="shared" si="68"/>
        <v>4.4785020282245562E-4</v>
      </c>
      <c r="G102" s="2"/>
      <c r="H102" s="6">
        <v>181.93</v>
      </c>
      <c r="I102" s="2"/>
      <c r="J102" s="7">
        <f t="shared" si="69"/>
        <v>3.3976878914120394E-4</v>
      </c>
      <c r="K102" s="2"/>
      <c r="L102" s="6">
        <f t="shared" si="70"/>
        <v>68.579999999999984</v>
      </c>
      <c r="M102" s="2"/>
      <c r="N102" s="7">
        <f t="shared" si="71"/>
        <v>0.37695817072500404</v>
      </c>
      <c r="O102" s="11"/>
      <c r="P102" s="6">
        <v>3733.75</v>
      </c>
      <c r="Q102" s="2"/>
      <c r="R102" s="7">
        <f t="shared" si="72"/>
        <v>1.3982147309710153E-3</v>
      </c>
      <c r="S102" s="2"/>
      <c r="T102" s="6">
        <v>6981.91</v>
      </c>
      <c r="U102" s="2"/>
      <c r="V102" s="7">
        <f t="shared" si="73"/>
        <v>2.5348709081107657E-3</v>
      </c>
      <c r="W102" s="2"/>
      <c r="X102" s="6">
        <f t="shared" si="74"/>
        <v>-3248.16</v>
      </c>
      <c r="Y102" s="2"/>
      <c r="Z102" s="7">
        <f t="shared" si="75"/>
        <v>-0.46522513180490727</v>
      </c>
    </row>
    <row r="103" spans="1:26" s="25" customFormat="1" outlineLevel="1" collapsed="1" x14ac:dyDescent="0.25">
      <c r="A103" s="27"/>
      <c r="B103" s="13" t="str">
        <f>CONCATENATE("     ","Telephone/Data Lines                              ")</f>
        <v xml:space="preserve">     Telephone/Data Lines                              </v>
      </c>
      <c r="C103" s="13"/>
      <c r="D103" s="1">
        <f>SUM(OSRRefD22_20x_0)</f>
        <v>1444.77</v>
      </c>
      <c r="E103" s="1"/>
      <c r="F103" s="5">
        <f t="shared" ref="F103:F110" si="76">IF(D$12=0,0,D103/D$12)</f>
        <v>2.5828930483086472E-3</v>
      </c>
      <c r="G103" s="1"/>
      <c r="H103" s="1">
        <f>SUM(OSRRefH22_20x_0)</f>
        <v>1889.13</v>
      </c>
      <c r="I103" s="1"/>
      <c r="J103" s="5">
        <f t="shared" ref="J103:J110" si="77">IF(H$12=0,0,H103/H$12)</f>
        <v>3.528100987359548E-3</v>
      </c>
      <c r="K103" s="1"/>
      <c r="L103" s="1">
        <f t="shared" ref="L103:L110" si="78">+D103-H103</f>
        <v>-444.36000000000013</v>
      </c>
      <c r="M103" s="1"/>
      <c r="N103" s="5">
        <f t="shared" ref="N103:N110" si="79">IF(H103=0,0,L103/H103)</f>
        <v>-0.23521938670181516</v>
      </c>
      <c r="O103" s="13"/>
      <c r="P103" s="1">
        <f>SUM(OSRRefP22_20x_0)</f>
        <v>8585.73</v>
      </c>
      <c r="Q103" s="1"/>
      <c r="R103" s="5">
        <f t="shared" ref="R103:R110" si="80">IF(P$12=0,0,P103/P$12)</f>
        <v>3.2151842416176164E-3</v>
      </c>
      <c r="S103" s="1"/>
      <c r="T103" s="1">
        <f>SUM(OSRRefT22_20x_0)</f>
        <v>9642.7999999999993</v>
      </c>
      <c r="U103" s="1"/>
      <c r="V103" s="5">
        <f t="shared" ref="V103:V110" si="81">IF(T$12=0,0,T103/T$12)</f>
        <v>3.5009407443995252E-3</v>
      </c>
      <c r="W103" s="1"/>
      <c r="X103" s="1">
        <f t="shared" ref="X103:X110" si="82">+P103-T103</f>
        <v>-1057.0699999999997</v>
      </c>
      <c r="Y103" s="1"/>
      <c r="Z103" s="5">
        <f t="shared" ref="Z103:Z110" si="83">IF(T103=0,0,X103/T103)</f>
        <v>-0.10962272369021443</v>
      </c>
    </row>
    <row r="104" spans="1:26" s="24" customFormat="1" hidden="1" outlineLevel="2" x14ac:dyDescent="0.25">
      <c r="A104" s="26"/>
      <c r="B104" s="11" t="str">
        <f>CONCATENATE("          ", "6309", " - ", "TELEPHONE")</f>
        <v xml:space="preserve">          6309 - TELEPHONE</v>
      </c>
      <c r="C104" s="11"/>
      <c r="D104" s="6">
        <v>1444.77</v>
      </c>
      <c r="E104" s="2"/>
      <c r="F104" s="7">
        <f t="shared" si="76"/>
        <v>2.5828930483086472E-3</v>
      </c>
      <c r="G104" s="2"/>
      <c r="H104" s="6">
        <v>1889.13</v>
      </c>
      <c r="I104" s="2"/>
      <c r="J104" s="7">
        <f t="shared" si="77"/>
        <v>3.528100987359548E-3</v>
      </c>
      <c r="K104" s="2"/>
      <c r="L104" s="6">
        <f t="shared" si="78"/>
        <v>-444.36000000000013</v>
      </c>
      <c r="M104" s="2"/>
      <c r="N104" s="7">
        <f t="shared" si="79"/>
        <v>-0.23521938670181516</v>
      </c>
      <c r="O104" s="11"/>
      <c r="P104" s="6">
        <v>8585.73</v>
      </c>
      <c r="Q104" s="2"/>
      <c r="R104" s="7">
        <f t="shared" si="80"/>
        <v>3.2151842416176164E-3</v>
      </c>
      <c r="S104" s="2"/>
      <c r="T104" s="6">
        <v>9642.7999999999993</v>
      </c>
      <c r="U104" s="2"/>
      <c r="V104" s="7">
        <f t="shared" si="81"/>
        <v>3.5009407443995252E-3</v>
      </c>
      <c r="W104" s="2"/>
      <c r="X104" s="6">
        <f t="shared" si="82"/>
        <v>-1057.0699999999997</v>
      </c>
      <c r="Y104" s="2"/>
      <c r="Z104" s="7">
        <f t="shared" si="83"/>
        <v>-0.10962272369021443</v>
      </c>
    </row>
    <row r="105" spans="1:26" s="25" customFormat="1" outlineLevel="1" collapsed="1" x14ac:dyDescent="0.25">
      <c r="A105" s="27"/>
      <c r="B105" s="13" t="str">
        <f>CONCATENATE("     ","Training                                          ")</f>
        <v xml:space="preserve">     Training                                          </v>
      </c>
      <c r="C105" s="13"/>
      <c r="D105" s="1">
        <f>SUM(OSRRefD22_21x_0)</f>
        <v>85</v>
      </c>
      <c r="E105" s="1"/>
      <c r="F105" s="5">
        <f t="shared" si="76"/>
        <v>1.5195907245183317E-4</v>
      </c>
      <c r="G105" s="1"/>
      <c r="H105" s="1">
        <f>SUM(OSRRefH22_21x_0)</f>
        <v>180</v>
      </c>
      <c r="I105" s="1"/>
      <c r="J105" s="5">
        <f t="shared" si="77"/>
        <v>3.3616436016828838E-4</v>
      </c>
      <c r="K105" s="1"/>
      <c r="L105" s="1">
        <f t="shared" si="78"/>
        <v>-95</v>
      </c>
      <c r="M105" s="1"/>
      <c r="N105" s="5">
        <f t="shared" si="79"/>
        <v>-0.52777777777777779</v>
      </c>
      <c r="O105" s="13"/>
      <c r="P105" s="1">
        <f>SUM(OSRRefP22_21x_0)</f>
        <v>1652.5</v>
      </c>
      <c r="Q105" s="1"/>
      <c r="R105" s="5">
        <f t="shared" si="80"/>
        <v>6.188282137072924E-4</v>
      </c>
      <c r="S105" s="1"/>
      <c r="T105" s="1">
        <f>SUM(OSRRefT22_21x_0)</f>
        <v>870.48</v>
      </c>
      <c r="U105" s="1"/>
      <c r="V105" s="5">
        <f t="shared" si="81"/>
        <v>3.1603879570092701E-4</v>
      </c>
      <c r="W105" s="1"/>
      <c r="X105" s="1">
        <f t="shared" si="82"/>
        <v>782.02</v>
      </c>
      <c r="Y105" s="1"/>
      <c r="Z105" s="5">
        <f t="shared" si="83"/>
        <v>0.89837790644242255</v>
      </c>
    </row>
    <row r="106" spans="1:26" s="24" customFormat="1" hidden="1" outlineLevel="2" x14ac:dyDescent="0.25">
      <c r="A106" s="26"/>
      <c r="B106" s="11" t="str">
        <f>CONCATENATE("          ", "6376", " - ", "TRAINING")</f>
        <v xml:space="preserve">          6376 - TRAINING</v>
      </c>
      <c r="C106" s="11"/>
      <c r="D106" s="6">
        <v>85</v>
      </c>
      <c r="E106" s="2"/>
      <c r="F106" s="7">
        <f t="shared" si="76"/>
        <v>1.5195907245183317E-4</v>
      </c>
      <c r="G106" s="2"/>
      <c r="H106" s="6">
        <v>180</v>
      </c>
      <c r="I106" s="2"/>
      <c r="J106" s="7">
        <f t="shared" si="77"/>
        <v>3.3616436016828838E-4</v>
      </c>
      <c r="K106" s="2"/>
      <c r="L106" s="6">
        <f t="shared" si="78"/>
        <v>-95</v>
      </c>
      <c r="M106" s="2"/>
      <c r="N106" s="7">
        <f t="shared" si="79"/>
        <v>-0.52777777777777779</v>
      </c>
      <c r="O106" s="11"/>
      <c r="P106" s="6">
        <v>1652.5</v>
      </c>
      <c r="Q106" s="2"/>
      <c r="R106" s="7">
        <f t="shared" si="80"/>
        <v>6.188282137072924E-4</v>
      </c>
      <c r="S106" s="2"/>
      <c r="T106" s="6">
        <v>870.48</v>
      </c>
      <c r="U106" s="2"/>
      <c r="V106" s="7">
        <f t="shared" si="81"/>
        <v>3.1603879570092701E-4</v>
      </c>
      <c r="W106" s="2"/>
      <c r="X106" s="6">
        <f t="shared" si="82"/>
        <v>782.02</v>
      </c>
      <c r="Y106" s="2"/>
      <c r="Z106" s="7">
        <f t="shared" si="83"/>
        <v>0.89837790644242255</v>
      </c>
    </row>
    <row r="107" spans="1:26" s="25" customFormat="1" outlineLevel="1" collapsed="1" x14ac:dyDescent="0.25">
      <c r="A107" s="27"/>
      <c r="B107" s="13" t="str">
        <f>CONCATENATE("     ","Travel                                            ")</f>
        <v xml:space="preserve">     Travel                                            </v>
      </c>
      <c r="C107" s="13"/>
      <c r="D107" s="1">
        <f>SUM(OSRRefD22_22x_0)</f>
        <v>301.73</v>
      </c>
      <c r="E107" s="1"/>
      <c r="F107" s="5">
        <f t="shared" si="76"/>
        <v>5.3941895212813681E-4</v>
      </c>
      <c r="G107" s="1"/>
      <c r="H107" s="1">
        <f>SUM(OSRRefH22_22x_0)</f>
        <v>563.62</v>
      </c>
      <c r="I107" s="1"/>
      <c r="J107" s="5">
        <f t="shared" si="77"/>
        <v>1.0526053148780595E-3</v>
      </c>
      <c r="K107" s="1"/>
      <c r="L107" s="1">
        <f t="shared" si="78"/>
        <v>-261.89</v>
      </c>
      <c r="M107" s="1"/>
      <c r="N107" s="5">
        <f t="shared" si="79"/>
        <v>-0.46465703843014794</v>
      </c>
      <c r="O107" s="13"/>
      <c r="P107" s="1">
        <f>SUM(OSRRefP22_22x_0)</f>
        <v>1402.9099999999999</v>
      </c>
      <c r="Q107" s="1"/>
      <c r="R107" s="5">
        <f t="shared" si="80"/>
        <v>5.2536174843697268E-4</v>
      </c>
      <c r="S107" s="1"/>
      <c r="T107" s="1">
        <f>SUM(OSRRefT22_22x_0)</f>
        <v>2481.0299999999997</v>
      </c>
      <c r="U107" s="1"/>
      <c r="V107" s="5">
        <f t="shared" si="81"/>
        <v>9.0076938390068798E-4</v>
      </c>
      <c r="W107" s="1"/>
      <c r="X107" s="1">
        <f t="shared" si="82"/>
        <v>-1078.1199999999999</v>
      </c>
      <c r="Y107" s="1"/>
      <c r="Z107" s="5">
        <f t="shared" si="83"/>
        <v>-0.43454532996376505</v>
      </c>
    </row>
    <row r="108" spans="1:26" s="24" customFormat="1" hidden="1" outlineLevel="2" x14ac:dyDescent="0.25">
      <c r="A108" s="26"/>
      <c r="B108" s="11" t="str">
        <f>CONCATENATE("          ", "6292", " - ", "TRAVEL/CONFERENCE")</f>
        <v xml:space="preserve">          6292 - TRAVEL/CONFERENCE</v>
      </c>
      <c r="C108" s="11"/>
      <c r="D108" s="6">
        <v>153.68</v>
      </c>
      <c r="E108" s="2"/>
      <c r="F108" s="7">
        <f t="shared" si="76"/>
        <v>2.7474200299291437E-4</v>
      </c>
      <c r="G108" s="2"/>
      <c r="H108" s="6">
        <v>424.9</v>
      </c>
      <c r="I108" s="2"/>
      <c r="J108" s="7">
        <f t="shared" si="77"/>
        <v>7.9353464797503174E-4</v>
      </c>
      <c r="K108" s="2"/>
      <c r="L108" s="6">
        <f t="shared" si="78"/>
        <v>-271.21999999999997</v>
      </c>
      <c r="M108" s="2"/>
      <c r="N108" s="7">
        <f t="shared" si="79"/>
        <v>-0.63831489762297011</v>
      </c>
      <c r="O108" s="11"/>
      <c r="P108" s="6">
        <v>699.37</v>
      </c>
      <c r="Q108" s="2"/>
      <c r="R108" s="7">
        <f t="shared" si="80"/>
        <v>2.6190008340119158E-4</v>
      </c>
      <c r="S108" s="2"/>
      <c r="T108" s="6">
        <v>737.64</v>
      </c>
      <c r="U108" s="2"/>
      <c r="V108" s="7">
        <f t="shared" si="81"/>
        <v>2.6780955020314285E-4</v>
      </c>
      <c r="W108" s="2"/>
      <c r="X108" s="6">
        <f t="shared" si="82"/>
        <v>-38.269999999999982</v>
      </c>
      <c r="Y108" s="2"/>
      <c r="Z108" s="7">
        <f t="shared" si="83"/>
        <v>-5.1881676698660568E-2</v>
      </c>
    </row>
    <row r="109" spans="1:26" s="24" customFormat="1" hidden="1" outlineLevel="2" x14ac:dyDescent="0.25">
      <c r="A109" s="26"/>
      <c r="B109" s="11" t="str">
        <f>CONCATENATE("          ", "6294", " - ", "TRAVEL OPERATIONAL")</f>
        <v xml:space="preserve">          6294 - TRAVEL OPERATIONAL</v>
      </c>
      <c r="C109" s="11"/>
      <c r="D109" s="6"/>
      <c r="E109" s="2"/>
      <c r="F109" s="7">
        <f t="shared" si="76"/>
        <v>0</v>
      </c>
      <c r="G109" s="2"/>
      <c r="H109" s="6"/>
      <c r="I109" s="2"/>
      <c r="J109" s="7">
        <f t="shared" si="77"/>
        <v>0</v>
      </c>
      <c r="K109" s="2"/>
      <c r="L109" s="6">
        <f t="shared" si="78"/>
        <v>0</v>
      </c>
      <c r="M109" s="2"/>
      <c r="N109" s="7">
        <f t="shared" si="79"/>
        <v>0</v>
      </c>
      <c r="O109" s="11"/>
      <c r="P109" s="6">
        <v>45.49</v>
      </c>
      <c r="Q109" s="2"/>
      <c r="R109" s="7">
        <f t="shared" si="80"/>
        <v>1.7035095577334179E-5</v>
      </c>
      <c r="S109" s="2"/>
      <c r="T109" s="6">
        <v>1258.9000000000001</v>
      </c>
      <c r="U109" s="2"/>
      <c r="V109" s="7">
        <f t="shared" si="81"/>
        <v>4.5705959919572771E-4</v>
      </c>
      <c r="W109" s="2"/>
      <c r="X109" s="6">
        <f t="shared" si="82"/>
        <v>-1213.4100000000001</v>
      </c>
      <c r="Y109" s="2"/>
      <c r="Z109" s="7">
        <f t="shared" si="83"/>
        <v>-0.96386527921201048</v>
      </c>
    </row>
    <row r="110" spans="1:26" s="24" customFormat="1" hidden="1" outlineLevel="2" x14ac:dyDescent="0.25">
      <c r="A110" s="26"/>
      <c r="B110" s="11" t="str">
        <f>CONCATENATE("          ", "6298", " - ", "VEHICLE MILEAGE")</f>
        <v xml:space="preserve">          6298 - VEHICLE MILEAGE</v>
      </c>
      <c r="C110" s="11"/>
      <c r="D110" s="6">
        <v>148.05000000000001</v>
      </c>
      <c r="E110" s="2"/>
      <c r="F110" s="7">
        <f t="shared" si="76"/>
        <v>2.6467694913522239E-4</v>
      </c>
      <c r="G110" s="2"/>
      <c r="H110" s="6">
        <v>138.72</v>
      </c>
      <c r="I110" s="2"/>
      <c r="J110" s="7">
        <f t="shared" si="77"/>
        <v>2.5907066690302756E-4</v>
      </c>
      <c r="K110" s="2"/>
      <c r="L110" s="6">
        <f t="shared" si="78"/>
        <v>9.3300000000000125</v>
      </c>
      <c r="M110" s="2"/>
      <c r="N110" s="7">
        <f t="shared" si="79"/>
        <v>6.7257785467128114E-2</v>
      </c>
      <c r="O110" s="11"/>
      <c r="P110" s="6">
        <v>658.05</v>
      </c>
      <c r="Q110" s="2"/>
      <c r="R110" s="7">
        <f t="shared" si="80"/>
        <v>2.4642656945844703E-4</v>
      </c>
      <c r="S110" s="2"/>
      <c r="T110" s="6">
        <v>484.49</v>
      </c>
      <c r="U110" s="2"/>
      <c r="V110" s="7">
        <f t="shared" si="81"/>
        <v>1.7590023450181753E-4</v>
      </c>
      <c r="W110" s="2"/>
      <c r="X110" s="6">
        <f t="shared" si="82"/>
        <v>173.55999999999995</v>
      </c>
      <c r="Y110" s="2"/>
      <c r="Z110" s="7">
        <f t="shared" si="83"/>
        <v>0.3582323680571321</v>
      </c>
    </row>
    <row r="111" spans="1:26" s="25" customFormat="1" outlineLevel="1" collapsed="1" x14ac:dyDescent="0.25">
      <c r="A111" s="27"/>
      <c r="B111" s="13" t="str">
        <f>CONCATENATE("     ","Utilities                                         ")</f>
        <v xml:space="preserve">     Utilities                                         </v>
      </c>
      <c r="C111" s="13"/>
      <c r="D111" s="1">
        <f>SUM(OSRRefD22_23x_0)</f>
        <v>13691</v>
      </c>
      <c r="E111" s="1"/>
      <c r="F111" s="5">
        <f t="shared" ref="F111:F112" si="84">IF(D$12=0,0,D111/D$12)</f>
        <v>2.4476137187506446E-2</v>
      </c>
      <c r="G111" s="1"/>
      <c r="H111" s="1">
        <f>SUM(OSRRefH22_23x_0)</f>
        <v>13691</v>
      </c>
      <c r="I111" s="1"/>
      <c r="J111" s="5">
        <f t="shared" ref="J111:J112" si="85">IF(H$12=0,0,H111/H$12)</f>
        <v>2.5569034750355758E-2</v>
      </c>
      <c r="K111" s="1"/>
      <c r="L111" s="1">
        <f t="shared" ref="L111:L112" si="86">+D111-H111</f>
        <v>0</v>
      </c>
      <c r="M111" s="1"/>
      <c r="N111" s="5">
        <f t="shared" ref="N111:N112" si="87">IF(H111=0,0,L111/H111)</f>
        <v>0</v>
      </c>
      <c r="O111" s="13"/>
      <c r="P111" s="1">
        <f>SUM(OSRRefP22_23x_0)</f>
        <v>58340</v>
      </c>
      <c r="Q111" s="1"/>
      <c r="R111" s="5">
        <f t="shared" ref="R111:R112" si="88">IF(P$12=0,0,P111/P$12)</f>
        <v>2.184716368392341E-2</v>
      </c>
      <c r="S111" s="1"/>
      <c r="T111" s="1">
        <f>SUM(OSRRefT22_23x_0)</f>
        <v>44653.619999999995</v>
      </c>
      <c r="U111" s="1"/>
      <c r="V111" s="5">
        <f t="shared" ref="V111:V112" si="89">IF(T$12=0,0,T111/T$12)</f>
        <v>1.6212062641860613E-2</v>
      </c>
      <c r="W111" s="1"/>
      <c r="X111" s="1">
        <f t="shared" ref="X111:X112" si="90">+P111-T111</f>
        <v>13686.380000000005</v>
      </c>
      <c r="Y111" s="1"/>
      <c r="Z111" s="5">
        <f t="shared" ref="Z111:Z112" si="91">IF(T111=0,0,X111/T111)</f>
        <v>0.30650101828250442</v>
      </c>
    </row>
    <row r="112" spans="1:26" s="24" customFormat="1" hidden="1" outlineLevel="2" x14ac:dyDescent="0.25">
      <c r="A112" s="26"/>
      <c r="B112" s="11" t="str">
        <f>CONCATENATE("          ", "6274", " - ", "UTILITIES")</f>
        <v xml:space="preserve">          6274 - UTILITIES</v>
      </c>
      <c r="C112" s="11"/>
      <c r="D112" s="6">
        <v>13691</v>
      </c>
      <c r="E112" s="2"/>
      <c r="F112" s="7">
        <f t="shared" si="84"/>
        <v>2.4476137187506446E-2</v>
      </c>
      <c r="G112" s="2"/>
      <c r="H112" s="6">
        <v>13691</v>
      </c>
      <c r="I112" s="2"/>
      <c r="J112" s="7">
        <f t="shared" si="85"/>
        <v>2.5569034750355758E-2</v>
      </c>
      <c r="K112" s="2"/>
      <c r="L112" s="6">
        <f t="shared" si="86"/>
        <v>0</v>
      </c>
      <c r="M112" s="2"/>
      <c r="N112" s="7">
        <f t="shared" si="87"/>
        <v>0</v>
      </c>
      <c r="O112" s="11"/>
      <c r="P112" s="6">
        <v>58340</v>
      </c>
      <c r="Q112" s="2"/>
      <c r="R112" s="7">
        <f t="shared" si="88"/>
        <v>2.184716368392341E-2</v>
      </c>
      <c r="S112" s="2"/>
      <c r="T112" s="6">
        <v>44653.619999999995</v>
      </c>
      <c r="U112" s="2"/>
      <c r="V112" s="7">
        <f t="shared" si="89"/>
        <v>1.6212062641860613E-2</v>
      </c>
      <c r="W112" s="2"/>
      <c r="X112" s="6">
        <f t="shared" si="90"/>
        <v>13686.380000000005</v>
      </c>
      <c r="Y112" s="2"/>
      <c r="Z112" s="7">
        <f t="shared" si="91"/>
        <v>0.30650101828250442</v>
      </c>
    </row>
    <row r="113" spans="1:26" s="53" customFormat="1" x14ac:dyDescent="0.25">
      <c r="A113" s="37"/>
      <c r="B113" s="37"/>
      <c r="C113" s="37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7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collapsed="1" x14ac:dyDescent="0.25">
      <c r="A114" s="10"/>
      <c r="B114" s="28" t="s">
        <v>0</v>
      </c>
      <c r="C114" s="10"/>
      <c r="D114" s="4">
        <f>SUM(OSRRefD25x_0)</f>
        <v>66542.63</v>
      </c>
      <c r="E114" s="4"/>
      <c r="F114" s="12">
        <f t="shared" ref="F114:F117" si="92">IF(D$12=0,0,D114/D$12)</f>
        <v>0.11896183921535916</v>
      </c>
      <c r="G114" s="4"/>
      <c r="H114" s="4">
        <f>SUM(OSRRefH25x_0)</f>
        <v>93308.69</v>
      </c>
      <c r="I114" s="4"/>
      <c r="J114" s="12">
        <f t="shared" ref="J114:J117" si="93">IF(H$12=0,0,H114/H$12)</f>
        <v>0.17426142262217315</v>
      </c>
      <c r="K114" s="4"/>
      <c r="L114" s="4">
        <f t="shared" ref="L114:L117" si="94">+D114-H114</f>
        <v>-26766.059999999998</v>
      </c>
      <c r="M114" s="4"/>
      <c r="N114" s="12">
        <f t="shared" ref="N114:N117" si="95">IF(H114=0,0,L114/H114)</f>
        <v>-0.28685495423845297</v>
      </c>
      <c r="O114" s="10"/>
      <c r="P114" s="4">
        <f>SUM(OSRRefP25x_0)</f>
        <v>493067.26</v>
      </c>
      <c r="Q114" s="4"/>
      <c r="R114" s="12">
        <f t="shared" ref="R114:R117" si="96">IF(P$12=0,0,P114/P$12)</f>
        <v>0.18464383161473469</v>
      </c>
      <c r="S114" s="4"/>
      <c r="T114" s="4">
        <f>SUM(OSRRefT25x_0)</f>
        <v>426231.95</v>
      </c>
      <c r="U114" s="4"/>
      <c r="V114" s="12">
        <f t="shared" ref="V114:V117" si="97">IF(T$12=0,0,T114/T$12)</f>
        <v>0.1547489111378294</v>
      </c>
      <c r="W114" s="4"/>
      <c r="X114" s="4">
        <f t="shared" ref="X114:X117" si="98">+P114-T114</f>
        <v>66835.31</v>
      </c>
      <c r="Y114" s="4"/>
      <c r="Z114" s="12">
        <f t="shared" ref="Z114:Z117" si="99">IF(T114=0,0,X114/T114)</f>
        <v>0.1568050213035414</v>
      </c>
    </row>
    <row r="115" spans="1:26" s="24" customFormat="1" hidden="1" outlineLevel="1" x14ac:dyDescent="0.25">
      <c r="A115" s="44"/>
      <c r="B115" s="11" t="str">
        <f>CONCATENATE("          ", "9150", " - ", "MISC. INCOME")</f>
        <v xml:space="preserve">          9150 - MISC. INCOME</v>
      </c>
      <c r="C115" s="11"/>
      <c r="D115" s="2">
        <f>--48346.26</f>
        <v>48346.26</v>
      </c>
      <c r="E115" s="2"/>
      <c r="F115" s="19">
        <f t="shared" si="92"/>
        <v>8.6431209719001936E-2</v>
      </c>
      <c r="G115" s="2"/>
      <c r="H115" s="2">
        <f>--71607.8</f>
        <v>71607.8</v>
      </c>
      <c r="I115" s="2"/>
      <c r="J115" s="19">
        <f t="shared" si="93"/>
        <v>0.13373327927810422</v>
      </c>
      <c r="K115" s="2"/>
      <c r="L115" s="2">
        <f t="shared" si="94"/>
        <v>-23261.54</v>
      </c>
      <c r="M115" s="2"/>
      <c r="N115" s="19">
        <f t="shared" si="95"/>
        <v>-0.32484645527442541</v>
      </c>
      <c r="O115" s="11"/>
      <c r="P115" s="2">
        <f>--165642.94</f>
        <v>165642.94</v>
      </c>
      <c r="Q115" s="2"/>
      <c r="R115" s="19">
        <f t="shared" si="96"/>
        <v>6.2029969545188628E-2</v>
      </c>
      <c r="S115" s="2"/>
      <c r="T115" s="2">
        <f>--147915.28</f>
        <v>147915.28</v>
      </c>
      <c r="U115" s="2"/>
      <c r="V115" s="19">
        <f t="shared" si="97"/>
        <v>5.3702516952676013E-2</v>
      </c>
      <c r="W115" s="2"/>
      <c r="X115" s="2">
        <f t="shared" si="98"/>
        <v>17727.660000000003</v>
      </c>
      <c r="Y115" s="2"/>
      <c r="Z115" s="19">
        <f t="shared" si="99"/>
        <v>0.1198500925665016</v>
      </c>
    </row>
    <row r="116" spans="1:26" s="24" customFormat="1" hidden="1" outlineLevel="1" x14ac:dyDescent="0.25">
      <c r="A116" s="44"/>
      <c r="B116" s="11" t="str">
        <f>CONCATENATE("          ", "9160", " - ", "MISC. INCOME")</f>
        <v xml:space="preserve">          9160 - MISC. INCOME</v>
      </c>
      <c r="C116" s="11"/>
      <c r="D116" s="2">
        <f>--7692.32</f>
        <v>7692.32</v>
      </c>
      <c r="E116" s="2"/>
      <c r="F116" s="19">
        <f t="shared" si="92"/>
        <v>1.3751974261208062E-2</v>
      </c>
      <c r="G116" s="2"/>
      <c r="H116" s="2">
        <f>--14981.17</f>
        <v>14981.17</v>
      </c>
      <c r="I116" s="2"/>
      <c r="J116" s="19">
        <f t="shared" si="93"/>
        <v>2.7978530153457536E-2</v>
      </c>
      <c r="K116" s="2"/>
      <c r="L116" s="2">
        <f t="shared" si="94"/>
        <v>-7288.85</v>
      </c>
      <c r="M116" s="2"/>
      <c r="N116" s="19">
        <f t="shared" si="95"/>
        <v>-0.48653409580159629</v>
      </c>
      <c r="O116" s="11"/>
      <c r="P116" s="2">
        <f>--104050.2</f>
        <v>104050.2</v>
      </c>
      <c r="Q116" s="2"/>
      <c r="R116" s="19">
        <f t="shared" si="96"/>
        <v>3.8964719759084124E-2</v>
      </c>
      <c r="S116" s="2"/>
      <c r="T116" s="2">
        <f>--60385.67</f>
        <v>60385.67</v>
      </c>
      <c r="U116" s="2"/>
      <c r="V116" s="19">
        <f t="shared" si="97"/>
        <v>2.1923782768580088E-2</v>
      </c>
      <c r="W116" s="2"/>
      <c r="X116" s="2">
        <f t="shared" si="98"/>
        <v>43664.53</v>
      </c>
      <c r="Y116" s="2"/>
      <c r="Z116" s="19">
        <f t="shared" si="99"/>
        <v>0.72309423742421008</v>
      </c>
    </row>
    <row r="117" spans="1:26" s="24" customFormat="1" hidden="1" outlineLevel="1" x14ac:dyDescent="0.25">
      <c r="A117" s="44"/>
      <c r="B117" s="11" t="str">
        <f>CONCATENATE("          ", "9165", " - ", "OTHER INCOME")</f>
        <v xml:space="preserve">          9165 - OTHER INCOME</v>
      </c>
      <c r="C117" s="11"/>
      <c r="D117" s="2">
        <f>--10504.05</f>
        <v>10504.05</v>
      </c>
      <c r="E117" s="2"/>
      <c r="F117" s="19">
        <f t="shared" si="92"/>
        <v>1.8778655235149155E-2</v>
      </c>
      <c r="G117" s="2"/>
      <c r="H117" s="2">
        <f>--6719.72</f>
        <v>6719.72</v>
      </c>
      <c r="I117" s="2"/>
      <c r="J117" s="19">
        <f t="shared" si="93"/>
        <v>1.2549613190611394E-2</v>
      </c>
      <c r="K117" s="2"/>
      <c r="L117" s="2">
        <f t="shared" si="94"/>
        <v>3784.329999999999</v>
      </c>
      <c r="M117" s="2"/>
      <c r="N117" s="19">
        <f t="shared" si="95"/>
        <v>0.56316781056353526</v>
      </c>
      <c r="O117" s="11"/>
      <c r="P117" s="2">
        <f>--223374.12</f>
        <v>223374.12</v>
      </c>
      <c r="Q117" s="2"/>
      <c r="R117" s="19">
        <f t="shared" si="96"/>
        <v>8.3649142310461944E-2</v>
      </c>
      <c r="S117" s="2"/>
      <c r="T117" s="2">
        <f>--217931</f>
        <v>217931</v>
      </c>
      <c r="U117" s="2"/>
      <c r="V117" s="19">
        <f t="shared" si="97"/>
        <v>7.9122611416573299E-2</v>
      </c>
      <c r="W117" s="2"/>
      <c r="X117" s="2">
        <f t="shared" si="98"/>
        <v>5443.1199999999953</v>
      </c>
      <c r="Y117" s="2"/>
      <c r="Z117" s="19">
        <f t="shared" si="99"/>
        <v>2.4976345724105314E-2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10"/>
      <c r="B119" s="29" t="s">
        <v>3</v>
      </c>
      <c r="C119" s="29"/>
      <c r="D119" s="21">
        <f>+D29-D31+D114</f>
        <v>-26680.800000000221</v>
      </c>
      <c r="E119" s="14"/>
      <c r="F119" s="20">
        <f>IF(D$12=0,0,D119/D$12)</f>
        <v>-4.7698701414975342E-2</v>
      </c>
      <c r="G119" s="14"/>
      <c r="H119" s="21">
        <f>+H29-H31+H114</f>
        <v>33879.960000000021</v>
      </c>
      <c r="I119" s="14"/>
      <c r="J119" s="20">
        <f>IF(H$12=0,0,H119/H$12)</f>
        <v>6.3273528199595613E-2</v>
      </c>
      <c r="K119" s="15"/>
      <c r="L119" s="21">
        <f>+D119-H119</f>
        <v>-60560.760000000242</v>
      </c>
      <c r="M119" s="15"/>
      <c r="N119" s="20">
        <f>IF(H119=0,0,L119/H119)</f>
        <v>-1.7875097845452061</v>
      </c>
      <c r="O119" s="28"/>
      <c r="P119" s="21">
        <f>+P29-P31+P114</f>
        <v>-104391.78999999911</v>
      </c>
      <c r="Q119" s="14"/>
      <c r="R119" s="20">
        <f>IF(P$12=0,0,P119/P$12)</f>
        <v>-3.9092638385117236E-2</v>
      </c>
      <c r="S119" s="14"/>
      <c r="T119" s="21">
        <f>+T29-T31+T114</f>
        <v>109298.24999999983</v>
      </c>
      <c r="U119" s="14"/>
      <c r="V119" s="20">
        <f>IF(T$12=0,0,T119/T$12)</f>
        <v>3.9682114812768572E-2</v>
      </c>
      <c r="W119" s="15"/>
      <c r="X119" s="21">
        <f>+P119-T119</f>
        <v>-213690.03999999893</v>
      </c>
      <c r="Y119" s="15"/>
      <c r="Z119" s="20">
        <f>IF(T119=0,0,X119/T119)</f>
        <v>-1.9551094367933546</v>
      </c>
    </row>
    <row r="120" spans="1:26" x14ac:dyDescent="0.2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51"/>
      <c r="B121" s="10" t="s">
        <v>13</v>
      </c>
      <c r="C121" s="10"/>
      <c r="D121" s="4">
        <v>70274.59</v>
      </c>
      <c r="E121" s="4"/>
      <c r="F121" s="12">
        <f>IF(D$12=0,0,D121/D$12)</f>
        <v>0.12563366486273966</v>
      </c>
      <c r="G121" s="4"/>
      <c r="H121" s="4">
        <v>86036.14</v>
      </c>
      <c r="I121" s="4"/>
      <c r="J121" s="12">
        <f>IF(H$12=0,0,H121/H$12)</f>
        <v>0.160679355302496</v>
      </c>
      <c r="K121" s="4"/>
      <c r="L121" s="4">
        <f>+D121-H121</f>
        <v>-15761.550000000003</v>
      </c>
      <c r="M121" s="4"/>
      <c r="N121" s="12">
        <f>IF(H121=0,0,L121/H121)</f>
        <v>-0.18319685192757373</v>
      </c>
      <c r="O121" s="10"/>
      <c r="P121" s="4">
        <v>282774.08</v>
      </c>
      <c r="Q121" s="4"/>
      <c r="R121" s="12">
        <f>IF(P$12=0,0,P121/P$12)</f>
        <v>0.10589323982397761</v>
      </c>
      <c r="S121" s="4"/>
      <c r="T121" s="4">
        <v>289818.8</v>
      </c>
      <c r="U121" s="4"/>
      <c r="V121" s="12">
        <f>IF(T$12=0,0,T121/T$12)</f>
        <v>0.10522238824957245</v>
      </c>
      <c r="W121" s="4"/>
      <c r="X121" s="4">
        <f>+P121-T121</f>
        <v>-7044.7199999999721</v>
      </c>
      <c r="Y121" s="4"/>
      <c r="Z121" s="12">
        <f>IF(T121=0,0,X121/T121)</f>
        <v>-2.4307325818752862E-2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9" t="s">
        <v>4</v>
      </c>
      <c r="C123" s="29"/>
      <c r="D123" s="31">
        <f>+D119-D121</f>
        <v>-96955.390000000218</v>
      </c>
      <c r="E123" s="14"/>
      <c r="F123" s="32">
        <f>IF(D$12=0,0,D123/D$12)</f>
        <v>-0.17333236627771501</v>
      </c>
      <c r="G123" s="14"/>
      <c r="H123" s="31">
        <f>+H119-H121</f>
        <v>-52156.179999999978</v>
      </c>
      <c r="I123" s="14"/>
      <c r="J123" s="32">
        <f>IF(H$12=0,0,H123/H$12)</f>
        <v>-9.7405827102900397E-2</v>
      </c>
      <c r="K123" s="15"/>
      <c r="L123" s="31">
        <f>D123-H123</f>
        <v>-44799.210000000239</v>
      </c>
      <c r="M123" s="15"/>
      <c r="N123" s="32">
        <f>IF(H123=0,0,L123/H123)</f>
        <v>0.8589434655682272</v>
      </c>
      <c r="O123" s="28"/>
      <c r="P123" s="31">
        <f>+P119-P121</f>
        <v>-387165.86999999912</v>
      </c>
      <c r="Q123" s="14"/>
      <c r="R123" s="32">
        <f>IF(P$12=0,0,P123/P$12)</f>
        <v>-0.14498587820909484</v>
      </c>
      <c r="S123" s="14"/>
      <c r="T123" s="31">
        <f>+T119-T121</f>
        <v>-180520.55000000016</v>
      </c>
      <c r="U123" s="14"/>
      <c r="V123" s="32">
        <f>IF(T$12=0,0,T123/T$12)</f>
        <v>-6.5540273436803867E-2</v>
      </c>
      <c r="W123" s="15"/>
      <c r="X123" s="31">
        <f>P123-T123</f>
        <v>-206645.31999999896</v>
      </c>
      <c r="Y123" s="15"/>
      <c r="Z123" s="32">
        <f>IF(T123=0,0,X123/T123)</f>
        <v>1.144719091538325</v>
      </c>
    </row>
    <row r="124" spans="1:26" ht="15.75" thickTop="1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9" t="s">
        <v>5</v>
      </c>
      <c r="C126" s="29"/>
      <c r="D126" s="34">
        <f>SUM(D123:D125)</f>
        <v>-96955.390000000218</v>
      </c>
      <c r="E126" s="14"/>
      <c r="F126" s="30">
        <f>IF(D$12=0,0,D126/D$12)</f>
        <v>-0.17333236627771501</v>
      </c>
      <c r="G126" s="14"/>
      <c r="H126" s="34">
        <f>SUM(H123:H125)</f>
        <v>-52156.179999999978</v>
      </c>
      <c r="I126" s="14"/>
      <c r="J126" s="30">
        <f>IF(H$12=0,0,H126/H$12)</f>
        <v>-9.7405827102900397E-2</v>
      </c>
      <c r="K126" s="15"/>
      <c r="L126" s="34">
        <f>+D126-H126</f>
        <v>-44799.210000000239</v>
      </c>
      <c r="M126" s="15"/>
      <c r="N126" s="30">
        <f>IF(H126=0,0,L126/H126)</f>
        <v>0.8589434655682272</v>
      </c>
      <c r="O126" s="28"/>
      <c r="P126" s="34">
        <f>SUM(P123:P125)</f>
        <v>-387165.86999999912</v>
      </c>
      <c r="Q126" s="14"/>
      <c r="R126" s="30">
        <f>IF(P$12=0,0,P126/P$12)</f>
        <v>-0.14498587820909484</v>
      </c>
      <c r="S126" s="14"/>
      <c r="T126" s="34">
        <f>SUM(T123:T125)</f>
        <v>-180520.55000000016</v>
      </c>
      <c r="U126" s="14"/>
      <c r="V126" s="30">
        <f>IF(T$12=0,0,T126/T$12)</f>
        <v>-6.5540273436803867E-2</v>
      </c>
      <c r="W126" s="15"/>
      <c r="X126" s="34">
        <f>+P126-T126</f>
        <v>-206645.31999999896</v>
      </c>
      <c r="Y126" s="15"/>
      <c r="Z126" s="30">
        <f>IF(T126=0,0,X126/T126)</f>
        <v>1.144719091538325</v>
      </c>
    </row>
    <row r="127" spans="1:26" ht="15.75" thickTop="1" x14ac:dyDescent="0.25">
      <c r="A127" s="9"/>
      <c r="C127" s="9"/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59">
        <v>43815.49141678241</v>
      </c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62" t="s">
        <v>313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61"/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","405", " - ", "Library Starbucks")</f>
        <v>Department 405 - Library Starbucks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99022.48</v>
      </c>
      <c r="E12" s="4"/>
      <c r="F12" s="12"/>
      <c r="G12" s="4"/>
      <c r="H12" s="4">
        <f>SUM(OSRRefH13x_0)</f>
        <v>91119.94</v>
      </c>
      <c r="I12" s="4"/>
      <c r="J12" s="12"/>
      <c r="K12" s="4"/>
      <c r="L12" s="4">
        <f t="shared" ref="L12:L14" si="0">+D12-H12</f>
        <v>7902.5399999999936</v>
      </c>
      <c r="M12" s="4"/>
      <c r="N12" s="12">
        <f t="shared" ref="N12:N14" si="1">IF(H12=0,0,L12/H12)</f>
        <v>8.6726791084366317E-2</v>
      </c>
      <c r="O12" s="10"/>
      <c r="P12" s="4">
        <f>SUM(OSRRefP13x_0)</f>
        <v>424855.71</v>
      </c>
      <c r="Q12" s="4"/>
      <c r="R12" s="12"/>
      <c r="S12" s="4"/>
      <c r="T12" s="4">
        <f>SUM(OSRRefT13x_0)</f>
        <v>379269.11</v>
      </c>
      <c r="U12" s="4"/>
      <c r="V12" s="12"/>
      <c r="W12" s="4"/>
      <c r="X12" s="4">
        <f t="shared" ref="X12:X14" si="2">+P12-T12</f>
        <v>45586.600000000035</v>
      </c>
      <c r="Y12" s="4"/>
      <c r="Z12" s="12">
        <f t="shared" ref="Z12:Z14" si="3">IF(T12=0,0,X12/T12)</f>
        <v>0.12019592104403135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--20274.14</f>
        <v>20274.14</v>
      </c>
      <c r="E13" s="2"/>
      <c r="F13" s="19"/>
      <c r="G13" s="2"/>
      <c r="H13" s="2">
        <f>--19144.4</f>
        <v>19144.400000000001</v>
      </c>
      <c r="I13" s="2"/>
      <c r="J13" s="19"/>
      <c r="K13" s="2"/>
      <c r="L13" s="2">
        <f t="shared" si="0"/>
        <v>1129.739999999998</v>
      </c>
      <c r="M13" s="2"/>
      <c r="N13" s="19">
        <f t="shared" si="1"/>
        <v>5.9011512504962178E-2</v>
      </c>
      <c r="O13" s="11"/>
      <c r="P13" s="2">
        <f>--94686.93</f>
        <v>94686.93</v>
      </c>
      <c r="Q13" s="2"/>
      <c r="R13" s="19"/>
      <c r="S13" s="2"/>
      <c r="T13" s="2">
        <f>--73432.88</f>
        <v>73432.88</v>
      </c>
      <c r="U13" s="2"/>
      <c r="V13" s="19"/>
      <c r="W13" s="2"/>
      <c r="X13" s="2">
        <f t="shared" si="2"/>
        <v>21254.049999999988</v>
      </c>
      <c r="Y13" s="2"/>
      <c r="Z13" s="19">
        <f t="shared" si="3"/>
        <v>0.28943505960817534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--78748.34</f>
        <v>78748.34</v>
      </c>
      <c r="E14" s="2"/>
      <c r="F14" s="19"/>
      <c r="G14" s="2"/>
      <c r="H14" s="2">
        <f>--71975.54</f>
        <v>71975.539999999994</v>
      </c>
      <c r="I14" s="2"/>
      <c r="J14" s="19"/>
      <c r="K14" s="2"/>
      <c r="L14" s="2">
        <f t="shared" si="0"/>
        <v>6772.8000000000029</v>
      </c>
      <c r="M14" s="2"/>
      <c r="N14" s="19">
        <f t="shared" si="1"/>
        <v>9.4098634063738931E-2</v>
      </c>
      <c r="O14" s="11"/>
      <c r="P14" s="2">
        <f>--330168.78</f>
        <v>330168.78000000003</v>
      </c>
      <c r="Q14" s="2"/>
      <c r="R14" s="19"/>
      <c r="S14" s="2"/>
      <c r="T14" s="2">
        <f>--305836.23</f>
        <v>305836.23</v>
      </c>
      <c r="U14" s="2"/>
      <c r="V14" s="19"/>
      <c r="W14" s="2"/>
      <c r="X14" s="2">
        <f t="shared" si="2"/>
        <v>24332.550000000047</v>
      </c>
      <c r="Y14" s="2"/>
      <c r="Z14" s="19">
        <f t="shared" si="3"/>
        <v>7.9560717839086775E-2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38412.68</v>
      </c>
      <c r="E16" s="4"/>
      <c r="F16" s="12">
        <f t="shared" ref="F16:F18" si="4">IF(D$12=0,0,D16/D$12)</f>
        <v>0.38791878369436922</v>
      </c>
      <c r="G16" s="4"/>
      <c r="H16" s="4">
        <f>SUM(OSRRefH16x_0)</f>
        <v>29249.67</v>
      </c>
      <c r="I16" s="4"/>
      <c r="J16" s="12">
        <f t="shared" ref="J16:J18" si="5">IF(H$12=0,0,H16/H$12)</f>
        <v>0.32100185755170602</v>
      </c>
      <c r="K16" s="4"/>
      <c r="L16" s="4">
        <f t="shared" ref="L16:L18" si="6">+D16-H16</f>
        <v>9163.010000000002</v>
      </c>
      <c r="M16" s="4"/>
      <c r="N16" s="12">
        <f t="shared" ref="N16:N18" si="7">IF(H16=0,0,L16/H16)</f>
        <v>0.3132688334603434</v>
      </c>
      <c r="O16" s="10"/>
      <c r="P16" s="4">
        <f>SUM(OSRRefP16x_0)</f>
        <v>163453.42000000001</v>
      </c>
      <c r="Q16" s="4"/>
      <c r="R16" s="12">
        <f t="shared" ref="R16:R18" si="8">IF(P$12=0,0,P16/P$12)</f>
        <v>0.38472689939838633</v>
      </c>
      <c r="S16" s="4"/>
      <c r="T16" s="4">
        <f>SUM(OSRRefT16x_0)</f>
        <v>121830.54000000001</v>
      </c>
      <c r="U16" s="4"/>
      <c r="V16" s="12">
        <f t="shared" ref="V16:V18" si="9">IF(T$12=0,0,T16/T$12)</f>
        <v>0.32122452577274224</v>
      </c>
      <c r="W16" s="4"/>
      <c r="X16" s="4">
        <f t="shared" ref="X16:X18" si="10">+P16-T16</f>
        <v>41622.880000000005</v>
      </c>
      <c r="Y16" s="4"/>
      <c r="Z16" s="12">
        <f t="shared" ref="Z16:Z18" si="11">IF(T16=0,0,X16/T16)</f>
        <v>0.34164569901766834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36925.68</v>
      </c>
      <c r="E17" s="2"/>
      <c r="F17" s="19">
        <f t="shared" si="4"/>
        <v>0.37290199154777787</v>
      </c>
      <c r="G17" s="2"/>
      <c r="H17" s="2">
        <v>35706.67</v>
      </c>
      <c r="I17" s="2"/>
      <c r="J17" s="19">
        <f t="shared" si="5"/>
        <v>0.39186450298364989</v>
      </c>
      <c r="K17" s="2"/>
      <c r="L17" s="2">
        <f t="shared" si="6"/>
        <v>1219.010000000002</v>
      </c>
      <c r="M17" s="2"/>
      <c r="N17" s="19">
        <f t="shared" si="7"/>
        <v>3.4139559919757347E-2</v>
      </c>
      <c r="O17" s="11"/>
      <c r="P17" s="2">
        <v>170765.42</v>
      </c>
      <c r="Q17" s="2"/>
      <c r="R17" s="19">
        <f t="shared" si="8"/>
        <v>0.40193744836335143</v>
      </c>
      <c r="S17" s="2"/>
      <c r="T17" s="2">
        <v>153274.54</v>
      </c>
      <c r="U17" s="2"/>
      <c r="V17" s="19">
        <f t="shared" si="9"/>
        <v>0.40413135675615663</v>
      </c>
      <c r="W17" s="2"/>
      <c r="X17" s="2">
        <f t="shared" si="10"/>
        <v>17490.880000000005</v>
      </c>
      <c r="Y17" s="2"/>
      <c r="Z17" s="19">
        <f t="shared" si="11"/>
        <v>0.11411471207155477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1487</v>
      </c>
      <c r="E18" s="2"/>
      <c r="F18" s="19">
        <f t="shared" si="4"/>
        <v>1.501679214659136E-2</v>
      </c>
      <c r="G18" s="2"/>
      <c r="H18" s="2">
        <v>-6457</v>
      </c>
      <c r="I18" s="2"/>
      <c r="J18" s="19">
        <f t="shared" si="5"/>
        <v>-7.0862645431943871E-2</v>
      </c>
      <c r="K18" s="2"/>
      <c r="L18" s="2">
        <f t="shared" si="6"/>
        <v>7944</v>
      </c>
      <c r="M18" s="2"/>
      <c r="N18" s="19">
        <f t="shared" si="7"/>
        <v>-1.2302927055908317</v>
      </c>
      <c r="O18" s="11"/>
      <c r="P18" s="2">
        <v>-7312</v>
      </c>
      <c r="Q18" s="2"/>
      <c r="R18" s="19">
        <f t="shared" si="8"/>
        <v>-1.7210548964965069E-2</v>
      </c>
      <c r="S18" s="2"/>
      <c r="T18" s="2">
        <v>-31444</v>
      </c>
      <c r="U18" s="2"/>
      <c r="V18" s="19">
        <f t="shared" si="9"/>
        <v>-8.2906830983414392E-2</v>
      </c>
      <c r="W18" s="2"/>
      <c r="X18" s="2">
        <f t="shared" si="10"/>
        <v>24132</v>
      </c>
      <c r="Y18" s="2"/>
      <c r="Z18" s="19">
        <f t="shared" si="11"/>
        <v>-0.76745961073654756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60609.799999999996</v>
      </c>
      <c r="E20" s="14"/>
      <c r="F20" s="20">
        <f>IF(D$12=0,0,D20/D$12)</f>
        <v>0.61208121630563084</v>
      </c>
      <c r="G20" s="14"/>
      <c r="H20" s="21">
        <f>H12-H16</f>
        <v>61870.270000000004</v>
      </c>
      <c r="I20" s="14"/>
      <c r="J20" s="20">
        <f>IF(H$12=0,0,H20/H$12)</f>
        <v>0.67899814244829404</v>
      </c>
      <c r="K20" s="15"/>
      <c r="L20" s="21">
        <f>+D20-H20</f>
        <v>-1260.4700000000084</v>
      </c>
      <c r="M20" s="15"/>
      <c r="N20" s="20">
        <f>IF(H20=0,0,L20/H20)</f>
        <v>-2.0372789709823608E-2</v>
      </c>
      <c r="O20" s="28"/>
      <c r="P20" s="21">
        <f>P12-P16</f>
        <v>261402.29</v>
      </c>
      <c r="Q20" s="14"/>
      <c r="R20" s="20">
        <f>IF(P$12=0,0,P20/P$12)</f>
        <v>0.61527310060161367</v>
      </c>
      <c r="S20" s="14"/>
      <c r="T20" s="21">
        <f>T12-T16</f>
        <v>257438.56999999998</v>
      </c>
      <c r="U20" s="14"/>
      <c r="V20" s="20">
        <f>IF(T$12=0,0,T20/T$12)</f>
        <v>0.6787754742272577</v>
      </c>
      <c r="W20" s="15"/>
      <c r="X20" s="21">
        <f>+P20-T20</f>
        <v>3963.7200000000303</v>
      </c>
      <c r="Y20" s="15"/>
      <c r="Z20" s="20">
        <f>IF(T20=0,0,X20/T20)</f>
        <v>1.5396760477655041E-2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56277.53</v>
      </c>
      <c r="E22" s="22"/>
      <c r="F22" s="33">
        <f t="shared" ref="F22:F31" si="12">IF(D$12=0,0,D22/D$12)</f>
        <v>0.56833084770246112</v>
      </c>
      <c r="G22" s="22"/>
      <c r="H22" s="22">
        <f>SUM(OSRRefH22x_0)</f>
        <v>54731.649999999994</v>
      </c>
      <c r="I22" s="22"/>
      <c r="J22" s="33">
        <f t="shared" ref="J22:J31" si="13">IF(H$12=0,0,H22/H$12)</f>
        <v>0.60065502677021065</v>
      </c>
      <c r="K22" s="4"/>
      <c r="L22" s="22">
        <f t="shared" ref="L22:L31" si="14">+D22-H22</f>
        <v>1545.8800000000047</v>
      </c>
      <c r="M22" s="4"/>
      <c r="N22" s="33">
        <f t="shared" ref="N22:N31" si="15">IF(H22=0,0,L22/H22)</f>
        <v>2.8244717635956613E-2</v>
      </c>
      <c r="O22" s="10"/>
      <c r="P22" s="22">
        <f>SUM(OSRRefP22x_0)</f>
        <v>282521.84000000003</v>
      </c>
      <c r="Q22" s="22"/>
      <c r="R22" s="33">
        <f t="shared" ref="R22:R31" si="16">IF(P$12=0,0,P22/P$12)</f>
        <v>0.66498303624070398</v>
      </c>
      <c r="S22" s="22"/>
      <c r="T22" s="22">
        <f>SUM(OSRRefT22x_0)</f>
        <v>229593.39999999991</v>
      </c>
      <c r="U22" s="22"/>
      <c r="V22" s="33">
        <f t="shared" ref="V22:V31" si="17">IF(T$12=0,0,T22/T$12)</f>
        <v>0.60535749932284211</v>
      </c>
      <c r="W22" s="4"/>
      <c r="X22" s="22">
        <f t="shared" ref="X22:X31" si="18">+P22-T22</f>
        <v>52928.440000000119</v>
      </c>
      <c r="Y22" s="4"/>
      <c r="Z22" s="33">
        <f t="shared" ref="Z22:Z31" si="19">IF(T22=0,0,X22/T22)</f>
        <v>0.230531191227623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5308.42</v>
      </c>
      <c r="E23" s="1"/>
      <c r="F23" s="5">
        <f t="shared" si="12"/>
        <v>5.3608231181444865E-2</v>
      </c>
      <c r="G23" s="1"/>
      <c r="H23" s="1">
        <f>SUM(OSRRefH22_0x_0)</f>
        <v>4841.16</v>
      </c>
      <c r="I23" s="1"/>
      <c r="J23" s="5">
        <f t="shared" si="13"/>
        <v>5.3129534545347593E-2</v>
      </c>
      <c r="K23" s="1"/>
      <c r="L23" s="1">
        <f t="shared" si="14"/>
        <v>467.26000000000022</v>
      </c>
      <c r="M23" s="1"/>
      <c r="N23" s="5">
        <f t="shared" si="15"/>
        <v>9.6518189855323983E-2</v>
      </c>
      <c r="O23" s="13"/>
      <c r="P23" s="1">
        <f>SUM(OSRRefP22_0x_0)</f>
        <v>25834.22</v>
      </c>
      <c r="Q23" s="1"/>
      <c r="R23" s="5">
        <f t="shared" si="16"/>
        <v>6.0807044349245068E-2</v>
      </c>
      <c r="S23" s="1"/>
      <c r="T23" s="1">
        <f>SUM(OSRRefT22_0x_0)</f>
        <v>14433.710000000003</v>
      </c>
      <c r="U23" s="1"/>
      <c r="V23" s="5">
        <f t="shared" si="17"/>
        <v>3.8056645319730902E-2</v>
      </c>
      <c r="W23" s="1"/>
      <c r="X23" s="1">
        <f t="shared" si="18"/>
        <v>11400.509999999998</v>
      </c>
      <c r="Y23" s="1"/>
      <c r="Z23" s="5">
        <f t="shared" si="19"/>
        <v>0.78985305926196359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761.34</v>
      </c>
      <c r="E24" s="2"/>
      <c r="F24" s="7">
        <f t="shared" si="12"/>
        <v>7.6885571841868641E-3</v>
      </c>
      <c r="G24" s="2"/>
      <c r="H24" s="6">
        <v>668.55</v>
      </c>
      <c r="I24" s="2"/>
      <c r="J24" s="7">
        <f t="shared" si="13"/>
        <v>7.3370329260532873E-3</v>
      </c>
      <c r="K24" s="2"/>
      <c r="L24" s="6">
        <f t="shared" si="14"/>
        <v>92.790000000000077</v>
      </c>
      <c r="M24" s="2"/>
      <c r="N24" s="7">
        <f t="shared" si="15"/>
        <v>0.13879291002916772</v>
      </c>
      <c r="O24" s="11"/>
      <c r="P24" s="6">
        <v>5674.28</v>
      </c>
      <c r="Q24" s="2"/>
      <c r="R24" s="7">
        <f t="shared" si="16"/>
        <v>1.3355781425180797E-2</v>
      </c>
      <c r="S24" s="2"/>
      <c r="T24" s="6">
        <v>3799.25</v>
      </c>
      <c r="U24" s="2"/>
      <c r="V24" s="7">
        <f t="shared" si="17"/>
        <v>1.0017293525433697E-2</v>
      </c>
      <c r="W24" s="2"/>
      <c r="X24" s="6">
        <f t="shared" si="18"/>
        <v>1875.0299999999997</v>
      </c>
      <c r="Y24" s="2"/>
      <c r="Z24" s="7">
        <f t="shared" si="19"/>
        <v>0.49352635388563526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1250.7</v>
      </c>
      <c r="E25" s="2"/>
      <c r="F25" s="7">
        <f t="shared" si="12"/>
        <v>1.2630465324641436E-2</v>
      </c>
      <c r="G25" s="2"/>
      <c r="H25" s="6">
        <v>1060.3599999999999</v>
      </c>
      <c r="I25" s="2"/>
      <c r="J25" s="7">
        <f t="shared" si="13"/>
        <v>1.1636969910208456E-2</v>
      </c>
      <c r="K25" s="2"/>
      <c r="L25" s="6">
        <f t="shared" si="14"/>
        <v>190.34000000000015</v>
      </c>
      <c r="M25" s="2"/>
      <c r="N25" s="7">
        <f t="shared" si="15"/>
        <v>0.17950507374853839</v>
      </c>
      <c r="O25" s="11"/>
      <c r="P25" s="6">
        <v>3631.89</v>
      </c>
      <c r="Q25" s="2"/>
      <c r="R25" s="7">
        <f t="shared" si="16"/>
        <v>8.5485258042077381E-3</v>
      </c>
      <c r="S25" s="2"/>
      <c r="T25" s="6">
        <v>4190.5</v>
      </c>
      <c r="U25" s="2"/>
      <c r="V25" s="7">
        <f t="shared" si="17"/>
        <v>1.104888294224647E-2</v>
      </c>
      <c r="W25" s="2"/>
      <c r="X25" s="6">
        <f t="shared" si="18"/>
        <v>-558.61000000000013</v>
      </c>
      <c r="Y25" s="2"/>
      <c r="Z25" s="7">
        <f t="shared" si="19"/>
        <v>-0.13330390168237682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1376.23</v>
      </c>
      <c r="E26" s="2"/>
      <c r="F26" s="7">
        <f t="shared" si="12"/>
        <v>1.3898157266915553E-2</v>
      </c>
      <c r="G26" s="2"/>
      <c r="H26" s="6">
        <v>1395.26</v>
      </c>
      <c r="I26" s="2"/>
      <c r="J26" s="7">
        <f t="shared" si="13"/>
        <v>1.5312345464669972E-2</v>
      </c>
      <c r="K26" s="2"/>
      <c r="L26" s="6">
        <f t="shared" si="14"/>
        <v>-19.029999999999973</v>
      </c>
      <c r="M26" s="2"/>
      <c r="N26" s="7">
        <f t="shared" si="15"/>
        <v>-1.3639035018562829E-2</v>
      </c>
      <c r="O26" s="11"/>
      <c r="P26" s="6">
        <v>6881.15</v>
      </c>
      <c r="Q26" s="2"/>
      <c r="R26" s="7">
        <f t="shared" si="16"/>
        <v>1.619643996311124E-2</v>
      </c>
      <c r="S26" s="2"/>
      <c r="T26" s="6">
        <v>4704.2700000000004</v>
      </c>
      <c r="U26" s="2"/>
      <c r="V26" s="7">
        <f t="shared" si="17"/>
        <v>1.2403514749724807E-2</v>
      </c>
      <c r="W26" s="2"/>
      <c r="X26" s="6">
        <f t="shared" si="18"/>
        <v>2176.8799999999992</v>
      </c>
      <c r="Y26" s="2"/>
      <c r="Z26" s="7">
        <f t="shared" si="19"/>
        <v>0.46274554819344954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83.81</v>
      </c>
      <c r="E27" s="2"/>
      <c r="F27" s="7">
        <f t="shared" si="12"/>
        <v>8.4637346994339072E-4</v>
      </c>
      <c r="G27" s="2"/>
      <c r="H27" s="6">
        <v>78.77</v>
      </c>
      <c r="I27" s="2"/>
      <c r="J27" s="7">
        <f t="shared" si="13"/>
        <v>8.6446501171971789E-4</v>
      </c>
      <c r="K27" s="2"/>
      <c r="L27" s="6">
        <f t="shared" si="14"/>
        <v>5.0400000000000063</v>
      </c>
      <c r="M27" s="2"/>
      <c r="N27" s="7">
        <f t="shared" si="15"/>
        <v>6.3983750158689942E-2</v>
      </c>
      <c r="O27" s="11"/>
      <c r="P27" s="6">
        <v>347.49</v>
      </c>
      <c r="Q27" s="2"/>
      <c r="R27" s="7">
        <f t="shared" si="16"/>
        <v>8.1790121168431515E-4</v>
      </c>
      <c r="S27" s="2"/>
      <c r="T27" s="6">
        <v>311.29000000000002</v>
      </c>
      <c r="U27" s="2"/>
      <c r="V27" s="7">
        <f t="shared" si="17"/>
        <v>8.2076286149430954E-4</v>
      </c>
      <c r="W27" s="2"/>
      <c r="X27" s="6">
        <f t="shared" si="18"/>
        <v>36.199999999999989</v>
      </c>
      <c r="Y27" s="2"/>
      <c r="Z27" s="7">
        <f t="shared" si="19"/>
        <v>0.11629027594847244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696.67</v>
      </c>
      <c r="E28" s="2"/>
      <c r="F28" s="7">
        <f t="shared" si="12"/>
        <v>7.035473157206323E-3</v>
      </c>
      <c r="G28" s="2"/>
      <c r="H28" s="6">
        <v>600.69000000000005</v>
      </c>
      <c r="I28" s="2"/>
      <c r="J28" s="7">
        <f t="shared" si="13"/>
        <v>6.5923002144206858E-3</v>
      </c>
      <c r="K28" s="2"/>
      <c r="L28" s="6">
        <f t="shared" si="14"/>
        <v>95.979999999999905</v>
      </c>
      <c r="M28" s="2"/>
      <c r="N28" s="7">
        <f t="shared" si="15"/>
        <v>0.15978291631290664</v>
      </c>
      <c r="O28" s="11"/>
      <c r="P28" s="6">
        <v>3483.35</v>
      </c>
      <c r="Q28" s="2"/>
      <c r="R28" s="7">
        <f t="shared" si="16"/>
        <v>8.1989012222526084E-3</v>
      </c>
      <c r="S28" s="2"/>
      <c r="T28" s="6">
        <v>2744.28</v>
      </c>
      <c r="U28" s="2"/>
      <c r="V28" s="7">
        <f t="shared" si="17"/>
        <v>7.2357065936637984E-3</v>
      </c>
      <c r="W28" s="2"/>
      <c r="X28" s="6">
        <f t="shared" si="18"/>
        <v>739.06999999999971</v>
      </c>
      <c r="Y28" s="2"/>
      <c r="Z28" s="7">
        <f t="shared" si="19"/>
        <v>0.26931289810077674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384</v>
      </c>
      <c r="E29" s="2"/>
      <c r="F29" s="7">
        <f t="shared" si="12"/>
        <v>3.8779073196308555E-3</v>
      </c>
      <c r="G29" s="2"/>
      <c r="H29" s="6">
        <v>338</v>
      </c>
      <c r="I29" s="2"/>
      <c r="J29" s="7">
        <f t="shared" si="13"/>
        <v>3.7093966479784775E-3</v>
      </c>
      <c r="K29" s="2"/>
      <c r="L29" s="6">
        <f t="shared" si="14"/>
        <v>46</v>
      </c>
      <c r="M29" s="2"/>
      <c r="N29" s="7">
        <f t="shared" si="15"/>
        <v>0.13609467455621302</v>
      </c>
      <c r="O29" s="11"/>
      <c r="P29" s="6">
        <v>2112</v>
      </c>
      <c r="Q29" s="2"/>
      <c r="R29" s="7">
        <f t="shared" si="16"/>
        <v>4.9710994822218585E-3</v>
      </c>
      <c r="S29" s="2"/>
      <c r="T29" s="6">
        <v>1880.82</v>
      </c>
      <c r="U29" s="2"/>
      <c r="V29" s="7">
        <f t="shared" si="17"/>
        <v>4.9590645544531691E-3</v>
      </c>
      <c r="W29" s="2"/>
      <c r="X29" s="6">
        <f t="shared" si="18"/>
        <v>231.18000000000006</v>
      </c>
      <c r="Y29" s="2"/>
      <c r="Z29" s="7">
        <f t="shared" si="19"/>
        <v>0.12291447347433571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460.04</v>
      </c>
      <c r="E30" s="2"/>
      <c r="F30" s="7">
        <f t="shared" si="12"/>
        <v>4.6458137586535908E-3</v>
      </c>
      <c r="G30" s="2"/>
      <c r="H30" s="6">
        <v>404.96</v>
      </c>
      <c r="I30" s="2"/>
      <c r="J30" s="7">
        <f t="shared" si="13"/>
        <v>4.4442522679448643E-3</v>
      </c>
      <c r="K30" s="2"/>
      <c r="L30" s="6">
        <f t="shared" si="14"/>
        <v>55.080000000000041</v>
      </c>
      <c r="M30" s="2"/>
      <c r="N30" s="7">
        <f t="shared" si="15"/>
        <v>0.13601343342552361</v>
      </c>
      <c r="O30" s="11"/>
      <c r="P30" s="6">
        <v>2530.2199999999998</v>
      </c>
      <c r="Q30" s="2"/>
      <c r="R30" s="7">
        <f t="shared" si="16"/>
        <v>5.9554807442743314E-3</v>
      </c>
      <c r="S30" s="2"/>
      <c r="T30" s="6">
        <v>-4639.59</v>
      </c>
      <c r="U30" s="2"/>
      <c r="V30" s="7">
        <f t="shared" si="17"/>
        <v>-1.2232976210480206E-2</v>
      </c>
      <c r="W30" s="2"/>
      <c r="X30" s="6">
        <f t="shared" si="18"/>
        <v>7169.8099999999995</v>
      </c>
      <c r="Y30" s="2"/>
      <c r="Z30" s="7">
        <f t="shared" si="19"/>
        <v>-1.5453542231102315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295.63</v>
      </c>
      <c r="E31" s="2"/>
      <c r="F31" s="7">
        <f t="shared" si="12"/>
        <v>2.9854837002668486E-3</v>
      </c>
      <c r="G31" s="2"/>
      <c r="H31" s="6">
        <v>294.57</v>
      </c>
      <c r="I31" s="2"/>
      <c r="J31" s="7">
        <f t="shared" si="13"/>
        <v>3.2327721023521303E-3</v>
      </c>
      <c r="K31" s="2"/>
      <c r="L31" s="6">
        <f t="shared" si="14"/>
        <v>1.0600000000000023</v>
      </c>
      <c r="M31" s="2"/>
      <c r="N31" s="7">
        <f t="shared" si="15"/>
        <v>3.5984655599687757E-3</v>
      </c>
      <c r="O31" s="11"/>
      <c r="P31" s="6">
        <v>1173.8399999999999</v>
      </c>
      <c r="Q31" s="2"/>
      <c r="R31" s="7">
        <f t="shared" si="16"/>
        <v>2.762914496312171E-3</v>
      </c>
      <c r="S31" s="2"/>
      <c r="T31" s="6">
        <v>1442.89</v>
      </c>
      <c r="U31" s="2"/>
      <c r="V31" s="7">
        <f t="shared" si="17"/>
        <v>3.804396303194848E-3</v>
      </c>
      <c r="W31" s="2"/>
      <c r="X31" s="6">
        <f t="shared" si="18"/>
        <v>-269.05000000000018</v>
      </c>
      <c r="Y31" s="2"/>
      <c r="Z31" s="7">
        <f t="shared" si="19"/>
        <v>-0.18646605077310133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26730.52</v>
      </c>
      <c r="E32" s="1"/>
      <c r="F32" s="5">
        <f t="shared" ref="F32:F36" si="20">IF(D$12=0,0,D32/D$12)</f>
        <v>0.26994395616025779</v>
      </c>
      <c r="G32" s="1"/>
      <c r="H32" s="1">
        <f>SUM(OSRRefH22_1x_0)</f>
        <v>25872.870000000003</v>
      </c>
      <c r="I32" s="1"/>
      <c r="J32" s="5">
        <f t="shared" ref="J32:J36" si="21">IF(H$12=0,0,H32/H$12)</f>
        <v>0.2839430096200678</v>
      </c>
      <c r="K32" s="1"/>
      <c r="L32" s="1">
        <f t="shared" ref="L32:L36" si="22">+D32-H32</f>
        <v>857.64999999999782</v>
      </c>
      <c r="M32" s="1"/>
      <c r="N32" s="5">
        <f t="shared" ref="N32:N36" si="23">IF(H32=0,0,L32/H32)</f>
        <v>3.3148622475975713E-2</v>
      </c>
      <c r="O32" s="13"/>
      <c r="P32" s="1">
        <f>SUM(OSRRefP22_1x_0)</f>
        <v>133789.21</v>
      </c>
      <c r="Q32" s="1"/>
      <c r="R32" s="5">
        <f t="shared" ref="R32:R36" si="24">IF(P$12=0,0,P32/P$12)</f>
        <v>0.31490505329444668</v>
      </c>
      <c r="S32" s="1"/>
      <c r="T32" s="1">
        <f>SUM(OSRRefT22_1x_0)</f>
        <v>121938.38999999998</v>
      </c>
      <c r="U32" s="1"/>
      <c r="V32" s="5">
        <f t="shared" ref="V32:V36" si="25">IF(T$12=0,0,T32/T$12)</f>
        <v>0.3215088885039965</v>
      </c>
      <c r="W32" s="1"/>
      <c r="X32" s="1">
        <f t="shared" ref="X32:X36" si="26">+P32-T32</f>
        <v>11850.820000000007</v>
      </c>
      <c r="Y32" s="1"/>
      <c r="Z32" s="5">
        <f t="shared" ref="Z32:Z36" si="27">IF(T32=0,0,X32/T32)</f>
        <v>9.7186948261331063E-2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8892.76</v>
      </c>
      <c r="E33" s="2"/>
      <c r="F33" s="7">
        <f t="shared" si="20"/>
        <v>8.9805466395105435E-2</v>
      </c>
      <c r="G33" s="2"/>
      <c r="H33" s="6">
        <v>8796.5</v>
      </c>
      <c r="I33" s="2"/>
      <c r="J33" s="7">
        <f t="shared" si="21"/>
        <v>9.6537596490954669E-2</v>
      </c>
      <c r="K33" s="2"/>
      <c r="L33" s="6">
        <f t="shared" si="22"/>
        <v>96.260000000000218</v>
      </c>
      <c r="M33" s="2"/>
      <c r="N33" s="7">
        <f t="shared" si="23"/>
        <v>1.0942988688683025E-2</v>
      </c>
      <c r="O33" s="11"/>
      <c r="P33" s="6">
        <v>53068.85</v>
      </c>
      <c r="Q33" s="2"/>
      <c r="R33" s="7">
        <f t="shared" si="24"/>
        <v>0.12491029013120712</v>
      </c>
      <c r="S33" s="2"/>
      <c r="T33" s="6">
        <v>38123.24</v>
      </c>
      <c r="U33" s="2"/>
      <c r="V33" s="7">
        <f t="shared" si="25"/>
        <v>0.10051765091019409</v>
      </c>
      <c r="W33" s="2"/>
      <c r="X33" s="6">
        <f t="shared" si="26"/>
        <v>14945.61</v>
      </c>
      <c r="Y33" s="2"/>
      <c r="Z33" s="7">
        <f t="shared" si="27"/>
        <v>0.39203409783638538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0"/>
        <v>0</v>
      </c>
      <c r="G34" s="2"/>
      <c r="H34" s="6"/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>
        <v>45.5</v>
      </c>
      <c r="Q34" s="2"/>
      <c r="R34" s="7">
        <f t="shared" si="24"/>
        <v>1.070951829740031E-4</v>
      </c>
      <c r="S34" s="2"/>
      <c r="T34" s="6"/>
      <c r="U34" s="2"/>
      <c r="V34" s="7">
        <f t="shared" si="25"/>
        <v>0</v>
      </c>
      <c r="W34" s="2"/>
      <c r="X34" s="6">
        <f t="shared" si="26"/>
        <v>45.5</v>
      </c>
      <c r="Y34" s="2"/>
      <c r="Z34" s="7">
        <f t="shared" si="27"/>
        <v>0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>
        <v>16256.76</v>
      </c>
      <c r="E35" s="2"/>
      <c r="F35" s="7">
        <f t="shared" si="20"/>
        <v>0.16417241822260967</v>
      </c>
      <c r="G35" s="2"/>
      <c r="H35" s="6">
        <v>16133.12</v>
      </c>
      <c r="I35" s="2"/>
      <c r="J35" s="7">
        <f t="shared" si="21"/>
        <v>0.17705367233560515</v>
      </c>
      <c r="K35" s="2"/>
      <c r="L35" s="6">
        <f t="shared" si="22"/>
        <v>123.63999999999942</v>
      </c>
      <c r="M35" s="2"/>
      <c r="N35" s="7">
        <f t="shared" si="23"/>
        <v>7.6637377023166886E-3</v>
      </c>
      <c r="O35" s="11"/>
      <c r="P35" s="6">
        <v>77377.86</v>
      </c>
      <c r="Q35" s="2"/>
      <c r="R35" s="7">
        <f t="shared" si="24"/>
        <v>0.18212738626014935</v>
      </c>
      <c r="S35" s="2"/>
      <c r="T35" s="6">
        <v>78927.34</v>
      </c>
      <c r="U35" s="2"/>
      <c r="V35" s="7">
        <f t="shared" si="25"/>
        <v>0.20810379205414328</v>
      </c>
      <c r="W35" s="2"/>
      <c r="X35" s="6">
        <f t="shared" si="26"/>
        <v>-1549.4799999999959</v>
      </c>
      <c r="Y35" s="2"/>
      <c r="Z35" s="7">
        <f t="shared" si="27"/>
        <v>-1.9631727104954963E-2</v>
      </c>
    </row>
    <row r="36" spans="1:26" s="24" customFormat="1" hidden="1" outlineLevel="2" x14ac:dyDescent="0.25">
      <c r="A36" s="26"/>
      <c r="B36" s="11" t="str">
        <f>CONCATENATE("          ", "6008", " - ", "STUDENT HOURLY-FICA EXEMPT")</f>
        <v xml:space="preserve">          6008 - STUDENT HOURLY-FICA EXEMPT</v>
      </c>
      <c r="C36" s="11"/>
      <c r="D36" s="6">
        <v>1581</v>
      </c>
      <c r="E36" s="2"/>
      <c r="F36" s="7">
        <f t="shared" si="20"/>
        <v>1.5966071542542665E-2</v>
      </c>
      <c r="G36" s="2"/>
      <c r="H36" s="6">
        <v>943.25</v>
      </c>
      <c r="I36" s="2"/>
      <c r="J36" s="7">
        <f t="shared" si="21"/>
        <v>1.0351740793507985E-2</v>
      </c>
      <c r="K36" s="2"/>
      <c r="L36" s="6">
        <f t="shared" si="22"/>
        <v>637.75</v>
      </c>
      <c r="M36" s="2"/>
      <c r="N36" s="7">
        <f t="shared" si="23"/>
        <v>0.67611979856877813</v>
      </c>
      <c r="O36" s="11"/>
      <c r="P36" s="6">
        <v>3297</v>
      </c>
      <c r="Q36" s="2"/>
      <c r="R36" s="7">
        <f t="shared" si="24"/>
        <v>7.7602817201162244E-3</v>
      </c>
      <c r="S36" s="2"/>
      <c r="T36" s="6">
        <v>4887.8100000000004</v>
      </c>
      <c r="U36" s="2"/>
      <c r="V36" s="7">
        <f t="shared" si="25"/>
        <v>1.2887445539659164E-2</v>
      </c>
      <c r="W36" s="2"/>
      <c r="X36" s="6">
        <f t="shared" si="26"/>
        <v>-1590.8100000000004</v>
      </c>
      <c r="Y36" s="2"/>
      <c r="Z36" s="7">
        <f t="shared" si="27"/>
        <v>-0.32546477870457324</v>
      </c>
    </row>
    <row r="37" spans="1:26" s="25" customFormat="1" outlineLevel="1" collapsed="1" x14ac:dyDescent="0.25">
      <c r="A37" s="27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5" si="28">IF(D$12=0,0,D37/D$12)</f>
        <v>0</v>
      </c>
      <c r="G37" s="1"/>
      <c r="H37" s="1">
        <f>SUM(OSRRefH22_2x_0)</f>
        <v>108.68</v>
      </c>
      <c r="I37" s="1"/>
      <c r="J37" s="5">
        <f t="shared" ref="J37:J45" si="29">IF(H$12=0,0,H37/H$12)</f>
        <v>1.1927136914269259E-3</v>
      </c>
      <c r="K37" s="1"/>
      <c r="L37" s="1">
        <f t="shared" ref="L37:L45" si="30">+D37-H37</f>
        <v>-108.68</v>
      </c>
      <c r="M37" s="1"/>
      <c r="N37" s="5">
        <f t="shared" ref="N37:N45" si="31">IF(H37=0,0,L37/H37)</f>
        <v>-1</v>
      </c>
      <c r="O37" s="13"/>
      <c r="P37" s="1">
        <f>SUM(OSRRefP22_2x_0)</f>
        <v>464.94</v>
      </c>
      <c r="Q37" s="1"/>
      <c r="R37" s="5">
        <f t="shared" ref="R37:R45" si="32">IF(P$12=0,0,P37/P$12)</f>
        <v>1.0943480081743516E-3</v>
      </c>
      <c r="S37" s="1"/>
      <c r="T37" s="1">
        <f>SUM(OSRRefT22_2x_0)</f>
        <v>789.16</v>
      </c>
      <c r="U37" s="1"/>
      <c r="V37" s="5">
        <f t="shared" ref="V37:V45" si="33">IF(T$12=0,0,T37/T$12)</f>
        <v>2.0807389244011988E-3</v>
      </c>
      <c r="W37" s="1"/>
      <c r="X37" s="1">
        <f t="shared" ref="X37:X45" si="34">+P37-T37</f>
        <v>-324.21999999999997</v>
      </c>
      <c r="Y37" s="1"/>
      <c r="Z37" s="5">
        <f t="shared" ref="Z37:Z45" si="35">IF(T37=0,0,X37/T37)</f>
        <v>-0.41084190785138625</v>
      </c>
    </row>
    <row r="38" spans="1:26" s="24" customFormat="1" hidden="1" outlineLevel="2" x14ac:dyDescent="0.25">
      <c r="A38" s="26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28"/>
        <v>0</v>
      </c>
      <c r="G38" s="2"/>
      <c r="H38" s="6">
        <v>108.68</v>
      </c>
      <c r="I38" s="2"/>
      <c r="J38" s="7">
        <f t="shared" si="29"/>
        <v>1.1927136914269259E-3</v>
      </c>
      <c r="K38" s="2"/>
      <c r="L38" s="6">
        <f t="shared" si="30"/>
        <v>-108.68</v>
      </c>
      <c r="M38" s="2"/>
      <c r="N38" s="7">
        <f t="shared" si="31"/>
        <v>-1</v>
      </c>
      <c r="O38" s="11"/>
      <c r="P38" s="6">
        <v>464.94</v>
      </c>
      <c r="Q38" s="2"/>
      <c r="R38" s="7">
        <f t="shared" si="32"/>
        <v>1.0943480081743516E-3</v>
      </c>
      <c r="S38" s="2"/>
      <c r="T38" s="6">
        <v>789.16</v>
      </c>
      <c r="U38" s="2"/>
      <c r="V38" s="7">
        <f t="shared" si="33"/>
        <v>2.0807389244011988E-3</v>
      </c>
      <c r="W38" s="2"/>
      <c r="X38" s="6">
        <f t="shared" si="34"/>
        <v>-324.21999999999997</v>
      </c>
      <c r="Y38" s="2"/>
      <c r="Z38" s="7">
        <f t="shared" si="35"/>
        <v>-0.41084190785138625</v>
      </c>
    </row>
    <row r="39" spans="1:26" s="25" customFormat="1" outlineLevel="1" collapsed="1" x14ac:dyDescent="0.25">
      <c r="A39" s="27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17.260000000000002</v>
      </c>
      <c r="E39" s="1"/>
      <c r="F39" s="5">
        <f t="shared" si="28"/>
        <v>1.7430385504382443E-4</v>
      </c>
      <c r="G39" s="1"/>
      <c r="H39" s="1">
        <f>SUM(OSRRefH22_3x_0)</f>
        <v>-3.45</v>
      </c>
      <c r="I39" s="1"/>
      <c r="J39" s="5">
        <f t="shared" si="29"/>
        <v>-3.786218472049038E-5</v>
      </c>
      <c r="K39" s="1"/>
      <c r="L39" s="1">
        <f t="shared" si="30"/>
        <v>20.71</v>
      </c>
      <c r="M39" s="1"/>
      <c r="N39" s="5">
        <f t="shared" si="31"/>
        <v>-6.0028985507246375</v>
      </c>
      <c r="O39" s="13"/>
      <c r="P39" s="1">
        <f>SUM(OSRRefP22_3x_0)</f>
        <v>11.32</v>
      </c>
      <c r="Q39" s="1"/>
      <c r="R39" s="5">
        <f t="shared" si="32"/>
        <v>2.6644340027817915E-5</v>
      </c>
      <c r="S39" s="1"/>
      <c r="T39" s="1">
        <f>SUM(OSRRefT22_3x_0)</f>
        <v>67.87</v>
      </c>
      <c r="U39" s="1"/>
      <c r="V39" s="5">
        <f t="shared" si="33"/>
        <v>1.7894945359510033E-4</v>
      </c>
      <c r="W39" s="1"/>
      <c r="X39" s="1">
        <f t="shared" si="34"/>
        <v>-56.550000000000004</v>
      </c>
      <c r="Y39" s="1"/>
      <c r="Z39" s="5">
        <f t="shared" si="35"/>
        <v>-0.83321054958007956</v>
      </c>
    </row>
    <row r="40" spans="1:26" s="24" customFormat="1" hidden="1" outlineLevel="2" x14ac:dyDescent="0.25">
      <c r="A40" s="26"/>
      <c r="B40" s="11" t="str">
        <f>CONCATENATE("          ", "6272", " - ", "CASH (OVER/SHORT)")</f>
        <v xml:space="preserve">          6272 - CASH (OVER/SHORT)</v>
      </c>
      <c r="C40" s="11"/>
      <c r="D40" s="6">
        <v>17.260000000000002</v>
      </c>
      <c r="E40" s="2"/>
      <c r="F40" s="7">
        <f t="shared" si="28"/>
        <v>1.7430385504382443E-4</v>
      </c>
      <c r="G40" s="2"/>
      <c r="H40" s="6">
        <v>-3.45</v>
      </c>
      <c r="I40" s="2"/>
      <c r="J40" s="7">
        <f t="shared" si="29"/>
        <v>-3.786218472049038E-5</v>
      </c>
      <c r="K40" s="2"/>
      <c r="L40" s="6">
        <f t="shared" si="30"/>
        <v>20.71</v>
      </c>
      <c r="M40" s="2"/>
      <c r="N40" s="7">
        <f t="shared" si="31"/>
        <v>-6.0028985507246375</v>
      </c>
      <c r="O40" s="11"/>
      <c r="P40" s="6">
        <v>11.32</v>
      </c>
      <c r="Q40" s="2"/>
      <c r="R40" s="7">
        <f t="shared" si="32"/>
        <v>2.6644340027817915E-5</v>
      </c>
      <c r="S40" s="2"/>
      <c r="T40" s="6">
        <v>67.87</v>
      </c>
      <c r="U40" s="2"/>
      <c r="V40" s="7">
        <f t="shared" si="33"/>
        <v>1.7894945359510033E-4</v>
      </c>
      <c r="W40" s="2"/>
      <c r="X40" s="6">
        <f t="shared" si="34"/>
        <v>-56.550000000000004</v>
      </c>
      <c r="Y40" s="2"/>
      <c r="Z40" s="7">
        <f t="shared" si="35"/>
        <v>-0.83321054958007956</v>
      </c>
    </row>
    <row r="41" spans="1:26" s="25" customFormat="1" outlineLevel="1" collapsed="1" x14ac:dyDescent="0.25">
      <c r="A41" s="27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2480.62</v>
      </c>
      <c r="E41" s="1"/>
      <c r="F41" s="5">
        <f t="shared" si="28"/>
        <v>2.5051079310475764E-2</v>
      </c>
      <c r="G41" s="1"/>
      <c r="H41" s="1">
        <f>SUM(OSRRefH22_4x_0)</f>
        <v>2405.91</v>
      </c>
      <c r="I41" s="1"/>
      <c r="J41" s="5">
        <f t="shared" si="29"/>
        <v>2.6403770678514491E-2</v>
      </c>
      <c r="K41" s="1"/>
      <c r="L41" s="1">
        <f t="shared" si="30"/>
        <v>74.710000000000036</v>
      </c>
      <c r="M41" s="1"/>
      <c r="N41" s="5">
        <f t="shared" si="31"/>
        <v>3.1052699394407954E-2</v>
      </c>
      <c r="O41" s="13"/>
      <c r="P41" s="1">
        <f>SUM(OSRRefP22_4x_0)</f>
        <v>12121.64</v>
      </c>
      <c r="Q41" s="1"/>
      <c r="R41" s="5">
        <f t="shared" si="32"/>
        <v>2.8531192389999887E-2</v>
      </c>
      <c r="S41" s="1"/>
      <c r="T41" s="1">
        <f>SUM(OSRRefT22_4x_0)</f>
        <v>10549.15</v>
      </c>
      <c r="U41" s="1"/>
      <c r="V41" s="5">
        <f t="shared" si="33"/>
        <v>2.7814419160052343E-2</v>
      </c>
      <c r="W41" s="1"/>
      <c r="X41" s="1">
        <f t="shared" si="34"/>
        <v>1572.4899999999998</v>
      </c>
      <c r="Y41" s="1"/>
      <c r="Z41" s="5">
        <f t="shared" si="35"/>
        <v>0.149063194664973</v>
      </c>
    </row>
    <row r="42" spans="1:26" s="24" customFormat="1" hidden="1" outlineLevel="2" x14ac:dyDescent="0.25">
      <c r="A42" s="26"/>
      <c r="B42" s="11" t="str">
        <f>CONCATENATE("          ", "6381", " - ", "BANK/CREDIT CARD FEES")</f>
        <v xml:space="preserve">          6381 - BANK/CREDIT CARD FEES</v>
      </c>
      <c r="C42" s="11"/>
      <c r="D42" s="6">
        <v>2480.62</v>
      </c>
      <c r="E42" s="2"/>
      <c r="F42" s="7">
        <f t="shared" si="28"/>
        <v>2.5051079310475764E-2</v>
      </c>
      <c r="G42" s="2"/>
      <c r="H42" s="6">
        <v>2405.91</v>
      </c>
      <c r="I42" s="2"/>
      <c r="J42" s="7">
        <f t="shared" si="29"/>
        <v>2.6403770678514491E-2</v>
      </c>
      <c r="K42" s="2"/>
      <c r="L42" s="6">
        <f t="shared" si="30"/>
        <v>74.710000000000036</v>
      </c>
      <c r="M42" s="2"/>
      <c r="N42" s="7">
        <f t="shared" si="31"/>
        <v>3.1052699394407954E-2</v>
      </c>
      <c r="O42" s="11"/>
      <c r="P42" s="6">
        <v>12121.64</v>
      </c>
      <c r="Q42" s="2"/>
      <c r="R42" s="7">
        <f t="shared" si="32"/>
        <v>2.8531192389999887E-2</v>
      </c>
      <c r="S42" s="2"/>
      <c r="T42" s="6">
        <v>10549.15</v>
      </c>
      <c r="U42" s="2"/>
      <c r="V42" s="7">
        <f t="shared" si="33"/>
        <v>2.7814419160052343E-2</v>
      </c>
      <c r="W42" s="2"/>
      <c r="X42" s="6">
        <f t="shared" si="34"/>
        <v>1572.4899999999998</v>
      </c>
      <c r="Y42" s="2"/>
      <c r="Z42" s="7">
        <f t="shared" si="35"/>
        <v>0.149063194664973</v>
      </c>
    </row>
    <row r="43" spans="1:26" s="25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SUM(OSRRefD22_5x_0)</f>
        <v>5612.57</v>
      </c>
      <c r="E43" s="1"/>
      <c r="F43" s="5">
        <f t="shared" si="28"/>
        <v>5.667975595036602E-2</v>
      </c>
      <c r="G43" s="1"/>
      <c r="H43" s="1">
        <f>SUM(OSRRefH22_5x_0)</f>
        <v>1313</v>
      </c>
      <c r="I43" s="1"/>
      <c r="J43" s="5">
        <f t="shared" si="29"/>
        <v>1.4409579286377932E-2</v>
      </c>
      <c r="K43" s="1"/>
      <c r="L43" s="1">
        <f t="shared" si="30"/>
        <v>4299.57</v>
      </c>
      <c r="M43" s="1"/>
      <c r="N43" s="5">
        <f t="shared" si="31"/>
        <v>3.2746153846153843</v>
      </c>
      <c r="O43" s="13"/>
      <c r="P43" s="1">
        <f>SUM(OSRRefP22_5x_0)</f>
        <v>28062.85</v>
      </c>
      <c r="Q43" s="1"/>
      <c r="R43" s="5">
        <f t="shared" si="32"/>
        <v>6.605266056092314E-2</v>
      </c>
      <c r="S43" s="1"/>
      <c r="T43" s="1">
        <f>SUM(OSRRefT22_5x_0)</f>
        <v>6565</v>
      </c>
      <c r="U43" s="1"/>
      <c r="V43" s="5">
        <f t="shared" si="33"/>
        <v>1.7309609000321698E-2</v>
      </c>
      <c r="W43" s="1"/>
      <c r="X43" s="1">
        <f t="shared" si="34"/>
        <v>21497.85</v>
      </c>
      <c r="Y43" s="1"/>
      <c r="Z43" s="5">
        <f t="shared" si="35"/>
        <v>3.2746153846153843</v>
      </c>
    </row>
    <row r="44" spans="1:26" s="24" customFormat="1" hidden="1" outlineLevel="2" x14ac:dyDescent="0.25">
      <c r="A44" s="26"/>
      <c r="B44" s="11" t="str">
        <f>CONCATENATE("          ", "6321", " - ", "BUILDING DEPRECIATION")</f>
        <v xml:space="preserve">          6321 - BUILDING DEPRECIATION</v>
      </c>
      <c r="C44" s="11"/>
      <c r="D44" s="6">
        <v>4626.5</v>
      </c>
      <c r="E44" s="2"/>
      <c r="F44" s="7">
        <f t="shared" si="28"/>
        <v>4.6721714099667071E-2</v>
      </c>
      <c r="G44" s="2"/>
      <c r="H44" s="6">
        <v>326.93</v>
      </c>
      <c r="I44" s="2"/>
      <c r="J44" s="7">
        <f t="shared" si="29"/>
        <v>3.5879084204840346E-3</v>
      </c>
      <c r="K44" s="2"/>
      <c r="L44" s="6">
        <f t="shared" si="30"/>
        <v>4299.57</v>
      </c>
      <c r="M44" s="2"/>
      <c r="N44" s="7">
        <f t="shared" si="31"/>
        <v>13.151347383231883</v>
      </c>
      <c r="O44" s="11"/>
      <c r="P44" s="6">
        <v>23132.5</v>
      </c>
      <c r="Q44" s="2"/>
      <c r="R44" s="7">
        <f t="shared" si="32"/>
        <v>5.4447897146068715E-2</v>
      </c>
      <c r="S44" s="2"/>
      <c r="T44" s="6">
        <v>1634.65</v>
      </c>
      <c r="U44" s="2"/>
      <c r="V44" s="7">
        <f t="shared" si="33"/>
        <v>4.310000358320772E-3</v>
      </c>
      <c r="W44" s="2"/>
      <c r="X44" s="6">
        <f t="shared" si="34"/>
        <v>21497.85</v>
      </c>
      <c r="Y44" s="2"/>
      <c r="Z44" s="7">
        <f t="shared" si="35"/>
        <v>13.151347383231883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986.07</v>
      </c>
      <c r="E45" s="2"/>
      <c r="F45" s="7">
        <f t="shared" si="28"/>
        <v>9.9580418506989531E-3</v>
      </c>
      <c r="G45" s="2"/>
      <c r="H45" s="6">
        <v>986.07</v>
      </c>
      <c r="I45" s="2"/>
      <c r="J45" s="7">
        <f t="shared" si="29"/>
        <v>1.0821670865893898E-2</v>
      </c>
      <c r="K45" s="2"/>
      <c r="L45" s="6">
        <f t="shared" si="30"/>
        <v>0</v>
      </c>
      <c r="M45" s="2"/>
      <c r="N45" s="7">
        <f t="shared" si="31"/>
        <v>0</v>
      </c>
      <c r="O45" s="11"/>
      <c r="P45" s="6">
        <v>4930.3500000000004</v>
      </c>
      <c r="Q45" s="2"/>
      <c r="R45" s="7">
        <f t="shared" si="32"/>
        <v>1.1604763414854422E-2</v>
      </c>
      <c r="S45" s="2"/>
      <c r="T45" s="6">
        <v>4930.3500000000004</v>
      </c>
      <c r="U45" s="2"/>
      <c r="V45" s="7">
        <f t="shared" si="33"/>
        <v>1.2999608642000927E-2</v>
      </c>
      <c r="W45" s="2"/>
      <c r="X45" s="6">
        <f t="shared" si="34"/>
        <v>0</v>
      </c>
      <c r="Y45" s="2"/>
      <c r="Z45" s="7">
        <f t="shared" si="35"/>
        <v>0</v>
      </c>
    </row>
    <row r="46" spans="1:26" s="25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186.48</v>
      </c>
      <c r="E46" s="1"/>
      <c r="F46" s="5">
        <f t="shared" ref="F46:F56" si="36">IF(D$12=0,0,D46/D$12)</f>
        <v>1.8832087420957342E-3</v>
      </c>
      <c r="G46" s="1"/>
      <c r="H46" s="1">
        <f>SUM(OSRRefH22_6x_0)</f>
        <v>0</v>
      </c>
      <c r="I46" s="1"/>
      <c r="J46" s="5">
        <f t="shared" ref="J46:J56" si="37">IF(H$12=0,0,H46/H$12)</f>
        <v>0</v>
      </c>
      <c r="K46" s="1"/>
      <c r="L46" s="1">
        <f t="shared" ref="L46:L56" si="38">+D46-H46</f>
        <v>186.48</v>
      </c>
      <c r="M46" s="1"/>
      <c r="N46" s="5">
        <f t="shared" ref="N46:N56" si="39">IF(H46=0,0,L46/H46)</f>
        <v>0</v>
      </c>
      <c r="O46" s="13"/>
      <c r="P46" s="1">
        <f>SUM(OSRRefP22_6x_0)</f>
        <v>186.48</v>
      </c>
      <c r="Q46" s="1"/>
      <c r="R46" s="5">
        <f t="shared" ref="R46:R56" si="40">IF(P$12=0,0,P46/P$12)</f>
        <v>4.3892548837345268E-4</v>
      </c>
      <c r="S46" s="1"/>
      <c r="T46" s="1">
        <f>SUM(OSRRefT22_6x_0)</f>
        <v>92.52</v>
      </c>
      <c r="U46" s="1"/>
      <c r="V46" s="5">
        <f t="shared" ref="V46:V56" si="41">IF(T$12=0,0,T46/T$12)</f>
        <v>2.4394288266713838E-4</v>
      </c>
      <c r="W46" s="1"/>
      <c r="X46" s="1">
        <f t="shared" ref="X46:X56" si="42">+P46-T46</f>
        <v>93.96</v>
      </c>
      <c r="Y46" s="1"/>
      <c r="Z46" s="5">
        <f t="shared" ref="Z46:Z56" si="43">IF(T46=0,0,X46/T46)</f>
        <v>1.0155642023346303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6">
        <v>186.48</v>
      </c>
      <c r="E47" s="2"/>
      <c r="F47" s="7">
        <f t="shared" si="36"/>
        <v>1.8832087420957342E-3</v>
      </c>
      <c r="G47" s="2"/>
      <c r="H47" s="6"/>
      <c r="I47" s="2"/>
      <c r="J47" s="7">
        <f t="shared" si="37"/>
        <v>0</v>
      </c>
      <c r="K47" s="2"/>
      <c r="L47" s="6">
        <f t="shared" si="38"/>
        <v>186.48</v>
      </c>
      <c r="M47" s="2"/>
      <c r="N47" s="7">
        <f t="shared" si="39"/>
        <v>0</v>
      </c>
      <c r="O47" s="11"/>
      <c r="P47" s="6">
        <v>186.48</v>
      </c>
      <c r="Q47" s="2"/>
      <c r="R47" s="7">
        <f t="shared" si="40"/>
        <v>4.3892548837345268E-4</v>
      </c>
      <c r="S47" s="2"/>
      <c r="T47" s="6">
        <v>92.52</v>
      </c>
      <c r="U47" s="2"/>
      <c r="V47" s="7">
        <f t="shared" si="41"/>
        <v>2.4394288266713838E-4</v>
      </c>
      <c r="W47" s="2"/>
      <c r="X47" s="6">
        <f t="shared" si="42"/>
        <v>93.96</v>
      </c>
      <c r="Y47" s="2"/>
      <c r="Z47" s="7">
        <f t="shared" si="43"/>
        <v>1.0155642023346303</v>
      </c>
    </row>
    <row r="48" spans="1:26" s="25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327.23</v>
      </c>
      <c r="E48" s="1"/>
      <c r="F48" s="5">
        <f t="shared" si="36"/>
        <v>3.3046031567781379E-3</v>
      </c>
      <c r="G48" s="1"/>
      <c r="H48" s="1">
        <f>SUM(OSRRefH22_7x_0)</f>
        <v>329.45</v>
      </c>
      <c r="I48" s="1"/>
      <c r="J48" s="5">
        <f t="shared" si="37"/>
        <v>3.6155642771494361E-3</v>
      </c>
      <c r="K48" s="1"/>
      <c r="L48" s="1">
        <f t="shared" si="38"/>
        <v>-2.2199999999999704</v>
      </c>
      <c r="M48" s="1"/>
      <c r="N48" s="5">
        <f t="shared" si="39"/>
        <v>-6.7385035665502215E-3</v>
      </c>
      <c r="O48" s="13"/>
      <c r="P48" s="1">
        <f>SUM(OSRRefP22_7x_0)</f>
        <v>1935.51</v>
      </c>
      <c r="Q48" s="1"/>
      <c r="R48" s="5">
        <f t="shared" si="40"/>
        <v>4.5556878592969835E-3</v>
      </c>
      <c r="S48" s="1"/>
      <c r="T48" s="1">
        <f>SUM(OSRRefT22_7x_0)</f>
        <v>957.47</v>
      </c>
      <c r="U48" s="1"/>
      <c r="V48" s="5">
        <f t="shared" si="41"/>
        <v>2.5245135307750215E-3</v>
      </c>
      <c r="W48" s="1"/>
      <c r="X48" s="1">
        <f t="shared" si="42"/>
        <v>978.04</v>
      </c>
      <c r="Y48" s="1"/>
      <c r="Z48" s="5">
        <f t="shared" si="43"/>
        <v>1.021483701839222</v>
      </c>
    </row>
    <row r="49" spans="1:26" s="24" customFormat="1" hidden="1" outlineLevel="2" x14ac:dyDescent="0.25">
      <c r="A49" s="26"/>
      <c r="B49" s="11" t="str">
        <f>CONCATENATE("          ", "6351", " - ", "EQUIPMENT RENTAL")</f>
        <v xml:space="preserve">          6351 - EQUIPMENT RENTAL</v>
      </c>
      <c r="C49" s="11"/>
      <c r="D49" s="6">
        <v>327.23</v>
      </c>
      <c r="E49" s="2"/>
      <c r="F49" s="7">
        <f t="shared" si="36"/>
        <v>3.3046031567781379E-3</v>
      </c>
      <c r="G49" s="2"/>
      <c r="H49" s="6">
        <v>329.45</v>
      </c>
      <c r="I49" s="2"/>
      <c r="J49" s="7">
        <f t="shared" si="37"/>
        <v>3.6155642771494361E-3</v>
      </c>
      <c r="K49" s="2"/>
      <c r="L49" s="6">
        <f t="shared" si="38"/>
        <v>-2.2199999999999704</v>
      </c>
      <c r="M49" s="2"/>
      <c r="N49" s="7">
        <f t="shared" si="39"/>
        <v>-6.7385035665502215E-3</v>
      </c>
      <c r="O49" s="11"/>
      <c r="P49" s="6">
        <v>1935.51</v>
      </c>
      <c r="Q49" s="2"/>
      <c r="R49" s="7">
        <f t="shared" si="40"/>
        <v>4.5556878592969835E-3</v>
      </c>
      <c r="S49" s="2"/>
      <c r="T49" s="6">
        <v>957.47</v>
      </c>
      <c r="U49" s="2"/>
      <c r="V49" s="7">
        <f t="shared" si="41"/>
        <v>2.5245135307750215E-3</v>
      </c>
      <c r="W49" s="2"/>
      <c r="X49" s="6">
        <f t="shared" si="42"/>
        <v>978.04</v>
      </c>
      <c r="Y49" s="2"/>
      <c r="Z49" s="7">
        <f t="shared" si="43"/>
        <v>1.021483701839222</v>
      </c>
    </row>
    <row r="50" spans="1:26" s="25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1033.96</v>
      </c>
      <c r="E50" s="1"/>
      <c r="F50" s="5">
        <f t="shared" si="36"/>
        <v>1.0441669406785207E-2</v>
      </c>
      <c r="G50" s="1"/>
      <c r="H50" s="1">
        <f>SUM(OSRRefH22_8x_0)</f>
        <v>791.37</v>
      </c>
      <c r="I50" s="1"/>
      <c r="J50" s="5">
        <f t="shared" si="37"/>
        <v>8.6849267021027448E-3</v>
      </c>
      <c r="K50" s="1"/>
      <c r="L50" s="1">
        <f t="shared" si="38"/>
        <v>242.59000000000003</v>
      </c>
      <c r="M50" s="1"/>
      <c r="N50" s="5">
        <f t="shared" si="39"/>
        <v>0.30654434714482481</v>
      </c>
      <c r="O50" s="13"/>
      <c r="P50" s="1">
        <f>SUM(OSRRefP22_8x_0)</f>
        <v>5721.78</v>
      </c>
      <c r="Q50" s="1"/>
      <c r="R50" s="5">
        <f t="shared" si="40"/>
        <v>1.3467584088725086E-2</v>
      </c>
      <c r="S50" s="1"/>
      <c r="T50" s="1">
        <f>SUM(OSRRefT22_8x_0)</f>
        <v>4247.6099999999997</v>
      </c>
      <c r="U50" s="1"/>
      <c r="V50" s="5">
        <f t="shared" si="41"/>
        <v>1.1199462038972801E-2</v>
      </c>
      <c r="W50" s="1"/>
      <c r="X50" s="1">
        <f t="shared" si="42"/>
        <v>1474.17</v>
      </c>
      <c r="Y50" s="1"/>
      <c r="Z50" s="5">
        <f t="shared" si="43"/>
        <v>0.34705869889184748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6">
        <v>1033.96</v>
      </c>
      <c r="E51" s="2"/>
      <c r="F51" s="7">
        <f t="shared" si="36"/>
        <v>1.0441669406785207E-2</v>
      </c>
      <c r="G51" s="2"/>
      <c r="H51" s="6">
        <v>791.37</v>
      </c>
      <c r="I51" s="2"/>
      <c r="J51" s="7">
        <f t="shared" si="37"/>
        <v>8.6849267021027448E-3</v>
      </c>
      <c r="K51" s="2"/>
      <c r="L51" s="6">
        <f t="shared" si="38"/>
        <v>242.59000000000003</v>
      </c>
      <c r="M51" s="2"/>
      <c r="N51" s="7">
        <f t="shared" si="39"/>
        <v>0.30654434714482481</v>
      </c>
      <c r="O51" s="11"/>
      <c r="P51" s="6">
        <v>5721.78</v>
      </c>
      <c r="Q51" s="2"/>
      <c r="R51" s="7">
        <f t="shared" si="40"/>
        <v>1.3467584088725086E-2</v>
      </c>
      <c r="S51" s="2"/>
      <c r="T51" s="6">
        <v>4247.6099999999997</v>
      </c>
      <c r="U51" s="2"/>
      <c r="V51" s="7">
        <f t="shared" si="41"/>
        <v>1.1199462038972801E-2</v>
      </c>
      <c r="W51" s="2"/>
      <c r="X51" s="6">
        <f t="shared" si="42"/>
        <v>1474.17</v>
      </c>
      <c r="Y51" s="2"/>
      <c r="Z51" s="7">
        <f t="shared" si="43"/>
        <v>0.34705869889184748</v>
      </c>
    </row>
    <row r="52" spans="1:26" s="25" customFormat="1" outlineLevel="1" collapsed="1" x14ac:dyDescent="0.25">
      <c r="A52" s="27"/>
      <c r="B52" s="13" t="str">
        <f>CONCATENATE("     ","Rent                                              ")</f>
        <v xml:space="preserve">     Rent                                              </v>
      </c>
      <c r="C52" s="13"/>
      <c r="D52" s="1">
        <f>SUM(OSRRefD22_9x_0)</f>
        <v>1850</v>
      </c>
      <c r="E52" s="1"/>
      <c r="F52" s="5">
        <f t="shared" si="36"/>
        <v>1.8682626409679905E-2</v>
      </c>
      <c r="G52" s="1"/>
      <c r="H52" s="1">
        <f>SUM(OSRRefH22_9x_0)</f>
        <v>1850</v>
      </c>
      <c r="I52" s="1"/>
      <c r="J52" s="5">
        <f t="shared" si="37"/>
        <v>2.0302910647219476E-2</v>
      </c>
      <c r="K52" s="1"/>
      <c r="L52" s="1">
        <f t="shared" si="38"/>
        <v>0</v>
      </c>
      <c r="M52" s="1"/>
      <c r="N52" s="5">
        <f t="shared" si="39"/>
        <v>0</v>
      </c>
      <c r="O52" s="13"/>
      <c r="P52" s="1">
        <f>SUM(OSRRefP22_9x_0)</f>
        <v>9250</v>
      </c>
      <c r="Q52" s="1"/>
      <c r="R52" s="5">
        <f t="shared" si="40"/>
        <v>2.1772097637572058E-2</v>
      </c>
      <c r="S52" s="1"/>
      <c r="T52" s="1">
        <f>SUM(OSRRefT22_9x_0)</f>
        <v>9250</v>
      </c>
      <c r="U52" s="1"/>
      <c r="V52" s="5">
        <f t="shared" si="41"/>
        <v>2.4389014966180612E-2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6"/>
      <c r="B53" s="11" t="str">
        <f>CONCATENATE("          ", "6273", " - ", "RENT")</f>
        <v xml:space="preserve">          6273 - RENT</v>
      </c>
      <c r="C53" s="11"/>
      <c r="D53" s="6">
        <v>1850</v>
      </c>
      <c r="E53" s="2"/>
      <c r="F53" s="7">
        <f t="shared" si="36"/>
        <v>1.8682626409679905E-2</v>
      </c>
      <c r="G53" s="2"/>
      <c r="H53" s="6">
        <v>1850</v>
      </c>
      <c r="I53" s="2"/>
      <c r="J53" s="7">
        <f t="shared" si="37"/>
        <v>2.0302910647219476E-2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>
        <v>9250</v>
      </c>
      <c r="Q53" s="2"/>
      <c r="R53" s="7">
        <f t="shared" si="40"/>
        <v>2.1772097637572058E-2</v>
      </c>
      <c r="S53" s="2"/>
      <c r="T53" s="6">
        <v>9250</v>
      </c>
      <c r="U53" s="2"/>
      <c r="V53" s="7">
        <f t="shared" si="41"/>
        <v>2.4389014966180612E-2</v>
      </c>
      <c r="W53" s="2"/>
      <c r="X53" s="6">
        <f t="shared" si="42"/>
        <v>0</v>
      </c>
      <c r="Y53" s="2"/>
      <c r="Z53" s="7">
        <f t="shared" si="43"/>
        <v>0</v>
      </c>
    </row>
    <row r="54" spans="1:26" s="25" customFormat="1" outlineLevel="1" collapsed="1" x14ac:dyDescent="0.25">
      <c r="A54" s="27"/>
      <c r="B54" s="13" t="str">
        <f>CONCATENATE("     ","Repair and Maintenance                            ")</f>
        <v xml:space="preserve">     Repair and Maintenance                            </v>
      </c>
      <c r="C54" s="13"/>
      <c r="D54" s="1">
        <f>SUM(OSRRefD22_10x_0)</f>
        <v>2586.9499999999998</v>
      </c>
      <c r="E54" s="1"/>
      <c r="F54" s="5">
        <f t="shared" si="36"/>
        <v>2.6124875886768338E-2</v>
      </c>
      <c r="G54" s="1"/>
      <c r="H54" s="1">
        <f>SUM(OSRRefH22_10x_0)</f>
        <v>8062.57</v>
      </c>
      <c r="I54" s="1"/>
      <c r="J54" s="5">
        <f t="shared" si="37"/>
        <v>8.848304772808234E-2</v>
      </c>
      <c r="K54" s="1"/>
      <c r="L54" s="1">
        <f t="shared" si="38"/>
        <v>-5475.62</v>
      </c>
      <c r="M54" s="1"/>
      <c r="N54" s="5">
        <f t="shared" si="39"/>
        <v>-0.67914077025067687</v>
      </c>
      <c r="O54" s="13"/>
      <c r="P54" s="1">
        <f>SUM(OSRRefP22_10x_0)</f>
        <v>15691.619999999999</v>
      </c>
      <c r="Q54" s="1"/>
      <c r="R54" s="5">
        <f t="shared" si="40"/>
        <v>3.6933998133154428E-2</v>
      </c>
      <c r="S54" s="1"/>
      <c r="T54" s="1">
        <f>SUM(OSRRefT22_10x_0)</f>
        <v>21361</v>
      </c>
      <c r="U54" s="1"/>
      <c r="V54" s="5">
        <f t="shared" si="41"/>
        <v>5.6321486345144216E-2</v>
      </c>
      <c r="W54" s="1"/>
      <c r="X54" s="1">
        <f t="shared" si="42"/>
        <v>-5669.380000000001</v>
      </c>
      <c r="Y54" s="1"/>
      <c r="Z54" s="5">
        <f t="shared" si="43"/>
        <v>-0.26540798651748521</v>
      </c>
    </row>
    <row r="55" spans="1:26" s="24" customFormat="1" hidden="1" outlineLevel="2" x14ac:dyDescent="0.25">
      <c r="A55" s="26"/>
      <c r="B55" s="11" t="str">
        <f>CONCATENATE("          ", "6373", " - ", "MAINTENANCE CONTRACTS")</f>
        <v xml:space="preserve">          6373 - MAINTENANCE CONTRACTS</v>
      </c>
      <c r="C55" s="11"/>
      <c r="D55" s="6">
        <v>1799</v>
      </c>
      <c r="E55" s="2"/>
      <c r="F55" s="7">
        <f t="shared" si="36"/>
        <v>1.8167591843791429E-2</v>
      </c>
      <c r="G55" s="2"/>
      <c r="H55" s="6">
        <v>1799</v>
      </c>
      <c r="I55" s="2"/>
      <c r="J55" s="7">
        <f t="shared" si="37"/>
        <v>1.9743208786133969E-2</v>
      </c>
      <c r="K55" s="2"/>
      <c r="L55" s="6">
        <f t="shared" si="38"/>
        <v>0</v>
      </c>
      <c r="M55" s="2"/>
      <c r="N55" s="7">
        <f t="shared" si="39"/>
        <v>0</v>
      </c>
      <c r="O55" s="11"/>
      <c r="P55" s="6">
        <v>9051.06</v>
      </c>
      <c r="Q55" s="2"/>
      <c r="R55" s="7">
        <f t="shared" si="40"/>
        <v>2.1303844545245722E-2</v>
      </c>
      <c r="S55" s="2"/>
      <c r="T55" s="6">
        <v>9051.2199999999993</v>
      </c>
      <c r="U55" s="2"/>
      <c r="V55" s="7">
        <f t="shared" si="41"/>
        <v>2.3864901626183054E-2</v>
      </c>
      <c r="W55" s="2"/>
      <c r="X55" s="6">
        <f t="shared" si="42"/>
        <v>-0.15999999999985448</v>
      </c>
      <c r="Y55" s="2"/>
      <c r="Z55" s="7">
        <f t="shared" si="43"/>
        <v>-1.7677175010645472E-5</v>
      </c>
    </row>
    <row r="56" spans="1:26" s="24" customFormat="1" hidden="1" outlineLevel="2" x14ac:dyDescent="0.25">
      <c r="A56" s="26"/>
      <c r="B56" s="11" t="str">
        <f>CONCATENATE("          ", "6375", " - ", "OUTSIDE REPAIRS &amp; MAINTENANCE")</f>
        <v xml:space="preserve">          6375 - OUTSIDE REPAIRS &amp; MAINTENANCE</v>
      </c>
      <c r="C56" s="11"/>
      <c r="D56" s="6">
        <v>787.95</v>
      </c>
      <c r="E56" s="2"/>
      <c r="F56" s="7">
        <f t="shared" si="36"/>
        <v>7.9572840429769087E-3</v>
      </c>
      <c r="G56" s="2"/>
      <c r="H56" s="6">
        <v>6263.57</v>
      </c>
      <c r="I56" s="2"/>
      <c r="J56" s="7">
        <f t="shared" si="37"/>
        <v>6.8739838941948378E-2</v>
      </c>
      <c r="K56" s="2"/>
      <c r="L56" s="6">
        <f t="shared" si="38"/>
        <v>-5475.62</v>
      </c>
      <c r="M56" s="2"/>
      <c r="N56" s="7">
        <f t="shared" si="39"/>
        <v>-0.87420113449678061</v>
      </c>
      <c r="O56" s="11"/>
      <c r="P56" s="6">
        <v>6640.56</v>
      </c>
      <c r="Q56" s="2"/>
      <c r="R56" s="7">
        <f t="shared" si="40"/>
        <v>1.5630153587908705E-2</v>
      </c>
      <c r="S56" s="2"/>
      <c r="T56" s="6">
        <v>12309.78</v>
      </c>
      <c r="U56" s="2"/>
      <c r="V56" s="7">
        <f t="shared" si="41"/>
        <v>3.2456584718961165E-2</v>
      </c>
      <c r="W56" s="2"/>
      <c r="X56" s="6">
        <f t="shared" si="42"/>
        <v>-5669.22</v>
      </c>
      <c r="Y56" s="2"/>
      <c r="Z56" s="7">
        <f t="shared" si="43"/>
        <v>-0.46054600488392156</v>
      </c>
    </row>
    <row r="57" spans="1:26" s="25" customFormat="1" outlineLevel="1" collapsed="1" x14ac:dyDescent="0.25">
      <c r="A57" s="27"/>
      <c r="B57" s="13" t="str">
        <f>CONCATENATE("     ","Royalty &amp; Commissions                             ")</f>
        <v xml:space="preserve">     Royalty &amp; Commissions                             </v>
      </c>
      <c r="C57" s="13"/>
      <c r="D57" s="1">
        <f>SUM(OSRRefD22_11x_0)</f>
        <v>7977.68</v>
      </c>
      <c r="E57" s="1"/>
      <c r="F57" s="5">
        <f t="shared" ref="F57:F62" si="44">IF(D$12=0,0,D57/D$12)</f>
        <v>8.0564332462689292E-2</v>
      </c>
      <c r="G57" s="1"/>
      <c r="H57" s="1">
        <f>SUM(OSRRefH22_11x_0)</f>
        <v>7289.6</v>
      </c>
      <c r="I57" s="1"/>
      <c r="J57" s="5">
        <f t="shared" ref="J57:J62" si="45">IF(H$12=0,0,H57/H$12)</f>
        <v>8.0000052677822217E-2</v>
      </c>
      <c r="K57" s="1"/>
      <c r="L57" s="1">
        <f t="shared" ref="L57:L62" si="46">+D57-H57</f>
        <v>688.07999999999993</v>
      </c>
      <c r="M57" s="1"/>
      <c r="N57" s="5">
        <f t="shared" ref="N57:N62" si="47">IF(H57=0,0,L57/H57)</f>
        <v>9.4392010535557486E-2</v>
      </c>
      <c r="O57" s="13"/>
      <c r="P57" s="1">
        <f>SUM(OSRRefP22_11x_0)</f>
        <v>36817.519999999997</v>
      </c>
      <c r="Q57" s="1"/>
      <c r="R57" s="5">
        <f t="shared" ref="R57:R62" si="48">IF(P$12=0,0,P57/P$12)</f>
        <v>8.6658880023055343E-2</v>
      </c>
      <c r="S57" s="1"/>
      <c r="T57" s="1">
        <f>SUM(OSRRefT22_11x_0)</f>
        <v>30341.52</v>
      </c>
      <c r="U57" s="1"/>
      <c r="V57" s="5">
        <f t="shared" ref="V57:V62" si="49">IF(T$12=0,0,T57/T$12)</f>
        <v>7.9999976797477654E-2</v>
      </c>
      <c r="W57" s="1"/>
      <c r="X57" s="1">
        <f t="shared" ref="X57:X62" si="50">+P57-T57</f>
        <v>6475.9999999999964</v>
      </c>
      <c r="Y57" s="1"/>
      <c r="Z57" s="5">
        <f t="shared" ref="Z57:Z62" si="51">IF(T57=0,0,X57/T57)</f>
        <v>0.2134369009858437</v>
      </c>
    </row>
    <row r="58" spans="1:26" s="24" customFormat="1" hidden="1" outlineLevel="2" x14ac:dyDescent="0.25">
      <c r="A58" s="26"/>
      <c r="B58" s="11" t="str">
        <f>CONCATENATE("          ", "6259", " - ", "ROYALTY &amp; COMMISSIONS")</f>
        <v xml:space="preserve">          6259 - ROYALTY &amp; COMMISSIONS</v>
      </c>
      <c r="C58" s="11"/>
      <c r="D58" s="6">
        <v>7977.68</v>
      </c>
      <c r="E58" s="2"/>
      <c r="F58" s="7">
        <f t="shared" si="44"/>
        <v>8.0564332462689292E-2</v>
      </c>
      <c r="G58" s="2"/>
      <c r="H58" s="6">
        <v>7289.6</v>
      </c>
      <c r="I58" s="2"/>
      <c r="J58" s="7">
        <f t="shared" si="45"/>
        <v>8.0000052677822217E-2</v>
      </c>
      <c r="K58" s="2"/>
      <c r="L58" s="6">
        <f t="shared" si="46"/>
        <v>688.07999999999993</v>
      </c>
      <c r="M58" s="2"/>
      <c r="N58" s="7">
        <f t="shared" si="47"/>
        <v>9.4392010535557486E-2</v>
      </c>
      <c r="O58" s="11"/>
      <c r="P58" s="6">
        <v>36817.519999999997</v>
      </c>
      <c r="Q58" s="2"/>
      <c r="R58" s="7">
        <f t="shared" si="48"/>
        <v>8.6658880023055343E-2</v>
      </c>
      <c r="S58" s="2"/>
      <c r="T58" s="6">
        <v>30341.52</v>
      </c>
      <c r="U58" s="2"/>
      <c r="V58" s="7">
        <f t="shared" si="49"/>
        <v>7.9999976797477654E-2</v>
      </c>
      <c r="W58" s="2"/>
      <c r="X58" s="6">
        <f t="shared" si="50"/>
        <v>6475.9999999999964</v>
      </c>
      <c r="Y58" s="2"/>
      <c r="Z58" s="7">
        <f t="shared" si="51"/>
        <v>0.2134369009858437</v>
      </c>
    </row>
    <row r="59" spans="1:26" s="25" customFormat="1" outlineLevel="1" collapsed="1" x14ac:dyDescent="0.25">
      <c r="A59" s="27"/>
      <c r="B59" s="13" t="str">
        <f>CONCATENATE("     ","Services                                          ")</f>
        <v xml:space="preserve">     Services                                          </v>
      </c>
      <c r="C59" s="13"/>
      <c r="D59" s="1">
        <f>SUM(OSRRefD22_12x_0)</f>
        <v>574.30999999999995</v>
      </c>
      <c r="E59" s="1"/>
      <c r="F59" s="5">
        <f t="shared" si="44"/>
        <v>5.7997941477531158E-3</v>
      </c>
      <c r="G59" s="1"/>
      <c r="H59" s="1">
        <f>SUM(OSRRefH22_12x_0)</f>
        <v>312.32</v>
      </c>
      <c r="I59" s="1"/>
      <c r="J59" s="5">
        <f t="shared" si="45"/>
        <v>3.4275702991024793E-3</v>
      </c>
      <c r="K59" s="1"/>
      <c r="L59" s="1">
        <f t="shared" si="46"/>
        <v>261.98999999999995</v>
      </c>
      <c r="M59" s="1"/>
      <c r="N59" s="5">
        <f t="shared" si="47"/>
        <v>0.83885117827868838</v>
      </c>
      <c r="O59" s="13"/>
      <c r="P59" s="1">
        <f>SUM(OSRRefP22_12x_0)</f>
        <v>2068.8599999999997</v>
      </c>
      <c r="Q59" s="1"/>
      <c r="R59" s="5">
        <f t="shared" si="48"/>
        <v>4.8695591263207914E-3</v>
      </c>
      <c r="S59" s="1"/>
      <c r="T59" s="1">
        <f>SUM(OSRRefT22_12x_0)</f>
        <v>1667.9</v>
      </c>
      <c r="U59" s="1"/>
      <c r="V59" s="5">
        <f t="shared" si="49"/>
        <v>4.3976689796856915E-3</v>
      </c>
      <c r="W59" s="1"/>
      <c r="X59" s="1">
        <f t="shared" si="50"/>
        <v>400.95999999999958</v>
      </c>
      <c r="Y59" s="1"/>
      <c r="Z59" s="5">
        <f t="shared" si="51"/>
        <v>0.24039810540200227</v>
      </c>
    </row>
    <row r="60" spans="1:26" s="24" customFormat="1" hidden="1" outlineLevel="2" x14ac:dyDescent="0.25">
      <c r="A60" s="26"/>
      <c r="B60" s="11" t="str">
        <f>CONCATENATE("          ", "6282", " - ", "JANITORIAL/EXTERMINATOR EXPENS")</f>
        <v xml:space="preserve">          6282 - JANITORIAL/EXTERMINATOR EXPENS</v>
      </c>
      <c r="C60" s="11"/>
      <c r="D60" s="6">
        <v>96.96</v>
      </c>
      <c r="E60" s="2"/>
      <c r="F60" s="7">
        <f t="shared" si="44"/>
        <v>9.7917159820679099E-4</v>
      </c>
      <c r="G60" s="2"/>
      <c r="H60" s="6">
        <v>96.96</v>
      </c>
      <c r="I60" s="2"/>
      <c r="J60" s="7">
        <f t="shared" si="45"/>
        <v>1.0640920088402165E-3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>
        <v>484.8</v>
      </c>
      <c r="Q60" s="2"/>
      <c r="R60" s="7">
        <f t="shared" si="48"/>
        <v>1.1410932902372901E-3</v>
      </c>
      <c r="S60" s="2"/>
      <c r="T60" s="6">
        <v>290.88</v>
      </c>
      <c r="U60" s="2"/>
      <c r="V60" s="7">
        <f t="shared" si="49"/>
        <v>7.6694882955271519E-4</v>
      </c>
      <c r="W60" s="2"/>
      <c r="X60" s="6">
        <f t="shared" si="50"/>
        <v>193.92000000000002</v>
      </c>
      <c r="Y60" s="2"/>
      <c r="Z60" s="7">
        <f t="shared" si="51"/>
        <v>0.66666666666666674</v>
      </c>
    </row>
    <row r="61" spans="1:26" s="24" customFormat="1" hidden="1" outlineLevel="2" x14ac:dyDescent="0.25">
      <c r="A61" s="26"/>
      <c r="B61" s="11" t="str">
        <f>CONCATENATE("          ", "6284", " - ", "TRASH REMOVAL EXPENSE")</f>
        <v xml:space="preserve">          6284 - TRASH REMOVAL EXPENSE</v>
      </c>
      <c r="C61" s="11"/>
      <c r="D61" s="6">
        <v>94</v>
      </c>
      <c r="E61" s="2"/>
      <c r="F61" s="7">
        <f t="shared" si="44"/>
        <v>9.4927939595130324E-4</v>
      </c>
      <c r="G61" s="2"/>
      <c r="H61" s="6">
        <v>94</v>
      </c>
      <c r="I61" s="2"/>
      <c r="J61" s="7">
        <f t="shared" si="45"/>
        <v>1.0316073518046654E-3</v>
      </c>
      <c r="K61" s="2"/>
      <c r="L61" s="6">
        <f t="shared" si="46"/>
        <v>0</v>
      </c>
      <c r="M61" s="2"/>
      <c r="N61" s="7">
        <f t="shared" si="47"/>
        <v>0</v>
      </c>
      <c r="O61" s="11"/>
      <c r="P61" s="6">
        <v>282</v>
      </c>
      <c r="Q61" s="2"/>
      <c r="R61" s="7">
        <f t="shared" si="48"/>
        <v>6.6375476041030494E-4</v>
      </c>
      <c r="S61" s="2"/>
      <c r="T61" s="6">
        <v>696.46</v>
      </c>
      <c r="U61" s="2"/>
      <c r="V61" s="7">
        <f t="shared" si="49"/>
        <v>1.8363214446860702E-3</v>
      </c>
      <c r="W61" s="2"/>
      <c r="X61" s="6">
        <f t="shared" si="50"/>
        <v>-414.46000000000004</v>
      </c>
      <c r="Y61" s="2"/>
      <c r="Z61" s="7">
        <f t="shared" si="51"/>
        <v>-0.59509519570398872</v>
      </c>
    </row>
    <row r="62" spans="1:26" s="24" customFormat="1" hidden="1" outlineLevel="2" x14ac:dyDescent="0.25">
      <c r="A62" s="26"/>
      <c r="B62" s="11" t="str">
        <f>CONCATENATE("          ", "6286", " - ", "LAUNDRY EXPENSE")</f>
        <v xml:space="preserve">          6286 - LAUNDRY EXPENSE</v>
      </c>
      <c r="C62" s="11"/>
      <c r="D62" s="6">
        <v>383.35</v>
      </c>
      <c r="E62" s="2"/>
      <c r="F62" s="7">
        <f t="shared" si="44"/>
        <v>3.8713431535950223E-3</v>
      </c>
      <c r="G62" s="2"/>
      <c r="H62" s="6">
        <v>121.36</v>
      </c>
      <c r="I62" s="2"/>
      <c r="J62" s="7">
        <f t="shared" si="45"/>
        <v>1.3318709384575976E-3</v>
      </c>
      <c r="K62" s="2"/>
      <c r="L62" s="6">
        <f t="shared" si="46"/>
        <v>261.99</v>
      </c>
      <c r="M62" s="2"/>
      <c r="N62" s="7">
        <f t="shared" si="47"/>
        <v>2.1587837837837838</v>
      </c>
      <c r="O62" s="11"/>
      <c r="P62" s="6">
        <v>1302.06</v>
      </c>
      <c r="Q62" s="2"/>
      <c r="R62" s="7">
        <f t="shared" si="48"/>
        <v>3.0647110756731972E-3</v>
      </c>
      <c r="S62" s="2"/>
      <c r="T62" s="6">
        <v>680.56</v>
      </c>
      <c r="U62" s="2"/>
      <c r="V62" s="7">
        <f t="shared" si="49"/>
        <v>1.7943987054469053E-3</v>
      </c>
      <c r="W62" s="2"/>
      <c r="X62" s="6">
        <f t="shared" si="50"/>
        <v>621.5</v>
      </c>
      <c r="Y62" s="2"/>
      <c r="Z62" s="7">
        <f t="shared" si="51"/>
        <v>0.91321852591983077</v>
      </c>
    </row>
    <row r="63" spans="1:26" s="25" customFormat="1" outlineLevel="1" collapsed="1" x14ac:dyDescent="0.25">
      <c r="A63" s="27"/>
      <c r="B63" s="13" t="str">
        <f>CONCATENATE("     ","Subscriptions &amp; Dues                              ")</f>
        <v xml:space="preserve">     Subscriptions &amp; Dues                              </v>
      </c>
      <c r="C63" s="13"/>
      <c r="D63" s="1">
        <f>SUM(OSRRefD22_13x_0)</f>
        <v>30.68</v>
      </c>
      <c r="E63" s="1"/>
      <c r="F63" s="5">
        <f t="shared" ref="F63:F72" si="52">IF(D$12=0,0,D63/D$12)</f>
        <v>3.0982863689134023E-4</v>
      </c>
      <c r="G63" s="1"/>
      <c r="H63" s="1">
        <f>SUM(OSRRefH22_13x_0)</f>
        <v>0</v>
      </c>
      <c r="I63" s="1"/>
      <c r="J63" s="5">
        <f t="shared" ref="J63:J72" si="53">IF(H$12=0,0,H63/H$12)</f>
        <v>0</v>
      </c>
      <c r="K63" s="1"/>
      <c r="L63" s="1">
        <f t="shared" ref="L63:L72" si="54">+D63-H63</f>
        <v>30.68</v>
      </c>
      <c r="M63" s="1"/>
      <c r="N63" s="5">
        <f t="shared" ref="N63:N72" si="55">IF(H63=0,0,L63/H63)</f>
        <v>0</v>
      </c>
      <c r="O63" s="13"/>
      <c r="P63" s="1">
        <f>SUM(OSRRefP22_13x_0)</f>
        <v>92.04</v>
      </c>
      <c r="Q63" s="1"/>
      <c r="R63" s="5">
        <f t="shared" ref="R63:R72" si="56">IF(P$12=0,0,P63/P$12)</f>
        <v>2.1663825584455486E-4</v>
      </c>
      <c r="S63" s="1"/>
      <c r="T63" s="1">
        <f>SUM(OSRRefT22_13x_0)</f>
        <v>92.04</v>
      </c>
      <c r="U63" s="1"/>
      <c r="V63" s="5">
        <f t="shared" ref="V63:V72" si="57">IF(T$12=0,0,T63/T$12)</f>
        <v>2.4267729053916362E-4</v>
      </c>
      <c r="W63" s="1"/>
      <c r="X63" s="1">
        <f t="shared" ref="X63:X72" si="58">+P63-T63</f>
        <v>0</v>
      </c>
      <c r="Y63" s="1"/>
      <c r="Z63" s="5">
        <f t="shared" ref="Z63:Z72" si="59">IF(T63=0,0,X63/T63)</f>
        <v>0</v>
      </c>
    </row>
    <row r="64" spans="1:26" s="24" customFormat="1" hidden="1" outlineLevel="2" x14ac:dyDescent="0.25">
      <c r="A64" s="26"/>
      <c r="B64" s="11" t="str">
        <f>CONCATENATE("          ", "6275", " - ", "SUBSCRIPTIONS")</f>
        <v xml:space="preserve">          6275 - SUBSCRIPTIONS</v>
      </c>
      <c r="C64" s="11"/>
      <c r="D64" s="6">
        <v>30.68</v>
      </c>
      <c r="E64" s="2"/>
      <c r="F64" s="7">
        <f t="shared" si="52"/>
        <v>3.0982863689134023E-4</v>
      </c>
      <c r="G64" s="2"/>
      <c r="H64" s="6"/>
      <c r="I64" s="2"/>
      <c r="J64" s="7">
        <f t="shared" si="53"/>
        <v>0</v>
      </c>
      <c r="K64" s="2"/>
      <c r="L64" s="6">
        <f t="shared" si="54"/>
        <v>30.68</v>
      </c>
      <c r="M64" s="2"/>
      <c r="N64" s="7">
        <f t="shared" si="55"/>
        <v>0</v>
      </c>
      <c r="O64" s="11"/>
      <c r="P64" s="6">
        <v>92.04</v>
      </c>
      <c r="Q64" s="2"/>
      <c r="R64" s="7">
        <f t="shared" si="56"/>
        <v>2.1663825584455486E-4</v>
      </c>
      <c r="S64" s="2"/>
      <c r="T64" s="6">
        <v>92.04</v>
      </c>
      <c r="U64" s="2"/>
      <c r="V64" s="7">
        <f t="shared" si="57"/>
        <v>2.4267729053916362E-4</v>
      </c>
      <c r="W64" s="2"/>
      <c r="X64" s="6">
        <f t="shared" si="58"/>
        <v>0</v>
      </c>
      <c r="Y64" s="2"/>
      <c r="Z64" s="7">
        <f t="shared" si="59"/>
        <v>0</v>
      </c>
    </row>
    <row r="65" spans="1:26" s="25" customFormat="1" outlineLevel="1" collapsed="1" x14ac:dyDescent="0.25">
      <c r="A65" s="27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SUM(OSRRefD22_14x_0)</f>
        <v>1096.6499999999999</v>
      </c>
      <c r="E65" s="1"/>
      <c r="F65" s="5">
        <f t="shared" si="52"/>
        <v>1.10747579741489E-2</v>
      </c>
      <c r="G65" s="1"/>
      <c r="H65" s="1">
        <f>SUM(OSRRefH22_14x_0)</f>
        <v>1103.17</v>
      </c>
      <c r="I65" s="1"/>
      <c r="J65" s="5">
        <f t="shared" si="53"/>
        <v>1.2106790237131413E-2</v>
      </c>
      <c r="K65" s="1"/>
      <c r="L65" s="1">
        <f t="shared" si="54"/>
        <v>-6.5200000000002092</v>
      </c>
      <c r="M65" s="1"/>
      <c r="N65" s="5">
        <f t="shared" si="55"/>
        <v>-5.910240488773452E-3</v>
      </c>
      <c r="O65" s="13"/>
      <c r="P65" s="1">
        <f>SUM(OSRRefP22_14x_0)</f>
        <v>8270.9</v>
      </c>
      <c r="Q65" s="1"/>
      <c r="R65" s="5">
        <f t="shared" si="56"/>
        <v>1.9467550524388619E-2</v>
      </c>
      <c r="S65" s="1"/>
      <c r="T65" s="1">
        <f>SUM(OSRRefT22_14x_0)</f>
        <v>5625.9500000000007</v>
      </c>
      <c r="U65" s="1"/>
      <c r="V65" s="5">
        <f t="shared" si="57"/>
        <v>1.483366256745771E-2</v>
      </c>
      <c r="W65" s="1"/>
      <c r="X65" s="1">
        <f t="shared" si="58"/>
        <v>2644.9499999999989</v>
      </c>
      <c r="Y65" s="1"/>
      <c r="Z65" s="5">
        <f t="shared" si="59"/>
        <v>0.4701339329357706</v>
      </c>
    </row>
    <row r="66" spans="1:26" s="24" customFormat="1" hidden="1" outlineLevel="2" x14ac:dyDescent="0.25">
      <c r="A66" s="26"/>
      <c r="B66" s="11" t="str">
        <f>CONCATENATE("          ", "6237", " - ", "JANITORIAL SUPPLIES")</f>
        <v xml:space="preserve">          6237 - JANITORIAL SUPPLIES</v>
      </c>
      <c r="C66" s="11"/>
      <c r="D66" s="6">
        <v>312.95999999999998</v>
      </c>
      <c r="E66" s="2"/>
      <c r="F66" s="7">
        <f t="shared" si="52"/>
        <v>3.1604944654991473E-3</v>
      </c>
      <c r="G66" s="2"/>
      <c r="H66" s="6">
        <v>131.36000000000001</v>
      </c>
      <c r="I66" s="2"/>
      <c r="J66" s="7">
        <f t="shared" si="53"/>
        <v>1.4416164014155409E-3</v>
      </c>
      <c r="K66" s="2"/>
      <c r="L66" s="6">
        <f t="shared" si="54"/>
        <v>181.59999999999997</v>
      </c>
      <c r="M66" s="2"/>
      <c r="N66" s="7">
        <f t="shared" si="55"/>
        <v>1.3824604141291104</v>
      </c>
      <c r="O66" s="11"/>
      <c r="P66" s="6">
        <v>1057.93</v>
      </c>
      <c r="Q66" s="2"/>
      <c r="R66" s="7">
        <f t="shared" si="56"/>
        <v>2.4900924598612552E-3</v>
      </c>
      <c r="S66" s="2"/>
      <c r="T66" s="6">
        <v>303.83</v>
      </c>
      <c r="U66" s="2"/>
      <c r="V66" s="7">
        <f t="shared" si="57"/>
        <v>8.0109345050536805E-4</v>
      </c>
      <c r="W66" s="2"/>
      <c r="X66" s="6">
        <f t="shared" si="58"/>
        <v>754.10000000000014</v>
      </c>
      <c r="Y66" s="2"/>
      <c r="Z66" s="7">
        <f t="shared" si="59"/>
        <v>2.4819800546358168</v>
      </c>
    </row>
    <row r="67" spans="1:26" s="24" customFormat="1" hidden="1" outlineLevel="2" x14ac:dyDescent="0.25">
      <c r="A67" s="26"/>
      <c r="B67" s="11" t="str">
        <f>CONCATENATE("          ", "6239", " - ", "KITCHEN SUPPLIES")</f>
        <v xml:space="preserve">          6239 - KITCHEN SUPPLIES</v>
      </c>
      <c r="C67" s="11"/>
      <c r="D67" s="6">
        <v>91.82</v>
      </c>
      <c r="E67" s="2"/>
      <c r="F67" s="7">
        <f t="shared" si="52"/>
        <v>9.2726419293881544E-4</v>
      </c>
      <c r="G67" s="2"/>
      <c r="H67" s="6">
        <v>25.94</v>
      </c>
      <c r="I67" s="2"/>
      <c r="J67" s="7">
        <f t="shared" si="53"/>
        <v>2.8467973091290445E-4</v>
      </c>
      <c r="K67" s="2"/>
      <c r="L67" s="6">
        <f t="shared" si="54"/>
        <v>65.88</v>
      </c>
      <c r="M67" s="2"/>
      <c r="N67" s="7">
        <f t="shared" si="55"/>
        <v>2.5397070161912101</v>
      </c>
      <c r="O67" s="11"/>
      <c r="P67" s="6">
        <v>3472.75</v>
      </c>
      <c r="Q67" s="2"/>
      <c r="R67" s="7">
        <f t="shared" si="56"/>
        <v>8.1739515752300932E-3</v>
      </c>
      <c r="S67" s="2"/>
      <c r="T67" s="6">
        <v>942.39</v>
      </c>
      <c r="U67" s="2"/>
      <c r="V67" s="7">
        <f t="shared" si="57"/>
        <v>2.4847528447544806E-3</v>
      </c>
      <c r="W67" s="2"/>
      <c r="X67" s="6">
        <f t="shared" si="58"/>
        <v>2530.36</v>
      </c>
      <c r="Y67" s="2"/>
      <c r="Z67" s="7">
        <f t="shared" si="59"/>
        <v>2.6850454694977666</v>
      </c>
    </row>
    <row r="68" spans="1:26" s="24" customFormat="1" hidden="1" outlineLevel="2" x14ac:dyDescent="0.25">
      <c r="A68" s="26"/>
      <c r="B68" s="11" t="str">
        <f>CONCATENATE("          ", "6241", " - ", "OFFICE EXPENSE")</f>
        <v xml:space="preserve">          6241 - OFFICE EXPENSE</v>
      </c>
      <c r="C68" s="11"/>
      <c r="D68" s="6">
        <v>315.51</v>
      </c>
      <c r="E68" s="2"/>
      <c r="F68" s="7">
        <f t="shared" si="52"/>
        <v>3.1862461937935708E-3</v>
      </c>
      <c r="G68" s="2"/>
      <c r="H68" s="6">
        <v>121.18</v>
      </c>
      <c r="I68" s="2"/>
      <c r="J68" s="7">
        <f t="shared" si="53"/>
        <v>1.3298955201243548E-3</v>
      </c>
      <c r="K68" s="2"/>
      <c r="L68" s="6">
        <f t="shared" si="54"/>
        <v>194.32999999999998</v>
      </c>
      <c r="M68" s="2"/>
      <c r="N68" s="7">
        <f t="shared" si="55"/>
        <v>1.6036474665786431</v>
      </c>
      <c r="O68" s="11"/>
      <c r="P68" s="6">
        <v>1015.09</v>
      </c>
      <c r="Q68" s="2"/>
      <c r="R68" s="7">
        <f t="shared" si="56"/>
        <v>2.3892582260457321E-3</v>
      </c>
      <c r="S68" s="2"/>
      <c r="T68" s="6">
        <v>374.12</v>
      </c>
      <c r="U68" s="2"/>
      <c r="V68" s="7">
        <f t="shared" si="57"/>
        <v>9.8642359774567452E-4</v>
      </c>
      <c r="W68" s="2"/>
      <c r="X68" s="6">
        <f t="shared" si="58"/>
        <v>640.97</v>
      </c>
      <c r="Y68" s="2"/>
      <c r="Z68" s="7">
        <f t="shared" si="59"/>
        <v>1.7132738158879504</v>
      </c>
    </row>
    <row r="69" spans="1:26" s="24" customFormat="1" hidden="1" outlineLevel="2" x14ac:dyDescent="0.25">
      <c r="A69" s="26"/>
      <c r="B69" s="11" t="str">
        <f>CONCATENATE("          ", "6243", " - ", "PAPER SUPPLIES")</f>
        <v xml:space="preserve">          6243 - PAPER SUPPLIES</v>
      </c>
      <c r="C69" s="11"/>
      <c r="D69" s="6">
        <v>233.9</v>
      </c>
      <c r="E69" s="2"/>
      <c r="F69" s="7">
        <f t="shared" si="52"/>
        <v>2.3620899012022321E-3</v>
      </c>
      <c r="G69" s="2"/>
      <c r="H69" s="6">
        <v>771.99</v>
      </c>
      <c r="I69" s="2"/>
      <c r="J69" s="7">
        <f t="shared" si="53"/>
        <v>8.4722399948902512E-3</v>
      </c>
      <c r="K69" s="2"/>
      <c r="L69" s="6">
        <f t="shared" si="54"/>
        <v>-538.09</v>
      </c>
      <c r="M69" s="2"/>
      <c r="N69" s="7">
        <f t="shared" si="55"/>
        <v>-0.69701680073576089</v>
      </c>
      <c r="O69" s="11"/>
      <c r="P69" s="6">
        <v>3051.39</v>
      </c>
      <c r="Q69" s="2"/>
      <c r="R69" s="7">
        <f t="shared" si="56"/>
        <v>7.18217956868227E-3</v>
      </c>
      <c r="S69" s="2"/>
      <c r="T69" s="6">
        <v>3533.6</v>
      </c>
      <c r="U69" s="2"/>
      <c r="V69" s="7">
        <f t="shared" si="57"/>
        <v>9.3168673821076541E-3</v>
      </c>
      <c r="W69" s="2"/>
      <c r="X69" s="6">
        <f t="shared" si="58"/>
        <v>-482.21000000000004</v>
      </c>
      <c r="Y69" s="2"/>
      <c r="Z69" s="7">
        <f t="shared" si="59"/>
        <v>-0.13646422911478381</v>
      </c>
    </row>
    <row r="70" spans="1:26" s="24" customFormat="1" hidden="1" outlineLevel="2" x14ac:dyDescent="0.25">
      <c r="A70" s="26"/>
      <c r="B70" s="11" t="str">
        <f>CONCATENATE("          ", "6245", " - ", "PRINTING")</f>
        <v xml:space="preserve">          6245 - PRINTING</v>
      </c>
      <c r="C70" s="11"/>
      <c r="D70" s="6">
        <v>15.99</v>
      </c>
      <c r="E70" s="2"/>
      <c r="F70" s="7">
        <f t="shared" si="52"/>
        <v>1.6147848448150361E-4</v>
      </c>
      <c r="G70" s="2"/>
      <c r="H70" s="6"/>
      <c r="I70" s="2"/>
      <c r="J70" s="7">
        <f t="shared" si="53"/>
        <v>0</v>
      </c>
      <c r="K70" s="2"/>
      <c r="L70" s="6">
        <f t="shared" si="54"/>
        <v>15.99</v>
      </c>
      <c r="M70" s="2"/>
      <c r="N70" s="7">
        <f t="shared" si="55"/>
        <v>0</v>
      </c>
      <c r="O70" s="11"/>
      <c r="P70" s="6">
        <v>66.930000000000007</v>
      </c>
      <c r="Q70" s="2"/>
      <c r="R70" s="7">
        <f t="shared" si="56"/>
        <v>1.57535837284616E-4</v>
      </c>
      <c r="S70" s="2"/>
      <c r="T70" s="6"/>
      <c r="U70" s="2"/>
      <c r="V70" s="7">
        <f t="shared" si="57"/>
        <v>0</v>
      </c>
      <c r="W70" s="2"/>
      <c r="X70" s="6">
        <f t="shared" si="58"/>
        <v>66.930000000000007</v>
      </c>
      <c r="Y70" s="2"/>
      <c r="Z70" s="7">
        <f t="shared" si="59"/>
        <v>0</v>
      </c>
    </row>
    <row r="71" spans="1:26" s="24" customFormat="1" hidden="1" outlineLevel="2" x14ac:dyDescent="0.25">
      <c r="A71" s="26"/>
      <c r="B71" s="11" t="str">
        <f>CONCATENATE("          ", "6247", " - ", "STORE SUPPLIES")</f>
        <v xml:space="preserve">          6247 - STORE SUPPLIES</v>
      </c>
      <c r="C71" s="11"/>
      <c r="D71" s="6">
        <v>126.47</v>
      </c>
      <c r="E71" s="2"/>
      <c r="F71" s="7">
        <f t="shared" si="52"/>
        <v>1.2771847362336311E-3</v>
      </c>
      <c r="G71" s="2"/>
      <c r="H71" s="6">
        <v>52.7</v>
      </c>
      <c r="I71" s="2"/>
      <c r="J71" s="7">
        <f t="shared" si="53"/>
        <v>5.7835858978836025E-4</v>
      </c>
      <c r="K71" s="2"/>
      <c r="L71" s="6">
        <f t="shared" si="54"/>
        <v>73.77</v>
      </c>
      <c r="M71" s="2"/>
      <c r="N71" s="7">
        <f t="shared" si="55"/>
        <v>1.3998102466793167</v>
      </c>
      <c r="O71" s="11"/>
      <c r="P71" s="6">
        <v>-527.27</v>
      </c>
      <c r="Q71" s="2"/>
      <c r="R71" s="7">
        <f t="shared" si="56"/>
        <v>-1.2410566401473101E-3</v>
      </c>
      <c r="S71" s="2"/>
      <c r="T71" s="6">
        <v>108.18</v>
      </c>
      <c r="U71" s="2"/>
      <c r="V71" s="7">
        <f t="shared" si="57"/>
        <v>2.8523282584231555E-4</v>
      </c>
      <c r="W71" s="2"/>
      <c r="X71" s="6">
        <f t="shared" si="58"/>
        <v>-635.45000000000005</v>
      </c>
      <c r="Y71" s="2"/>
      <c r="Z71" s="7">
        <f t="shared" si="59"/>
        <v>-5.87400628581993</v>
      </c>
    </row>
    <row r="72" spans="1:26" s="24" customFormat="1" hidden="1" outlineLevel="2" x14ac:dyDescent="0.25">
      <c r="A72" s="26"/>
      <c r="B72" s="11" t="str">
        <f>CONCATENATE("          ", "6248", " - ", "UNIFORMS")</f>
        <v xml:space="preserve">          6248 - UNIFORMS</v>
      </c>
      <c r="C72" s="11"/>
      <c r="D72" s="6"/>
      <c r="E72" s="2"/>
      <c r="F72" s="7">
        <f t="shared" si="52"/>
        <v>0</v>
      </c>
      <c r="G72" s="2"/>
      <c r="H72" s="6"/>
      <c r="I72" s="2"/>
      <c r="J72" s="7">
        <f t="shared" si="53"/>
        <v>0</v>
      </c>
      <c r="K72" s="2"/>
      <c r="L72" s="6">
        <f t="shared" si="54"/>
        <v>0</v>
      </c>
      <c r="M72" s="2"/>
      <c r="N72" s="7">
        <f t="shared" si="55"/>
        <v>0</v>
      </c>
      <c r="O72" s="11"/>
      <c r="P72" s="6">
        <v>134.08000000000001</v>
      </c>
      <c r="Q72" s="2"/>
      <c r="R72" s="7">
        <f t="shared" si="56"/>
        <v>3.1558949743196342E-4</v>
      </c>
      <c r="S72" s="2"/>
      <c r="T72" s="6">
        <v>363.83</v>
      </c>
      <c r="U72" s="2"/>
      <c r="V72" s="7">
        <f t="shared" si="57"/>
        <v>9.5929246650221526E-4</v>
      </c>
      <c r="W72" s="2"/>
      <c r="X72" s="6">
        <f t="shared" si="58"/>
        <v>-229.74999999999997</v>
      </c>
      <c r="Y72" s="2"/>
      <c r="Z72" s="7">
        <f t="shared" si="59"/>
        <v>-0.63147623890278426</v>
      </c>
    </row>
    <row r="73" spans="1:26" s="25" customFormat="1" outlineLevel="1" collapsed="1" x14ac:dyDescent="0.25">
      <c r="A73" s="27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SUM(OSRRefD22_15x_0)</f>
        <v>73.2</v>
      </c>
      <c r="E73" s="1"/>
      <c r="F73" s="5">
        <f t="shared" ref="F73:F78" si="60">IF(D$12=0,0,D73/D$12)</f>
        <v>7.3922608280463191E-4</v>
      </c>
      <c r="G73" s="1"/>
      <c r="H73" s="1">
        <f>SUM(OSRRefH22_15x_0)</f>
        <v>89</v>
      </c>
      <c r="I73" s="1"/>
      <c r="J73" s="5">
        <f t="shared" ref="J73:J78" si="61">IF(H$12=0,0,H73/H$12)</f>
        <v>9.7673462032569374E-4</v>
      </c>
      <c r="K73" s="1"/>
      <c r="L73" s="1">
        <f t="shared" ref="L73:L78" si="62">+D73-H73</f>
        <v>-15.799999999999997</v>
      </c>
      <c r="M73" s="1"/>
      <c r="N73" s="5">
        <f t="shared" ref="N73:N78" si="63">IF(H73=0,0,L73/H73)</f>
        <v>-0.17752808988764041</v>
      </c>
      <c r="O73" s="13"/>
      <c r="P73" s="1">
        <f>SUM(OSRRefP22_15x_0)</f>
        <v>419.3</v>
      </c>
      <c r="Q73" s="1"/>
      <c r="R73" s="5">
        <f t="shared" ref="R73:R78" si="64">IF(P$12=0,0,P73/P$12)</f>
        <v>9.8692330156042855E-4</v>
      </c>
      <c r="S73" s="1"/>
      <c r="T73" s="1">
        <f>SUM(OSRRefT22_15x_0)</f>
        <v>395.05</v>
      </c>
      <c r="U73" s="1"/>
      <c r="V73" s="5">
        <f t="shared" ref="V73:V78" si="65">IF(T$12=0,0,T73/T$12)</f>
        <v>1.0416086878259081E-3</v>
      </c>
      <c r="W73" s="1"/>
      <c r="X73" s="1">
        <f t="shared" ref="X73:X78" si="66">+P73-T73</f>
        <v>24.25</v>
      </c>
      <c r="Y73" s="1"/>
      <c r="Z73" s="5">
        <f t="shared" ref="Z73:Z78" si="67">IF(T73=0,0,X73/T73)</f>
        <v>6.1384634856347299E-2</v>
      </c>
    </row>
    <row r="74" spans="1:26" s="24" customFormat="1" hidden="1" outlineLevel="2" x14ac:dyDescent="0.25">
      <c r="A74" s="26"/>
      <c r="B74" s="11" t="str">
        <f>CONCATENATE("          ", "6309", " - ", "TELEPHONE")</f>
        <v xml:space="preserve">          6309 - TELEPHONE</v>
      </c>
      <c r="C74" s="11"/>
      <c r="D74" s="6">
        <v>73.2</v>
      </c>
      <c r="E74" s="2"/>
      <c r="F74" s="7">
        <f t="shared" si="60"/>
        <v>7.3922608280463191E-4</v>
      </c>
      <c r="G74" s="2"/>
      <c r="H74" s="6">
        <v>89</v>
      </c>
      <c r="I74" s="2"/>
      <c r="J74" s="7">
        <f t="shared" si="61"/>
        <v>9.7673462032569374E-4</v>
      </c>
      <c r="K74" s="2"/>
      <c r="L74" s="6">
        <f t="shared" si="62"/>
        <v>-15.799999999999997</v>
      </c>
      <c r="M74" s="2"/>
      <c r="N74" s="7">
        <f t="shared" si="63"/>
        <v>-0.17752808988764041</v>
      </c>
      <c r="O74" s="11"/>
      <c r="P74" s="6">
        <v>419.3</v>
      </c>
      <c r="Q74" s="2"/>
      <c r="R74" s="7">
        <f t="shared" si="64"/>
        <v>9.8692330156042855E-4</v>
      </c>
      <c r="S74" s="2"/>
      <c r="T74" s="6">
        <v>395.05</v>
      </c>
      <c r="U74" s="2"/>
      <c r="V74" s="7">
        <f t="shared" si="65"/>
        <v>1.0416086878259081E-3</v>
      </c>
      <c r="W74" s="2"/>
      <c r="X74" s="6">
        <f t="shared" si="66"/>
        <v>24.25</v>
      </c>
      <c r="Y74" s="2"/>
      <c r="Z74" s="7">
        <f t="shared" si="67"/>
        <v>6.1384634856347299E-2</v>
      </c>
    </row>
    <row r="75" spans="1:26" s="25" customFormat="1" outlineLevel="1" collapsed="1" x14ac:dyDescent="0.25">
      <c r="A75" s="27"/>
      <c r="B75" s="13" t="str">
        <f>CONCATENATE("     ","Training                                          ")</f>
        <v xml:space="preserve">     Training                                          </v>
      </c>
      <c r="C75" s="13"/>
      <c r="D75" s="1">
        <f>SUM(OSRRefD22_16x_0)</f>
        <v>85</v>
      </c>
      <c r="E75" s="1"/>
      <c r="F75" s="5">
        <f t="shared" si="60"/>
        <v>8.5839094314745499E-4</v>
      </c>
      <c r="G75" s="1"/>
      <c r="H75" s="1">
        <f>SUM(OSRRefH22_16x_0)</f>
        <v>60</v>
      </c>
      <c r="I75" s="1"/>
      <c r="J75" s="5">
        <f t="shared" si="61"/>
        <v>6.5847277774765871E-4</v>
      </c>
      <c r="K75" s="1"/>
      <c r="L75" s="1">
        <f t="shared" si="62"/>
        <v>25</v>
      </c>
      <c r="M75" s="1"/>
      <c r="N75" s="5">
        <f t="shared" si="63"/>
        <v>0.41666666666666669</v>
      </c>
      <c r="O75" s="13"/>
      <c r="P75" s="1">
        <f>SUM(OSRRefP22_16x_0)</f>
        <v>465.65</v>
      </c>
      <c r="Q75" s="1"/>
      <c r="R75" s="5">
        <f t="shared" si="64"/>
        <v>1.096019163776803E-3</v>
      </c>
      <c r="S75" s="1"/>
      <c r="T75" s="1">
        <f>SUM(OSRRefT22_16x_0)</f>
        <v>235.16</v>
      </c>
      <c r="U75" s="1"/>
      <c r="V75" s="5">
        <f t="shared" si="65"/>
        <v>6.2003467669697644E-4</v>
      </c>
      <c r="W75" s="1"/>
      <c r="X75" s="1">
        <f t="shared" si="66"/>
        <v>230.48999999999998</v>
      </c>
      <c r="Y75" s="1"/>
      <c r="Z75" s="5">
        <f t="shared" si="67"/>
        <v>0.98014118047286947</v>
      </c>
    </row>
    <row r="76" spans="1:26" s="24" customFormat="1" hidden="1" outlineLevel="2" x14ac:dyDescent="0.25">
      <c r="A76" s="26"/>
      <c r="B76" s="11" t="str">
        <f>CONCATENATE("          ", "6376", " - ", "TRAINING")</f>
        <v xml:space="preserve">          6376 - TRAINING</v>
      </c>
      <c r="C76" s="11"/>
      <c r="D76" s="6">
        <v>85</v>
      </c>
      <c r="E76" s="2"/>
      <c r="F76" s="7">
        <f t="shared" si="60"/>
        <v>8.5839094314745499E-4</v>
      </c>
      <c r="G76" s="2"/>
      <c r="H76" s="6">
        <v>60</v>
      </c>
      <c r="I76" s="2"/>
      <c r="J76" s="7">
        <f t="shared" si="61"/>
        <v>6.5847277774765871E-4</v>
      </c>
      <c r="K76" s="2"/>
      <c r="L76" s="6">
        <f t="shared" si="62"/>
        <v>25</v>
      </c>
      <c r="M76" s="2"/>
      <c r="N76" s="7">
        <f t="shared" si="63"/>
        <v>0.41666666666666669</v>
      </c>
      <c r="O76" s="11"/>
      <c r="P76" s="6">
        <v>465.65</v>
      </c>
      <c r="Q76" s="2"/>
      <c r="R76" s="7">
        <f t="shared" si="64"/>
        <v>1.096019163776803E-3</v>
      </c>
      <c r="S76" s="2"/>
      <c r="T76" s="6">
        <v>235.16</v>
      </c>
      <c r="U76" s="2"/>
      <c r="V76" s="7">
        <f t="shared" si="65"/>
        <v>6.2003467669697644E-4</v>
      </c>
      <c r="W76" s="2"/>
      <c r="X76" s="6">
        <f t="shared" si="66"/>
        <v>230.48999999999998</v>
      </c>
      <c r="Y76" s="2"/>
      <c r="Z76" s="7">
        <f t="shared" si="67"/>
        <v>0.98014118047286947</v>
      </c>
    </row>
    <row r="77" spans="1:26" s="25" customFormat="1" outlineLevel="1" collapsed="1" x14ac:dyDescent="0.25">
      <c r="A77" s="27"/>
      <c r="B77" s="13" t="str">
        <f>CONCATENATE("     ","Utilities                                         ")</f>
        <v xml:space="preserve">     Utilities                                         </v>
      </c>
      <c r="C77" s="13"/>
      <c r="D77" s="1">
        <f>SUM(OSRRefD22_17x_0)</f>
        <v>306</v>
      </c>
      <c r="E77" s="1"/>
      <c r="F77" s="5">
        <f t="shared" si="60"/>
        <v>3.0902073953308381E-3</v>
      </c>
      <c r="G77" s="1"/>
      <c r="H77" s="1">
        <f>SUM(OSRRefH22_17x_0)</f>
        <v>306</v>
      </c>
      <c r="I77" s="1"/>
      <c r="J77" s="5">
        <f t="shared" si="61"/>
        <v>3.3582111665130597E-3</v>
      </c>
      <c r="K77" s="1"/>
      <c r="L77" s="1">
        <f t="shared" si="62"/>
        <v>0</v>
      </c>
      <c r="M77" s="1"/>
      <c r="N77" s="5">
        <f t="shared" si="63"/>
        <v>0</v>
      </c>
      <c r="O77" s="13"/>
      <c r="P77" s="1">
        <f>SUM(OSRRefP22_17x_0)</f>
        <v>1318</v>
      </c>
      <c r="Q77" s="1"/>
      <c r="R77" s="5">
        <f t="shared" si="64"/>
        <v>3.1022296958183753E-3</v>
      </c>
      <c r="S77" s="1"/>
      <c r="T77" s="1">
        <f>SUM(OSRRefT22_17x_0)</f>
        <v>983.9</v>
      </c>
      <c r="U77" s="1"/>
      <c r="V77" s="5">
        <f t="shared" si="65"/>
        <v>2.5942001973216326E-3</v>
      </c>
      <c r="W77" s="1"/>
      <c r="X77" s="1">
        <f t="shared" si="66"/>
        <v>334.1</v>
      </c>
      <c r="Y77" s="1"/>
      <c r="Z77" s="5">
        <f t="shared" si="67"/>
        <v>0.33956702916963111</v>
      </c>
    </row>
    <row r="78" spans="1:26" s="24" customFormat="1" hidden="1" outlineLevel="2" x14ac:dyDescent="0.25">
      <c r="A78" s="26"/>
      <c r="B78" s="11" t="str">
        <f>CONCATENATE("          ", "6274", " - ", "UTILITIES")</f>
        <v xml:space="preserve">          6274 - UTILITIES</v>
      </c>
      <c r="C78" s="11"/>
      <c r="D78" s="6">
        <v>306</v>
      </c>
      <c r="E78" s="2"/>
      <c r="F78" s="7">
        <f t="shared" si="60"/>
        <v>3.0902073953308381E-3</v>
      </c>
      <c r="G78" s="2"/>
      <c r="H78" s="6">
        <v>306</v>
      </c>
      <c r="I78" s="2"/>
      <c r="J78" s="7">
        <f t="shared" si="61"/>
        <v>3.3582111665130597E-3</v>
      </c>
      <c r="K78" s="2"/>
      <c r="L78" s="6">
        <f t="shared" si="62"/>
        <v>0</v>
      </c>
      <c r="M78" s="2"/>
      <c r="N78" s="7">
        <f t="shared" si="63"/>
        <v>0</v>
      </c>
      <c r="O78" s="11"/>
      <c r="P78" s="6">
        <v>1318</v>
      </c>
      <c r="Q78" s="2"/>
      <c r="R78" s="7">
        <f t="shared" si="64"/>
        <v>3.1022296958183753E-3</v>
      </c>
      <c r="S78" s="2"/>
      <c r="T78" s="6">
        <v>983.9</v>
      </c>
      <c r="U78" s="2"/>
      <c r="V78" s="7">
        <f t="shared" si="65"/>
        <v>2.5942001973216326E-3</v>
      </c>
      <c r="W78" s="2"/>
      <c r="X78" s="6">
        <f t="shared" si="66"/>
        <v>334.1</v>
      </c>
      <c r="Y78" s="2"/>
      <c r="Z78" s="7">
        <f t="shared" si="67"/>
        <v>0.33956702916963111</v>
      </c>
    </row>
    <row r="79" spans="1:26" s="53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8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3</v>
      </c>
      <c r="C82" s="29"/>
      <c r="D82" s="21">
        <f>+D20-D22+D80</f>
        <v>4332.2699999999968</v>
      </c>
      <c r="E82" s="14"/>
      <c r="F82" s="20">
        <f>IF(D$12=0,0,D82/D$12)</f>
        <v>4.3750368603169672E-2</v>
      </c>
      <c r="G82" s="14"/>
      <c r="H82" s="21">
        <f>+H20-H22+H80</f>
        <v>7138.6200000000099</v>
      </c>
      <c r="I82" s="14"/>
      <c r="J82" s="20">
        <f>IF(H$12=0,0,H82/H$12)</f>
        <v>7.8343115678083303E-2</v>
      </c>
      <c r="K82" s="15"/>
      <c r="L82" s="21">
        <f>+D82-H82</f>
        <v>-2806.3500000000131</v>
      </c>
      <c r="M82" s="15"/>
      <c r="N82" s="20">
        <f>IF(H82=0,0,L82/H82)</f>
        <v>-0.39312220008909415</v>
      </c>
      <c r="O82" s="28"/>
      <c r="P82" s="21">
        <f>+P20-P22+P80</f>
        <v>-21119.550000000017</v>
      </c>
      <c r="Q82" s="14"/>
      <c r="R82" s="20">
        <f>IF(P$12=0,0,P82/P$12)</f>
        <v>-4.9709935639090305E-2</v>
      </c>
      <c r="S82" s="14"/>
      <c r="T82" s="21">
        <f>+T20-T22+T80</f>
        <v>27845.170000000071</v>
      </c>
      <c r="U82" s="14"/>
      <c r="V82" s="20">
        <f>IF(T$12=0,0,T82/T$12)</f>
        <v>7.3417974904415692E-2</v>
      </c>
      <c r="W82" s="15"/>
      <c r="X82" s="21">
        <f>+P82-T82</f>
        <v>-48964.720000000088</v>
      </c>
      <c r="Y82" s="15"/>
      <c r="Z82" s="20">
        <f>IF(T82=0,0,X82/T82)</f>
        <v>-1.7584636761061241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13</v>
      </c>
      <c r="C84" s="10"/>
      <c r="D84" s="4">
        <v>12190.15</v>
      </c>
      <c r="E84" s="4"/>
      <c r="F84" s="12">
        <f>IF(D$12=0,0,D84/D$12)</f>
        <v>0.12310487477186999</v>
      </c>
      <c r="G84" s="4"/>
      <c r="H84" s="4">
        <v>13444.04</v>
      </c>
      <c r="I84" s="4"/>
      <c r="J84" s="12">
        <f>IF(H$12=0,0,H84/H$12)</f>
        <v>0.14754223938251057</v>
      </c>
      <c r="K84" s="4"/>
      <c r="L84" s="4">
        <f>+D84-H84</f>
        <v>-1253.8900000000012</v>
      </c>
      <c r="M84" s="4"/>
      <c r="N84" s="12">
        <f>IF(H84=0,0,L84/H84)</f>
        <v>-9.3267351183126582E-2</v>
      </c>
      <c r="O84" s="10"/>
      <c r="P84" s="4">
        <v>44989.35</v>
      </c>
      <c r="Q84" s="4"/>
      <c r="R84" s="12">
        <f>IF(P$12=0,0,P84/P$12)</f>
        <v>0.10589324549739486</v>
      </c>
      <c r="S84" s="4"/>
      <c r="T84" s="4">
        <v>39907.599999999999</v>
      </c>
      <c r="U84" s="4"/>
      <c r="V84" s="12">
        <f>IF(T$12=0,0,T84/T$12)</f>
        <v>0.10522238417992966</v>
      </c>
      <c r="W84" s="4"/>
      <c r="X84" s="4">
        <f>+P84-T84</f>
        <v>5081.75</v>
      </c>
      <c r="Y84" s="4"/>
      <c r="Z84" s="12">
        <f>IF(T84=0,0,X84/T84)</f>
        <v>0.12733790055027114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4</v>
      </c>
      <c r="C86" s="29"/>
      <c r="D86" s="31">
        <f>+D82-D84</f>
        <v>-7857.8800000000028</v>
      </c>
      <c r="E86" s="14"/>
      <c r="F86" s="32">
        <f>IF(D$12=0,0,D86/D$12)</f>
        <v>-7.9354506168700309E-2</v>
      </c>
      <c r="G86" s="14"/>
      <c r="H86" s="31">
        <f>+H82-H84</f>
        <v>-6305.419999999991</v>
      </c>
      <c r="I86" s="14"/>
      <c r="J86" s="32">
        <f>IF(H$12=0,0,H86/H$12)</f>
        <v>-6.9199123704427268E-2</v>
      </c>
      <c r="K86" s="15"/>
      <c r="L86" s="31">
        <f>D86-H86</f>
        <v>-1552.4600000000119</v>
      </c>
      <c r="M86" s="15"/>
      <c r="N86" s="32">
        <f>IF(H86=0,0,L86/H86)</f>
        <v>0.24621040311351411</v>
      </c>
      <c r="O86" s="28"/>
      <c r="P86" s="31">
        <f>+P82-P84</f>
        <v>-66108.900000000023</v>
      </c>
      <c r="Q86" s="14"/>
      <c r="R86" s="32">
        <f>IF(P$12=0,0,P86/P$12)</f>
        <v>-0.15560318113648519</v>
      </c>
      <c r="S86" s="14"/>
      <c r="T86" s="31">
        <f>+T82-T84</f>
        <v>-12062.429999999928</v>
      </c>
      <c r="U86" s="14"/>
      <c r="V86" s="32">
        <f>IF(T$12=0,0,T86/T$12)</f>
        <v>-3.1804409275513972E-2</v>
      </c>
      <c r="W86" s="15"/>
      <c r="X86" s="31">
        <f>P86-T86</f>
        <v>-54046.470000000096</v>
      </c>
      <c r="Y86" s="15"/>
      <c r="Z86" s="32">
        <f>IF(T86=0,0,X86/T86)</f>
        <v>4.4805623742480094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5</v>
      </c>
      <c r="C89" s="29"/>
      <c r="D89" s="34">
        <f>SUM(D86:D88)</f>
        <v>-7857.8800000000028</v>
      </c>
      <c r="E89" s="14"/>
      <c r="F89" s="30">
        <f>IF(D$12=0,0,D89/D$12)</f>
        <v>-7.9354506168700309E-2</v>
      </c>
      <c r="G89" s="14"/>
      <c r="H89" s="34">
        <f>SUM(H86:H88)</f>
        <v>-6305.419999999991</v>
      </c>
      <c r="I89" s="14"/>
      <c r="J89" s="30">
        <f>IF(H$12=0,0,H89/H$12)</f>
        <v>-6.9199123704427268E-2</v>
      </c>
      <c r="K89" s="15"/>
      <c r="L89" s="34">
        <f>+D89-H89</f>
        <v>-1552.4600000000119</v>
      </c>
      <c r="M89" s="15"/>
      <c r="N89" s="30">
        <f>IF(H89=0,0,L89/H89)</f>
        <v>0.24621040311351411</v>
      </c>
      <c r="O89" s="28"/>
      <c r="P89" s="34">
        <f>SUM(P86:P88)</f>
        <v>-66108.900000000023</v>
      </c>
      <c r="Q89" s="14"/>
      <c r="R89" s="30">
        <f>IF(P$12=0,0,P89/P$12)</f>
        <v>-0.15560318113648519</v>
      </c>
      <c r="S89" s="14"/>
      <c r="T89" s="34">
        <f>SUM(T86:T88)</f>
        <v>-12062.429999999928</v>
      </c>
      <c r="U89" s="14"/>
      <c r="V89" s="30">
        <f>IF(T$12=0,0,T89/T$12)</f>
        <v>-3.1804409275513972E-2</v>
      </c>
      <c r="W89" s="15"/>
      <c r="X89" s="34">
        <f>+P89-T89</f>
        <v>-54046.470000000096</v>
      </c>
      <c r="Y89" s="15"/>
      <c r="Z89" s="30">
        <f>IF(T89=0,0,X89/T89)</f>
        <v>4.4805623742480094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9">
        <v>43815.492004363427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62" t="s">
        <v>313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61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","406", " - ", "OPA! Greek")</f>
        <v>Department 406 - OPA! Greek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24578.789999999997</v>
      </c>
      <c r="E12" s="4"/>
      <c r="F12" s="12"/>
      <c r="G12" s="4"/>
      <c r="H12" s="4">
        <f>SUM(OSRRefH13x_0)</f>
        <v>19137.879999999997</v>
      </c>
      <c r="I12" s="4"/>
      <c r="J12" s="12"/>
      <c r="K12" s="4"/>
      <c r="L12" s="4">
        <f t="shared" ref="L12:L14" si="0">+D12-H12</f>
        <v>5440.91</v>
      </c>
      <c r="M12" s="4"/>
      <c r="N12" s="12">
        <f t="shared" ref="N12:N14" si="1">IF(H12=0,0,L12/H12)</f>
        <v>0.28430055993662834</v>
      </c>
      <c r="O12" s="10"/>
      <c r="P12" s="4">
        <f>SUM(OSRRefP13x_0)</f>
        <v>123671.07</v>
      </c>
      <c r="Q12" s="4"/>
      <c r="R12" s="12"/>
      <c r="S12" s="4"/>
      <c r="T12" s="4">
        <f>SUM(OSRRefT13x_0)</f>
        <v>109606.93000000001</v>
      </c>
      <c r="U12" s="4"/>
      <c r="V12" s="12"/>
      <c r="W12" s="4"/>
      <c r="X12" s="4">
        <f t="shared" ref="X12:X14" si="2">+P12-T12</f>
        <v>14064.14</v>
      </c>
      <c r="Y12" s="4"/>
      <c r="Z12" s="12">
        <f t="shared" ref="Z12:Z14" si="3">IF(T12=0,0,X12/T12)</f>
        <v>0.12831433194963127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--5855.03</f>
        <v>5855.03</v>
      </c>
      <c r="E13" s="2"/>
      <c r="F13" s="19"/>
      <c r="G13" s="2"/>
      <c r="H13" s="2">
        <f>--4838.82</f>
        <v>4838.82</v>
      </c>
      <c r="I13" s="2"/>
      <c r="J13" s="19"/>
      <c r="K13" s="2"/>
      <c r="L13" s="2">
        <f t="shared" si="0"/>
        <v>1016.21</v>
      </c>
      <c r="M13" s="2"/>
      <c r="N13" s="19">
        <f t="shared" si="1"/>
        <v>0.21001194506098597</v>
      </c>
      <c r="O13" s="11"/>
      <c r="P13" s="2">
        <f>--30496.9</f>
        <v>30496.9</v>
      </c>
      <c r="Q13" s="2"/>
      <c r="R13" s="19"/>
      <c r="S13" s="2"/>
      <c r="T13" s="2">
        <f>--30751.11</f>
        <v>30751.11</v>
      </c>
      <c r="U13" s="2"/>
      <c r="V13" s="19"/>
      <c r="W13" s="2"/>
      <c r="X13" s="2">
        <f t="shared" si="2"/>
        <v>-254.20999999999913</v>
      </c>
      <c r="Y13" s="2"/>
      <c r="Z13" s="19">
        <f t="shared" si="3"/>
        <v>-8.2666934624473429E-3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--18723.76</f>
        <v>18723.759999999998</v>
      </c>
      <c r="E14" s="2"/>
      <c r="F14" s="19"/>
      <c r="G14" s="2"/>
      <c r="H14" s="2">
        <f>--14299.06</f>
        <v>14299.06</v>
      </c>
      <c r="I14" s="2"/>
      <c r="J14" s="19"/>
      <c r="K14" s="2"/>
      <c r="L14" s="2">
        <f t="shared" si="0"/>
        <v>4424.6999999999989</v>
      </c>
      <c r="M14" s="2"/>
      <c r="N14" s="19">
        <f t="shared" si="1"/>
        <v>0.309439921225591</v>
      </c>
      <c r="O14" s="11"/>
      <c r="P14" s="2">
        <f>--93174.17</f>
        <v>93174.17</v>
      </c>
      <c r="Q14" s="2"/>
      <c r="R14" s="19"/>
      <c r="S14" s="2"/>
      <c r="T14" s="2">
        <f>--78855.82</f>
        <v>78855.820000000007</v>
      </c>
      <c r="U14" s="2"/>
      <c r="V14" s="19"/>
      <c r="W14" s="2"/>
      <c r="X14" s="2">
        <f t="shared" si="2"/>
        <v>14318.349999999991</v>
      </c>
      <c r="Y14" s="2"/>
      <c r="Z14" s="19">
        <f t="shared" si="3"/>
        <v>0.18157632499414741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9440.7200000000012</v>
      </c>
      <c r="E16" s="4"/>
      <c r="F16" s="12">
        <f t="shared" ref="F16:F18" si="4">IF(D$12=0,0,D16/D$12)</f>
        <v>0.3841002750745664</v>
      </c>
      <c r="G16" s="4"/>
      <c r="H16" s="4">
        <f>SUM(OSRRefH16x_0)</f>
        <v>6124.22</v>
      </c>
      <c r="I16" s="4"/>
      <c r="J16" s="12">
        <f t="shared" ref="J16:J18" si="5">IF(H$12=0,0,H16/H$12)</f>
        <v>0.32000514163533272</v>
      </c>
      <c r="K16" s="4"/>
      <c r="L16" s="4">
        <f t="shared" ref="L16:L18" si="6">+D16-H16</f>
        <v>3316.5000000000009</v>
      </c>
      <c r="M16" s="4"/>
      <c r="N16" s="12">
        <f t="shared" ref="N16:N18" si="7">IF(H16=0,0,L16/H16)</f>
        <v>0.54153835100633241</v>
      </c>
      <c r="O16" s="10"/>
      <c r="P16" s="4">
        <f>SUM(OSRRefP16x_0)</f>
        <v>43080.17</v>
      </c>
      <c r="Q16" s="4"/>
      <c r="R16" s="12">
        <f t="shared" ref="R16:R18" si="8">IF(P$12=0,0,P16/P$12)</f>
        <v>0.34834476648419066</v>
      </c>
      <c r="S16" s="4"/>
      <c r="T16" s="4">
        <f>SUM(OSRRefT16x_0)</f>
        <v>35074.420000000006</v>
      </c>
      <c r="U16" s="4"/>
      <c r="V16" s="12">
        <f t="shared" ref="V16:V18" si="9">IF(T$12=0,0,T16/T$12)</f>
        <v>0.32000184659856823</v>
      </c>
      <c r="W16" s="4"/>
      <c r="X16" s="4">
        <f t="shared" ref="X16:X18" si="10">+P16-T16</f>
        <v>8005.7499999999927</v>
      </c>
      <c r="Y16" s="4"/>
      <c r="Z16" s="12">
        <f t="shared" ref="Z16:Z18" si="11">IF(T16=0,0,X16/T16)</f>
        <v>0.22825038874484571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7815.34</v>
      </c>
      <c r="E17" s="2"/>
      <c r="F17" s="19">
        <f t="shared" si="4"/>
        <v>0.31797090092718155</v>
      </c>
      <c r="G17" s="2"/>
      <c r="H17" s="2">
        <v>6939.22</v>
      </c>
      <c r="I17" s="2"/>
      <c r="J17" s="19">
        <f t="shared" si="5"/>
        <v>0.3625908407827827</v>
      </c>
      <c r="K17" s="2"/>
      <c r="L17" s="2">
        <f t="shared" si="6"/>
        <v>876.11999999999989</v>
      </c>
      <c r="M17" s="2"/>
      <c r="N17" s="19">
        <f t="shared" si="7"/>
        <v>0.12625626511337007</v>
      </c>
      <c r="O17" s="11"/>
      <c r="P17" s="2">
        <v>45579.79</v>
      </c>
      <c r="Q17" s="2"/>
      <c r="R17" s="19">
        <f t="shared" si="8"/>
        <v>0.36855660745880181</v>
      </c>
      <c r="S17" s="2"/>
      <c r="T17" s="2">
        <v>40011.420000000006</v>
      </c>
      <c r="U17" s="2"/>
      <c r="V17" s="19">
        <f t="shared" si="9"/>
        <v>0.36504461898531421</v>
      </c>
      <c r="W17" s="2"/>
      <c r="X17" s="2">
        <f t="shared" si="10"/>
        <v>5568.3699999999953</v>
      </c>
      <c r="Y17" s="2"/>
      <c r="Z17" s="19">
        <f t="shared" si="11"/>
        <v>0.13916951710286699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1625.38</v>
      </c>
      <c r="E18" s="2"/>
      <c r="F18" s="19">
        <f t="shared" si="4"/>
        <v>6.6129374147384803E-2</v>
      </c>
      <c r="G18" s="2"/>
      <c r="H18" s="2">
        <v>-815</v>
      </c>
      <c r="I18" s="2"/>
      <c r="J18" s="19">
        <f t="shared" si="5"/>
        <v>-4.2585699147449987E-2</v>
      </c>
      <c r="K18" s="2"/>
      <c r="L18" s="2">
        <f t="shared" si="6"/>
        <v>2440.38</v>
      </c>
      <c r="M18" s="2"/>
      <c r="N18" s="19">
        <f t="shared" si="7"/>
        <v>-2.9943312883435582</v>
      </c>
      <c r="O18" s="11"/>
      <c r="P18" s="2">
        <v>-2499.62</v>
      </c>
      <c r="Q18" s="2"/>
      <c r="R18" s="19">
        <f t="shared" si="8"/>
        <v>-2.0211840974611119E-2</v>
      </c>
      <c r="S18" s="2"/>
      <c r="T18" s="2">
        <v>-4937</v>
      </c>
      <c r="U18" s="2"/>
      <c r="V18" s="19">
        <f t="shared" si="9"/>
        <v>-4.5042772386745984E-2</v>
      </c>
      <c r="W18" s="2"/>
      <c r="X18" s="2">
        <f t="shared" si="10"/>
        <v>2437.38</v>
      </c>
      <c r="Y18" s="2"/>
      <c r="Z18" s="19">
        <f t="shared" si="11"/>
        <v>-0.49369657686854368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15138.069999999996</v>
      </c>
      <c r="E20" s="14"/>
      <c r="F20" s="20">
        <f>IF(D$12=0,0,D20/D$12)</f>
        <v>0.61589972492543354</v>
      </c>
      <c r="G20" s="14"/>
      <c r="H20" s="21">
        <f>H12-H16</f>
        <v>13013.659999999996</v>
      </c>
      <c r="I20" s="14"/>
      <c r="J20" s="20">
        <f>IF(H$12=0,0,H20/H$12)</f>
        <v>0.67999485836466722</v>
      </c>
      <c r="K20" s="15"/>
      <c r="L20" s="21">
        <f>+D20-H20</f>
        <v>2124.41</v>
      </c>
      <c r="M20" s="15"/>
      <c r="N20" s="20">
        <f>IF(H20=0,0,L20/H20)</f>
        <v>0.16324462142087626</v>
      </c>
      <c r="O20" s="28"/>
      <c r="P20" s="21">
        <f>P12-P16</f>
        <v>80590.900000000009</v>
      </c>
      <c r="Q20" s="14"/>
      <c r="R20" s="20">
        <f>IF(P$12=0,0,P20/P$12)</f>
        <v>0.65165523351580934</v>
      </c>
      <c r="S20" s="14"/>
      <c r="T20" s="21">
        <f>T12-T16</f>
        <v>74532.510000000009</v>
      </c>
      <c r="U20" s="14"/>
      <c r="V20" s="20">
        <f>IF(T$12=0,0,T20/T$12)</f>
        <v>0.67999815340143188</v>
      </c>
      <c r="W20" s="15"/>
      <c r="X20" s="21">
        <f>+P20-T20</f>
        <v>6058.3899999999994</v>
      </c>
      <c r="Y20" s="15"/>
      <c r="Z20" s="20">
        <f>IF(T20=0,0,X20/T20)</f>
        <v>8.1285200243491049E-2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21007.16</v>
      </c>
      <c r="E22" s="22"/>
      <c r="F22" s="33">
        <f t="shared" ref="F22:F31" si="12">IF(D$12=0,0,D22/D$12)</f>
        <v>0.85468650002705593</v>
      </c>
      <c r="G22" s="22"/>
      <c r="H22" s="22">
        <f>SUM(OSRRefH22x_0)</f>
        <v>16347.369999999997</v>
      </c>
      <c r="I22" s="22"/>
      <c r="J22" s="33">
        <f t="shared" ref="J22:J31" si="13">IF(H$12=0,0,H22/H$12)</f>
        <v>0.85418917873871081</v>
      </c>
      <c r="K22" s="4"/>
      <c r="L22" s="22">
        <f t="shared" ref="L22:L31" si="14">+D22-H22</f>
        <v>4659.7900000000027</v>
      </c>
      <c r="M22" s="4"/>
      <c r="N22" s="33">
        <f t="shared" ref="N22:N31" si="15">IF(H22=0,0,L22/H22)</f>
        <v>0.28504829828896044</v>
      </c>
      <c r="O22" s="10"/>
      <c r="P22" s="22">
        <f>SUM(OSRRefP22x_0)</f>
        <v>109438.24</v>
      </c>
      <c r="Q22" s="22"/>
      <c r="R22" s="33">
        <f t="shared" ref="R22:R31" si="16">IF(P$12=0,0,P22/P$12)</f>
        <v>0.88491382827042731</v>
      </c>
      <c r="S22" s="22"/>
      <c r="T22" s="22">
        <f>SUM(OSRRefT22x_0)</f>
        <v>87489.540000000052</v>
      </c>
      <c r="U22" s="22"/>
      <c r="V22" s="33">
        <f t="shared" ref="V22:V31" si="17">IF(T$12=0,0,T22/T$12)</f>
        <v>0.79821175540634193</v>
      </c>
      <c r="W22" s="4"/>
      <c r="X22" s="22">
        <f t="shared" ref="X22:X31" si="18">+P22-T22</f>
        <v>21948.699999999953</v>
      </c>
      <c r="Y22" s="4"/>
      <c r="Z22" s="33">
        <f t="shared" ref="Z22:Z31" si="19">IF(T22=0,0,X22/T22)</f>
        <v>0.25087227570290049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2250.7200000000003</v>
      </c>
      <c r="E23" s="1"/>
      <c r="F23" s="5">
        <f t="shared" si="12"/>
        <v>9.1571635544304683E-2</v>
      </c>
      <c r="G23" s="1"/>
      <c r="H23" s="1">
        <f>SUM(OSRRefH22_0x_0)</f>
        <v>1839.02</v>
      </c>
      <c r="I23" s="1"/>
      <c r="J23" s="5">
        <f t="shared" si="13"/>
        <v>9.6093193185452105E-2</v>
      </c>
      <c r="K23" s="1"/>
      <c r="L23" s="1">
        <f t="shared" si="14"/>
        <v>411.70000000000027</v>
      </c>
      <c r="M23" s="1"/>
      <c r="N23" s="5">
        <f t="shared" si="15"/>
        <v>0.22386923470109094</v>
      </c>
      <c r="O23" s="13"/>
      <c r="P23" s="1">
        <f>SUM(OSRRefP22_0x_0)</f>
        <v>10899.88</v>
      </c>
      <c r="Q23" s="1"/>
      <c r="R23" s="5">
        <f t="shared" si="16"/>
        <v>8.8136053161018163E-2</v>
      </c>
      <c r="S23" s="1"/>
      <c r="T23" s="1">
        <f>SUM(OSRRefT22_0x_0)</f>
        <v>9968.2100000000009</v>
      </c>
      <c r="U23" s="1"/>
      <c r="V23" s="5">
        <f t="shared" si="17"/>
        <v>9.0945070717700055E-2</v>
      </c>
      <c r="W23" s="1"/>
      <c r="X23" s="1">
        <f t="shared" si="18"/>
        <v>931.66999999999825</v>
      </c>
      <c r="Y23" s="1"/>
      <c r="Z23" s="5">
        <f t="shared" si="19"/>
        <v>9.3464122445253275E-2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719.82</v>
      </c>
      <c r="E24" s="2"/>
      <c r="F24" s="7">
        <f t="shared" si="12"/>
        <v>2.9286226050997635E-2</v>
      </c>
      <c r="G24" s="2"/>
      <c r="H24" s="6">
        <v>498.93</v>
      </c>
      <c r="I24" s="2"/>
      <c r="J24" s="7">
        <f t="shared" si="13"/>
        <v>2.6070285736978185E-2</v>
      </c>
      <c r="K24" s="2"/>
      <c r="L24" s="6">
        <f t="shared" si="14"/>
        <v>220.89000000000004</v>
      </c>
      <c r="M24" s="2"/>
      <c r="N24" s="7">
        <f t="shared" si="15"/>
        <v>0.44272743671456927</v>
      </c>
      <c r="O24" s="11"/>
      <c r="P24" s="6">
        <v>3912.05</v>
      </c>
      <c r="Q24" s="2"/>
      <c r="R24" s="7">
        <f t="shared" si="16"/>
        <v>3.1632701164467973E-2</v>
      </c>
      <c r="S24" s="2"/>
      <c r="T24" s="6">
        <v>2901.86</v>
      </c>
      <c r="U24" s="2"/>
      <c r="V24" s="7">
        <f t="shared" si="17"/>
        <v>2.6475150795665932E-2</v>
      </c>
      <c r="W24" s="2"/>
      <c r="X24" s="6">
        <f t="shared" si="18"/>
        <v>1010.19</v>
      </c>
      <c r="Y24" s="2"/>
      <c r="Z24" s="7">
        <f t="shared" si="19"/>
        <v>0.34811810356116424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585</v>
      </c>
      <c r="E25" s="2"/>
      <c r="F25" s="7">
        <f t="shared" si="12"/>
        <v>2.3801008918665243E-2</v>
      </c>
      <c r="G25" s="2"/>
      <c r="H25" s="6">
        <v>454.49</v>
      </c>
      <c r="I25" s="2"/>
      <c r="J25" s="7">
        <f t="shared" si="13"/>
        <v>2.3748189454631342E-2</v>
      </c>
      <c r="K25" s="2"/>
      <c r="L25" s="6">
        <f t="shared" si="14"/>
        <v>130.51</v>
      </c>
      <c r="M25" s="2"/>
      <c r="N25" s="7">
        <f t="shared" si="15"/>
        <v>0.28715703315804525</v>
      </c>
      <c r="O25" s="11"/>
      <c r="P25" s="6">
        <v>1855.69</v>
      </c>
      <c r="Q25" s="2"/>
      <c r="R25" s="7">
        <f t="shared" si="16"/>
        <v>1.5005045238146641E-2</v>
      </c>
      <c r="S25" s="2"/>
      <c r="T25" s="6">
        <v>1975.17</v>
      </c>
      <c r="U25" s="2"/>
      <c r="V25" s="7">
        <f t="shared" si="17"/>
        <v>1.8020484653661954E-2</v>
      </c>
      <c r="W25" s="2"/>
      <c r="X25" s="6">
        <f t="shared" si="18"/>
        <v>-119.48000000000002</v>
      </c>
      <c r="Y25" s="2"/>
      <c r="Z25" s="7">
        <f t="shared" si="19"/>
        <v>-6.0490995711761524E-2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34.97</v>
      </c>
      <c r="E26" s="2"/>
      <c r="F26" s="7">
        <f t="shared" si="12"/>
        <v>1.4227714220268778E-3</v>
      </c>
      <c r="G26" s="2"/>
      <c r="H26" s="6">
        <v>31.65</v>
      </c>
      <c r="I26" s="2"/>
      <c r="J26" s="7">
        <f t="shared" si="13"/>
        <v>1.6537881938856343E-3</v>
      </c>
      <c r="K26" s="2"/>
      <c r="L26" s="6">
        <f t="shared" si="14"/>
        <v>3.3200000000000003</v>
      </c>
      <c r="M26" s="2"/>
      <c r="N26" s="7">
        <f t="shared" si="15"/>
        <v>0.10489731437598737</v>
      </c>
      <c r="O26" s="11"/>
      <c r="P26" s="6">
        <v>174.85</v>
      </c>
      <c r="Q26" s="2"/>
      <c r="R26" s="7">
        <f t="shared" si="16"/>
        <v>1.4138310600854346E-3</v>
      </c>
      <c r="S26" s="2"/>
      <c r="T26" s="6">
        <v>157.28</v>
      </c>
      <c r="U26" s="2"/>
      <c r="V26" s="7">
        <f t="shared" si="17"/>
        <v>1.434945764834395E-3</v>
      </c>
      <c r="W26" s="2"/>
      <c r="X26" s="6">
        <f t="shared" si="18"/>
        <v>17.569999999999993</v>
      </c>
      <c r="Y26" s="2"/>
      <c r="Z26" s="7">
        <f t="shared" si="19"/>
        <v>0.11171159715157676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39.200000000000003</v>
      </c>
      <c r="E27" s="2"/>
      <c r="F27" s="7">
        <f t="shared" si="12"/>
        <v>1.5948710249772265E-3</v>
      </c>
      <c r="G27" s="2"/>
      <c r="H27" s="6">
        <v>33.76</v>
      </c>
      <c r="I27" s="2"/>
      <c r="J27" s="7">
        <f t="shared" si="13"/>
        <v>1.7640407401446766E-3</v>
      </c>
      <c r="K27" s="2"/>
      <c r="L27" s="6">
        <f t="shared" si="14"/>
        <v>5.4400000000000048</v>
      </c>
      <c r="M27" s="2"/>
      <c r="N27" s="7">
        <f t="shared" si="15"/>
        <v>0.161137440758294</v>
      </c>
      <c r="O27" s="11"/>
      <c r="P27" s="6">
        <v>174.85</v>
      </c>
      <c r="Q27" s="2"/>
      <c r="R27" s="7">
        <f t="shared" si="16"/>
        <v>1.4138310600854346E-3</v>
      </c>
      <c r="S27" s="2"/>
      <c r="T27" s="6">
        <v>146.72</v>
      </c>
      <c r="U27" s="2"/>
      <c r="V27" s="7">
        <f t="shared" si="17"/>
        <v>1.3386014917122484E-3</v>
      </c>
      <c r="W27" s="2"/>
      <c r="X27" s="6">
        <f t="shared" si="18"/>
        <v>28.129999999999995</v>
      </c>
      <c r="Y27" s="2"/>
      <c r="Z27" s="7">
        <f t="shared" si="19"/>
        <v>0.19172573609596508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315.45</v>
      </c>
      <c r="E28" s="2"/>
      <c r="F28" s="7">
        <f t="shared" si="12"/>
        <v>1.2834236347680257E-2</v>
      </c>
      <c r="G28" s="2"/>
      <c r="H28" s="6">
        <v>300</v>
      </c>
      <c r="I28" s="2"/>
      <c r="J28" s="7">
        <f t="shared" si="13"/>
        <v>1.567571747758895E-2</v>
      </c>
      <c r="K28" s="2"/>
      <c r="L28" s="6">
        <f t="shared" si="14"/>
        <v>15.449999999999989</v>
      </c>
      <c r="M28" s="2"/>
      <c r="N28" s="7">
        <f t="shared" si="15"/>
        <v>5.1499999999999962E-2</v>
      </c>
      <c r="O28" s="11"/>
      <c r="P28" s="6">
        <v>1577.25</v>
      </c>
      <c r="Q28" s="2"/>
      <c r="R28" s="7">
        <f t="shared" si="16"/>
        <v>1.275358901641265E-2</v>
      </c>
      <c r="S28" s="2"/>
      <c r="T28" s="6">
        <v>1530.25</v>
      </c>
      <c r="U28" s="2"/>
      <c r="V28" s="7">
        <f t="shared" si="17"/>
        <v>1.3961252267534544E-2</v>
      </c>
      <c r="W28" s="2"/>
      <c r="X28" s="6">
        <f t="shared" si="18"/>
        <v>47</v>
      </c>
      <c r="Y28" s="2"/>
      <c r="Z28" s="7">
        <f t="shared" si="19"/>
        <v>3.0713935631432772E-2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173.88</v>
      </c>
      <c r="E29" s="2"/>
      <c r="F29" s="7">
        <f t="shared" si="12"/>
        <v>7.0743921893632686E-3</v>
      </c>
      <c r="G29" s="2"/>
      <c r="H29" s="6">
        <v>168.8</v>
      </c>
      <c r="I29" s="2"/>
      <c r="J29" s="7">
        <f t="shared" si="13"/>
        <v>8.8202037007233842E-3</v>
      </c>
      <c r="K29" s="2"/>
      <c r="L29" s="6">
        <f t="shared" si="14"/>
        <v>5.0799999999999841</v>
      </c>
      <c r="M29" s="2"/>
      <c r="N29" s="7">
        <f t="shared" si="15"/>
        <v>3.0094786729857725E-2</v>
      </c>
      <c r="O29" s="11"/>
      <c r="P29" s="6">
        <v>1026.29</v>
      </c>
      <c r="Q29" s="2"/>
      <c r="R29" s="7">
        <f t="shared" si="16"/>
        <v>8.2985454884477016E-3</v>
      </c>
      <c r="S29" s="2"/>
      <c r="T29" s="6">
        <v>979.87</v>
      </c>
      <c r="U29" s="2"/>
      <c r="V29" s="7">
        <f t="shared" si="17"/>
        <v>8.9398544416853937E-3</v>
      </c>
      <c r="W29" s="2"/>
      <c r="X29" s="6">
        <f t="shared" si="18"/>
        <v>46.419999999999959</v>
      </c>
      <c r="Y29" s="2"/>
      <c r="Z29" s="7">
        <f t="shared" si="19"/>
        <v>4.7373631195974937E-2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208.3</v>
      </c>
      <c r="E30" s="2"/>
      <c r="F30" s="7">
        <f t="shared" si="12"/>
        <v>8.4747865944580694E-3</v>
      </c>
      <c r="G30" s="2"/>
      <c r="H30" s="6">
        <v>202.24</v>
      </c>
      <c r="I30" s="2"/>
      <c r="J30" s="7">
        <f t="shared" si="13"/>
        <v>1.0567523675558632E-2</v>
      </c>
      <c r="K30" s="2"/>
      <c r="L30" s="6">
        <f t="shared" si="14"/>
        <v>6.0600000000000023</v>
      </c>
      <c r="M30" s="2"/>
      <c r="N30" s="7">
        <f t="shared" si="15"/>
        <v>2.9964398734177226E-2</v>
      </c>
      <c r="O30" s="11"/>
      <c r="P30" s="6">
        <v>1267.48</v>
      </c>
      <c r="Q30" s="2"/>
      <c r="R30" s="7">
        <f t="shared" si="16"/>
        <v>1.0248799496923573E-2</v>
      </c>
      <c r="S30" s="2"/>
      <c r="T30" s="6">
        <v>1530.45</v>
      </c>
      <c r="U30" s="2"/>
      <c r="V30" s="7">
        <f t="shared" si="17"/>
        <v>1.3963076969677008E-2</v>
      </c>
      <c r="W30" s="2"/>
      <c r="X30" s="6">
        <f t="shared" si="18"/>
        <v>-262.97000000000003</v>
      </c>
      <c r="Y30" s="2"/>
      <c r="Z30" s="7">
        <f t="shared" si="19"/>
        <v>-0.1718252801463622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174.1</v>
      </c>
      <c r="E31" s="2"/>
      <c r="F31" s="7">
        <f t="shared" si="12"/>
        <v>7.0833429961361001E-3</v>
      </c>
      <c r="G31" s="2"/>
      <c r="H31" s="6">
        <v>149.15</v>
      </c>
      <c r="I31" s="2"/>
      <c r="J31" s="7">
        <f t="shared" si="13"/>
        <v>7.7934442059413075E-3</v>
      </c>
      <c r="K31" s="2"/>
      <c r="L31" s="6">
        <f t="shared" si="14"/>
        <v>24.949999999999989</v>
      </c>
      <c r="M31" s="2"/>
      <c r="N31" s="7">
        <f t="shared" si="15"/>
        <v>0.16728126047603076</v>
      </c>
      <c r="O31" s="11"/>
      <c r="P31" s="6">
        <v>911.42</v>
      </c>
      <c r="Q31" s="2"/>
      <c r="R31" s="7">
        <f t="shared" si="16"/>
        <v>7.3697106364487659E-3</v>
      </c>
      <c r="S31" s="2"/>
      <c r="T31" s="6">
        <v>746.61</v>
      </c>
      <c r="U31" s="2"/>
      <c r="V31" s="7">
        <f t="shared" si="17"/>
        <v>6.811704332928584E-3</v>
      </c>
      <c r="W31" s="2"/>
      <c r="X31" s="6">
        <f t="shared" si="18"/>
        <v>164.80999999999995</v>
      </c>
      <c r="Y31" s="2"/>
      <c r="Z31" s="7">
        <f t="shared" si="19"/>
        <v>0.22074443149703318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13085.779999999999</v>
      </c>
      <c r="E32" s="1"/>
      <c r="F32" s="5">
        <f t="shared" ref="F32:F37" si="20">IF(D$12=0,0,D32/D$12)</f>
        <v>0.53240131023536963</v>
      </c>
      <c r="G32" s="1"/>
      <c r="H32" s="1">
        <f>SUM(OSRRefH22_1x_0)</f>
        <v>10422.11</v>
      </c>
      <c r="I32" s="1"/>
      <c r="J32" s="5">
        <f t="shared" ref="J32:J37" si="21">IF(H$12=0,0,H32/H$12)</f>
        <v>0.54458017293451533</v>
      </c>
      <c r="K32" s="1"/>
      <c r="L32" s="1">
        <f t="shared" ref="L32:L37" si="22">+D32-H32</f>
        <v>2663.6699999999983</v>
      </c>
      <c r="M32" s="1"/>
      <c r="N32" s="5">
        <f t="shared" ref="N32:N37" si="23">IF(H32=0,0,L32/H32)</f>
        <v>0.25557876476068647</v>
      </c>
      <c r="O32" s="13"/>
      <c r="P32" s="1">
        <f>SUM(OSRRefP22_1x_0)</f>
        <v>66036.100000000006</v>
      </c>
      <c r="Q32" s="1"/>
      <c r="R32" s="5">
        <f t="shared" ref="R32:R37" si="24">IF(P$12=0,0,P32/P$12)</f>
        <v>0.53396562348817711</v>
      </c>
      <c r="S32" s="1"/>
      <c r="T32" s="1">
        <f>SUM(OSRRefT22_1x_0)</f>
        <v>52568.729999999996</v>
      </c>
      <c r="U32" s="1"/>
      <c r="V32" s="5">
        <f t="shared" ref="V32:V37" si="25">IF(T$12=0,0,T32/T$12)</f>
        <v>0.47961137128829345</v>
      </c>
      <c r="W32" s="1"/>
      <c r="X32" s="1">
        <f t="shared" ref="X32:X37" si="26">+P32-T32</f>
        <v>13467.37000000001</v>
      </c>
      <c r="Y32" s="1"/>
      <c r="Z32" s="5">
        <f t="shared" ref="Z32:Z37" si="27">IF(T32=0,0,X32/T32)</f>
        <v>0.25618594932767086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4193.78</v>
      </c>
      <c r="E33" s="2"/>
      <c r="F33" s="7">
        <f t="shared" si="20"/>
        <v>0.17062597467165797</v>
      </c>
      <c r="G33" s="2"/>
      <c r="H33" s="6">
        <v>4513.8599999999997</v>
      </c>
      <c r="I33" s="2"/>
      <c r="J33" s="7">
        <f t="shared" si="21"/>
        <v>0.23585998031129887</v>
      </c>
      <c r="K33" s="2"/>
      <c r="L33" s="6">
        <f t="shared" si="22"/>
        <v>-320.07999999999993</v>
      </c>
      <c r="M33" s="2"/>
      <c r="N33" s="7">
        <f t="shared" si="23"/>
        <v>-7.0910484596332174E-2</v>
      </c>
      <c r="O33" s="11"/>
      <c r="P33" s="6">
        <v>22783.53</v>
      </c>
      <c r="Q33" s="2"/>
      <c r="R33" s="7">
        <f t="shared" si="24"/>
        <v>0.18422683655926966</v>
      </c>
      <c r="S33" s="2"/>
      <c r="T33" s="6">
        <v>22156.98</v>
      </c>
      <c r="U33" s="2"/>
      <c r="V33" s="7">
        <f t="shared" si="25"/>
        <v>0.20214944438275936</v>
      </c>
      <c r="W33" s="2"/>
      <c r="X33" s="6">
        <f t="shared" si="26"/>
        <v>626.54999999999927</v>
      </c>
      <c r="Y33" s="2"/>
      <c r="Z33" s="7">
        <f t="shared" si="27"/>
        <v>2.8277770707018705E-2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4764</v>
      </c>
      <c r="E34" s="2"/>
      <c r="F34" s="7">
        <f t="shared" si="20"/>
        <v>0.19382565211713029</v>
      </c>
      <c r="G34" s="2"/>
      <c r="H34" s="6">
        <v>2000.5</v>
      </c>
      <c r="I34" s="2"/>
      <c r="J34" s="7">
        <f t="shared" si="21"/>
        <v>0.10453090937972233</v>
      </c>
      <c r="K34" s="2"/>
      <c r="L34" s="6">
        <f t="shared" si="22"/>
        <v>2763.5</v>
      </c>
      <c r="M34" s="2"/>
      <c r="N34" s="7">
        <f t="shared" si="23"/>
        <v>1.3814046488377905</v>
      </c>
      <c r="O34" s="11"/>
      <c r="P34" s="6">
        <v>21893.070000000003</v>
      </c>
      <c r="Q34" s="2"/>
      <c r="R34" s="7">
        <f t="shared" si="24"/>
        <v>0.17702660775879114</v>
      </c>
      <c r="S34" s="2"/>
      <c r="T34" s="6">
        <v>9868.75</v>
      </c>
      <c r="U34" s="2"/>
      <c r="V34" s="7">
        <f t="shared" si="25"/>
        <v>9.0037646342252253E-2</v>
      </c>
      <c r="W34" s="2"/>
      <c r="X34" s="6">
        <f t="shared" si="26"/>
        <v>12024.320000000003</v>
      </c>
      <c r="Y34" s="2"/>
      <c r="Z34" s="7">
        <f t="shared" si="27"/>
        <v>1.2184238125395823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/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>
        <v>110.5</v>
      </c>
      <c r="Q35" s="2"/>
      <c r="R35" s="7">
        <f t="shared" si="24"/>
        <v>8.9349918295362043E-4</v>
      </c>
      <c r="S35" s="2"/>
      <c r="T35" s="6"/>
      <c r="U35" s="2"/>
      <c r="V35" s="7">
        <f t="shared" si="25"/>
        <v>0</v>
      </c>
      <c r="W35" s="2"/>
      <c r="X35" s="6">
        <f t="shared" si="26"/>
        <v>110.5</v>
      </c>
      <c r="Y35" s="2"/>
      <c r="Z35" s="7">
        <f t="shared" si="27"/>
        <v>0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3894</v>
      </c>
      <c r="E36" s="2"/>
      <c r="F36" s="7">
        <f t="shared" si="20"/>
        <v>0.15842927987911531</v>
      </c>
      <c r="G36" s="2"/>
      <c r="H36" s="6">
        <v>2972.75</v>
      </c>
      <c r="I36" s="2"/>
      <c r="J36" s="7">
        <f t="shared" si="21"/>
        <v>0.15533329710500851</v>
      </c>
      <c r="K36" s="2"/>
      <c r="L36" s="6">
        <f t="shared" si="22"/>
        <v>921.25</v>
      </c>
      <c r="M36" s="2"/>
      <c r="N36" s="7">
        <f t="shared" si="23"/>
        <v>0.30989824236817759</v>
      </c>
      <c r="O36" s="11"/>
      <c r="P36" s="6">
        <v>19719</v>
      </c>
      <c r="Q36" s="2"/>
      <c r="R36" s="7">
        <f t="shared" si="24"/>
        <v>0.15944715283857411</v>
      </c>
      <c r="S36" s="2"/>
      <c r="T36" s="6">
        <v>16001.249999999998</v>
      </c>
      <c r="U36" s="2"/>
      <c r="V36" s="7">
        <f t="shared" si="25"/>
        <v>0.14598757578558214</v>
      </c>
      <c r="W36" s="2"/>
      <c r="X36" s="6">
        <f t="shared" si="26"/>
        <v>3717.7500000000018</v>
      </c>
      <c r="Y36" s="2"/>
      <c r="Z36" s="7">
        <f t="shared" si="27"/>
        <v>0.23234122334192656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>
        <v>234</v>
      </c>
      <c r="E37" s="2"/>
      <c r="F37" s="7">
        <f t="shared" si="20"/>
        <v>9.5204035674660969E-3</v>
      </c>
      <c r="G37" s="2"/>
      <c r="H37" s="6">
        <v>935</v>
      </c>
      <c r="I37" s="2"/>
      <c r="J37" s="7">
        <f t="shared" si="21"/>
        <v>4.8855986138485567E-2</v>
      </c>
      <c r="K37" s="2"/>
      <c r="L37" s="6">
        <f t="shared" si="22"/>
        <v>-701</v>
      </c>
      <c r="M37" s="2"/>
      <c r="N37" s="7">
        <f t="shared" si="23"/>
        <v>-0.74973262032085564</v>
      </c>
      <c r="O37" s="11"/>
      <c r="P37" s="6">
        <v>1530</v>
      </c>
      <c r="Q37" s="2"/>
      <c r="R37" s="7">
        <f t="shared" si="24"/>
        <v>1.237152714858859E-2</v>
      </c>
      <c r="S37" s="2"/>
      <c r="T37" s="6">
        <v>4541.75</v>
      </c>
      <c r="U37" s="2"/>
      <c r="V37" s="7">
        <f t="shared" si="25"/>
        <v>4.1436704777699729E-2</v>
      </c>
      <c r="W37" s="2"/>
      <c r="X37" s="6">
        <f t="shared" si="26"/>
        <v>-3011.75</v>
      </c>
      <c r="Y37" s="2"/>
      <c r="Z37" s="7">
        <f t="shared" si="27"/>
        <v>-0.66312544723950018</v>
      </c>
    </row>
    <row r="38" spans="1:26" s="25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1526.48</v>
      </c>
      <c r="E38" s="1"/>
      <c r="F38" s="5">
        <f t="shared" ref="F38:F55" si="28">IF(D$12=0,0,D38/D$12)</f>
        <v>6.2105579648143797E-2</v>
      </c>
      <c r="G38" s="1"/>
      <c r="H38" s="1">
        <f>SUM(OSRRefH22_2x_0)</f>
        <v>6</v>
      </c>
      <c r="I38" s="1"/>
      <c r="J38" s="5">
        <f t="shared" ref="J38:J55" si="29">IF(H$12=0,0,H38/H$12)</f>
        <v>3.1351434955177905E-4</v>
      </c>
      <c r="K38" s="1"/>
      <c r="L38" s="1">
        <f t="shared" ref="L38:L55" si="30">+D38-H38</f>
        <v>1520.48</v>
      </c>
      <c r="M38" s="1"/>
      <c r="N38" s="5">
        <f t="shared" ref="N38:N55" si="31">IF(H38=0,0,L38/H38)</f>
        <v>253.41333333333333</v>
      </c>
      <c r="O38" s="13"/>
      <c r="P38" s="1">
        <f>SUM(OSRRefP22_2x_0)</f>
        <v>2424.71</v>
      </c>
      <c r="Q38" s="1"/>
      <c r="R38" s="5">
        <f t="shared" ref="R38:R55" si="32">IF(P$12=0,0,P38/P$12)</f>
        <v>1.9606121302257674E-2</v>
      </c>
      <c r="S38" s="1"/>
      <c r="T38" s="1">
        <f>SUM(OSRRefT22_2x_0)</f>
        <v>888.55</v>
      </c>
      <c r="U38" s="1"/>
      <c r="V38" s="5">
        <f t="shared" ref="V38:V55" si="33">IF(T$12=0,0,T38/T$12)</f>
        <v>8.1066954434359205E-3</v>
      </c>
      <c r="W38" s="1"/>
      <c r="X38" s="1">
        <f t="shared" ref="X38:X55" si="34">+P38-T38</f>
        <v>1536.16</v>
      </c>
      <c r="Y38" s="1"/>
      <c r="Z38" s="5">
        <f t="shared" ref="Z38:Z55" si="35">IF(T38=0,0,X38/T38)</f>
        <v>1.7288391199144675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>
        <v>1526.48</v>
      </c>
      <c r="E39" s="2"/>
      <c r="F39" s="7">
        <f t="shared" si="28"/>
        <v>6.2105579648143797E-2</v>
      </c>
      <c r="G39" s="2"/>
      <c r="H39" s="6">
        <v>6</v>
      </c>
      <c r="I39" s="2"/>
      <c r="J39" s="7">
        <f t="shared" si="29"/>
        <v>3.1351434955177905E-4</v>
      </c>
      <c r="K39" s="2"/>
      <c r="L39" s="6">
        <f t="shared" si="30"/>
        <v>1520.48</v>
      </c>
      <c r="M39" s="2"/>
      <c r="N39" s="7">
        <f t="shared" si="31"/>
        <v>253.41333333333333</v>
      </c>
      <c r="O39" s="11"/>
      <c r="P39" s="6">
        <v>2424.71</v>
      </c>
      <c r="Q39" s="2"/>
      <c r="R39" s="7">
        <f t="shared" si="32"/>
        <v>1.9606121302257674E-2</v>
      </c>
      <c r="S39" s="2"/>
      <c r="T39" s="6">
        <v>888.55</v>
      </c>
      <c r="U39" s="2"/>
      <c r="V39" s="7">
        <f t="shared" si="33"/>
        <v>8.1066954434359205E-3</v>
      </c>
      <c r="W39" s="2"/>
      <c r="X39" s="6">
        <f t="shared" si="34"/>
        <v>1536.16</v>
      </c>
      <c r="Y39" s="2"/>
      <c r="Z39" s="7">
        <f t="shared" si="35"/>
        <v>1.7288391199144675</v>
      </c>
    </row>
    <row r="40" spans="1:26" s="25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4.8099999999999996</v>
      </c>
      <c r="E40" s="1"/>
      <c r="F40" s="5">
        <f t="shared" si="28"/>
        <v>1.9569718444235865E-4</v>
      </c>
      <c r="G40" s="1"/>
      <c r="H40" s="1">
        <f>SUM(OSRRefH22_3x_0)</f>
        <v>5.94</v>
      </c>
      <c r="I40" s="1"/>
      <c r="J40" s="5">
        <f t="shared" si="29"/>
        <v>3.1037920605626125E-4</v>
      </c>
      <c r="K40" s="1"/>
      <c r="L40" s="1">
        <f t="shared" si="30"/>
        <v>-1.1300000000000008</v>
      </c>
      <c r="M40" s="1"/>
      <c r="N40" s="5">
        <f t="shared" si="31"/>
        <v>-0.19023569023569034</v>
      </c>
      <c r="O40" s="13"/>
      <c r="P40" s="1">
        <f>SUM(OSRRefP22_3x_0)</f>
        <v>-8.7200000000000006</v>
      </c>
      <c r="Q40" s="1"/>
      <c r="R40" s="5">
        <f t="shared" si="32"/>
        <v>-7.050961878149837E-5</v>
      </c>
      <c r="S40" s="1"/>
      <c r="T40" s="1">
        <f>SUM(OSRRefT22_3x_0)</f>
        <v>-45.4</v>
      </c>
      <c r="U40" s="1"/>
      <c r="V40" s="5">
        <f t="shared" si="33"/>
        <v>-4.1420738633953159E-4</v>
      </c>
      <c r="W40" s="1"/>
      <c r="X40" s="1">
        <f t="shared" si="34"/>
        <v>36.68</v>
      </c>
      <c r="Y40" s="1"/>
      <c r="Z40" s="5">
        <f t="shared" si="35"/>
        <v>-0.80792951541850222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>
        <v>4.8099999999999996</v>
      </c>
      <c r="E41" s="2"/>
      <c r="F41" s="7">
        <f t="shared" si="28"/>
        <v>1.9569718444235865E-4</v>
      </c>
      <c r="G41" s="2"/>
      <c r="H41" s="6">
        <v>5.94</v>
      </c>
      <c r="I41" s="2"/>
      <c r="J41" s="7">
        <f t="shared" si="29"/>
        <v>3.1037920605626125E-4</v>
      </c>
      <c r="K41" s="2"/>
      <c r="L41" s="6">
        <f t="shared" si="30"/>
        <v>-1.1300000000000008</v>
      </c>
      <c r="M41" s="2"/>
      <c r="N41" s="7">
        <f t="shared" si="31"/>
        <v>-0.19023569023569034</v>
      </c>
      <c r="O41" s="11"/>
      <c r="P41" s="6">
        <v>-8.7200000000000006</v>
      </c>
      <c r="Q41" s="2"/>
      <c r="R41" s="7">
        <f t="shared" si="32"/>
        <v>-7.050961878149837E-5</v>
      </c>
      <c r="S41" s="2"/>
      <c r="T41" s="6">
        <v>-45.4</v>
      </c>
      <c r="U41" s="2"/>
      <c r="V41" s="7">
        <f t="shared" si="33"/>
        <v>-4.1420738633953159E-4</v>
      </c>
      <c r="W41" s="2"/>
      <c r="X41" s="6">
        <f t="shared" si="34"/>
        <v>36.68</v>
      </c>
      <c r="Y41" s="2"/>
      <c r="Z41" s="7">
        <f t="shared" si="35"/>
        <v>-0.80792951541850222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850.3</v>
      </c>
      <c r="E42" s="1"/>
      <c r="F42" s="5">
        <f t="shared" si="28"/>
        <v>3.4594868176993254E-2</v>
      </c>
      <c r="G42" s="1"/>
      <c r="H42" s="1">
        <f>SUM(OSRRefH22_4x_0)</f>
        <v>744.57</v>
      </c>
      <c r="I42" s="1"/>
      <c r="J42" s="5">
        <f t="shared" si="29"/>
        <v>3.8905563207628023E-2</v>
      </c>
      <c r="K42" s="1"/>
      <c r="L42" s="1">
        <f t="shared" si="30"/>
        <v>105.7299999999999</v>
      </c>
      <c r="M42" s="1"/>
      <c r="N42" s="5">
        <f t="shared" si="31"/>
        <v>0.14200142364049034</v>
      </c>
      <c r="O42" s="13"/>
      <c r="P42" s="1">
        <f>SUM(OSRRefP22_4x_0)</f>
        <v>4379.26</v>
      </c>
      <c r="Q42" s="1"/>
      <c r="R42" s="5">
        <f t="shared" si="32"/>
        <v>3.5410545085443182E-2</v>
      </c>
      <c r="S42" s="1"/>
      <c r="T42" s="1">
        <f>SUM(OSRRefT22_4x_0)</f>
        <v>3851.42</v>
      </c>
      <c r="U42" s="1"/>
      <c r="V42" s="5">
        <f t="shared" si="33"/>
        <v>3.5138471627660768E-2</v>
      </c>
      <c r="W42" s="1"/>
      <c r="X42" s="1">
        <f t="shared" si="34"/>
        <v>527.84000000000015</v>
      </c>
      <c r="Y42" s="1"/>
      <c r="Z42" s="5">
        <f t="shared" si="35"/>
        <v>0.1370507501129454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>
        <v>850.3</v>
      </c>
      <c r="E43" s="2"/>
      <c r="F43" s="7">
        <f t="shared" si="28"/>
        <v>3.4594868176993254E-2</v>
      </c>
      <c r="G43" s="2"/>
      <c r="H43" s="6">
        <v>744.57</v>
      </c>
      <c r="I43" s="2"/>
      <c r="J43" s="7">
        <f t="shared" si="29"/>
        <v>3.8905563207628023E-2</v>
      </c>
      <c r="K43" s="2"/>
      <c r="L43" s="6">
        <f t="shared" si="30"/>
        <v>105.7299999999999</v>
      </c>
      <c r="M43" s="2"/>
      <c r="N43" s="7">
        <f t="shared" si="31"/>
        <v>0.14200142364049034</v>
      </c>
      <c r="O43" s="11"/>
      <c r="P43" s="6">
        <v>4379.26</v>
      </c>
      <c r="Q43" s="2"/>
      <c r="R43" s="7">
        <f t="shared" si="32"/>
        <v>3.5410545085443182E-2</v>
      </c>
      <c r="S43" s="2"/>
      <c r="T43" s="6">
        <v>3851.42</v>
      </c>
      <c r="U43" s="2"/>
      <c r="V43" s="7">
        <f t="shared" si="33"/>
        <v>3.5138471627660768E-2</v>
      </c>
      <c r="W43" s="2"/>
      <c r="X43" s="6">
        <f t="shared" si="34"/>
        <v>527.84000000000015</v>
      </c>
      <c r="Y43" s="2"/>
      <c r="Z43" s="7">
        <f t="shared" si="35"/>
        <v>0.1370507501129454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2775.32</v>
      </c>
      <c r="E44" s="1"/>
      <c r="F44" s="5">
        <f t="shared" si="28"/>
        <v>0.1129152411489744</v>
      </c>
      <c r="G44" s="1"/>
      <c r="H44" s="1">
        <f>SUM(OSRRefH22_5x_0)</f>
        <v>2776.01</v>
      </c>
      <c r="I44" s="1"/>
      <c r="J44" s="5">
        <f t="shared" si="29"/>
        <v>0.14505316158320569</v>
      </c>
      <c r="K44" s="1"/>
      <c r="L44" s="1">
        <f t="shared" si="30"/>
        <v>-0.69000000000005457</v>
      </c>
      <c r="M44" s="1"/>
      <c r="N44" s="5">
        <f t="shared" si="31"/>
        <v>-2.4855818242731638E-4</v>
      </c>
      <c r="O44" s="13"/>
      <c r="P44" s="1">
        <f>SUM(OSRRefP22_5x_0)</f>
        <v>13876.6</v>
      </c>
      <c r="Q44" s="1"/>
      <c r="R44" s="5">
        <f t="shared" si="32"/>
        <v>0.11220570825497021</v>
      </c>
      <c r="S44" s="1"/>
      <c r="T44" s="1">
        <f>SUM(OSRRefT22_5x_0)</f>
        <v>13880.05</v>
      </c>
      <c r="U44" s="1"/>
      <c r="V44" s="5">
        <f t="shared" si="33"/>
        <v>0.12663478486259946</v>
      </c>
      <c r="W44" s="1"/>
      <c r="X44" s="1">
        <f t="shared" si="34"/>
        <v>-3.4499999999989086</v>
      </c>
      <c r="Y44" s="1"/>
      <c r="Z44" s="5">
        <f t="shared" si="35"/>
        <v>-2.4855818242721809E-4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2775.32</v>
      </c>
      <c r="E45" s="2"/>
      <c r="F45" s="7">
        <f t="shared" si="28"/>
        <v>0.1129152411489744</v>
      </c>
      <c r="G45" s="2"/>
      <c r="H45" s="6">
        <v>2776.01</v>
      </c>
      <c r="I45" s="2"/>
      <c r="J45" s="7">
        <f t="shared" si="29"/>
        <v>0.14505316158320569</v>
      </c>
      <c r="K45" s="2"/>
      <c r="L45" s="6">
        <f t="shared" si="30"/>
        <v>-0.69000000000005457</v>
      </c>
      <c r="M45" s="2"/>
      <c r="N45" s="7">
        <f t="shared" si="31"/>
        <v>-2.4855818242731638E-4</v>
      </c>
      <c r="O45" s="11"/>
      <c r="P45" s="6">
        <v>13876.6</v>
      </c>
      <c r="Q45" s="2"/>
      <c r="R45" s="7">
        <f t="shared" si="32"/>
        <v>0.11220570825497021</v>
      </c>
      <c r="S45" s="2"/>
      <c r="T45" s="6">
        <v>13880.05</v>
      </c>
      <c r="U45" s="2"/>
      <c r="V45" s="7">
        <f t="shared" si="33"/>
        <v>0.12663478486259946</v>
      </c>
      <c r="W45" s="2"/>
      <c r="X45" s="6">
        <f t="shared" si="34"/>
        <v>-3.4499999999989086</v>
      </c>
      <c r="Y45" s="2"/>
      <c r="Z45" s="7">
        <f t="shared" si="35"/>
        <v>-2.4855818242721809E-4</v>
      </c>
    </row>
    <row r="46" spans="1:26" s="25" customFormat="1" outlineLevel="1" collapsed="1" x14ac:dyDescent="0.25">
      <c r="A46" s="27"/>
      <c r="B46" s="13" t="str">
        <f>CONCATENATE("     ","Employees' Appreciation                           ")</f>
        <v xml:space="preserve">     Employees' Appreciation                           </v>
      </c>
      <c r="C46" s="13"/>
      <c r="D46" s="1">
        <f>SUM(OSRRefD22_6x_0)</f>
        <v>0</v>
      </c>
      <c r="E46" s="1"/>
      <c r="F46" s="5">
        <f t="shared" si="28"/>
        <v>0</v>
      </c>
      <c r="G46" s="1"/>
      <c r="H46" s="1">
        <f>SUM(OSRRefH22_6x_0)</f>
        <v>34.21</v>
      </c>
      <c r="I46" s="1"/>
      <c r="J46" s="5">
        <f t="shared" si="29"/>
        <v>1.7875543163610602E-3</v>
      </c>
      <c r="K46" s="1"/>
      <c r="L46" s="1">
        <f t="shared" si="30"/>
        <v>-34.21</v>
      </c>
      <c r="M46" s="1"/>
      <c r="N46" s="5">
        <f t="shared" si="31"/>
        <v>-1</v>
      </c>
      <c r="O46" s="13"/>
      <c r="P46" s="1">
        <f>SUM(OSRRefP22_6x_0)</f>
        <v>0</v>
      </c>
      <c r="Q46" s="1"/>
      <c r="R46" s="5">
        <f t="shared" si="32"/>
        <v>0</v>
      </c>
      <c r="S46" s="1"/>
      <c r="T46" s="1">
        <f>SUM(OSRRefT22_6x_0)</f>
        <v>34.21</v>
      </c>
      <c r="U46" s="1"/>
      <c r="V46" s="5">
        <f t="shared" si="33"/>
        <v>3.1211530146862065E-4</v>
      </c>
      <c r="W46" s="1"/>
      <c r="X46" s="1">
        <f t="shared" si="34"/>
        <v>-34.21</v>
      </c>
      <c r="Y46" s="1"/>
      <c r="Z46" s="5">
        <f t="shared" si="35"/>
        <v>-1</v>
      </c>
    </row>
    <row r="47" spans="1:26" s="24" customFormat="1" hidden="1" outlineLevel="2" x14ac:dyDescent="0.25">
      <c r="A47" s="26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8"/>
        <v>0</v>
      </c>
      <c r="G47" s="2"/>
      <c r="H47" s="6">
        <v>34.21</v>
      </c>
      <c r="I47" s="2"/>
      <c r="J47" s="7">
        <f t="shared" si="29"/>
        <v>1.7875543163610602E-3</v>
      </c>
      <c r="K47" s="2"/>
      <c r="L47" s="6">
        <f t="shared" si="30"/>
        <v>-34.21</v>
      </c>
      <c r="M47" s="2"/>
      <c r="N47" s="7">
        <f t="shared" si="31"/>
        <v>-1</v>
      </c>
      <c r="O47" s="11"/>
      <c r="P47" s="6"/>
      <c r="Q47" s="2"/>
      <c r="R47" s="7">
        <f t="shared" si="32"/>
        <v>0</v>
      </c>
      <c r="S47" s="2"/>
      <c r="T47" s="6">
        <v>34.21</v>
      </c>
      <c r="U47" s="2"/>
      <c r="V47" s="7">
        <f t="shared" si="33"/>
        <v>3.1211530146862065E-4</v>
      </c>
      <c r="W47" s="2"/>
      <c r="X47" s="6">
        <f t="shared" si="34"/>
        <v>-34.21</v>
      </c>
      <c r="Y47" s="2"/>
      <c r="Z47" s="7">
        <f t="shared" si="35"/>
        <v>-1</v>
      </c>
    </row>
    <row r="48" spans="1:26" s="25" customFormat="1" outlineLevel="1" collapsed="1" x14ac:dyDescent="0.25">
      <c r="A48" s="27"/>
      <c r="B48" s="13" t="str">
        <f>CONCATENATE("     ","Equipment Rental                                  ")</f>
        <v xml:space="preserve">     Equipment Rental                                  </v>
      </c>
      <c r="C48" s="13"/>
      <c r="D48" s="1">
        <f>SUM(OSRRefD22_7x_0)</f>
        <v>61.04</v>
      </c>
      <c r="E48" s="1"/>
      <c r="F48" s="5">
        <f t="shared" si="28"/>
        <v>2.4834420246073953E-3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61.04</v>
      </c>
      <c r="M48" s="1"/>
      <c r="N48" s="5">
        <f t="shared" si="31"/>
        <v>0</v>
      </c>
      <c r="O48" s="13"/>
      <c r="P48" s="1">
        <f>SUM(OSRRefP22_7x_0)</f>
        <v>522.76</v>
      </c>
      <c r="Q48" s="1"/>
      <c r="R48" s="5">
        <f t="shared" si="32"/>
        <v>4.2270193020890008E-3</v>
      </c>
      <c r="S48" s="1"/>
      <c r="T48" s="1">
        <f>SUM(OSRRefT22_7x_0)</f>
        <v>0</v>
      </c>
      <c r="U48" s="1"/>
      <c r="V48" s="5">
        <f t="shared" si="33"/>
        <v>0</v>
      </c>
      <c r="W48" s="1"/>
      <c r="X48" s="1">
        <f t="shared" si="34"/>
        <v>522.76</v>
      </c>
      <c r="Y48" s="1"/>
      <c r="Z48" s="5">
        <f t="shared" si="35"/>
        <v>0</v>
      </c>
    </row>
    <row r="49" spans="1:26" s="24" customFormat="1" hidden="1" outlineLevel="2" x14ac:dyDescent="0.25">
      <c r="A49" s="26"/>
      <c r="B49" s="11" t="str">
        <f>CONCATENATE("          ", "6351", " - ", "EQUIPMENT RENTAL")</f>
        <v xml:space="preserve">          6351 - EQUIPMENT RENTAL</v>
      </c>
      <c r="C49" s="11"/>
      <c r="D49" s="6">
        <v>61.04</v>
      </c>
      <c r="E49" s="2"/>
      <c r="F49" s="7">
        <f t="shared" si="28"/>
        <v>2.4834420246073953E-3</v>
      </c>
      <c r="G49" s="2"/>
      <c r="H49" s="6"/>
      <c r="I49" s="2"/>
      <c r="J49" s="7">
        <f t="shared" si="29"/>
        <v>0</v>
      </c>
      <c r="K49" s="2"/>
      <c r="L49" s="6">
        <f t="shared" si="30"/>
        <v>61.04</v>
      </c>
      <c r="M49" s="2"/>
      <c r="N49" s="7">
        <f t="shared" si="31"/>
        <v>0</v>
      </c>
      <c r="O49" s="11"/>
      <c r="P49" s="6">
        <v>522.76</v>
      </c>
      <c r="Q49" s="2"/>
      <c r="R49" s="7">
        <f t="shared" si="32"/>
        <v>4.2270193020890008E-3</v>
      </c>
      <c r="S49" s="2"/>
      <c r="T49" s="6"/>
      <c r="U49" s="2"/>
      <c r="V49" s="7">
        <f t="shared" si="33"/>
        <v>0</v>
      </c>
      <c r="W49" s="2"/>
      <c r="X49" s="6">
        <f t="shared" si="34"/>
        <v>522.76</v>
      </c>
      <c r="Y49" s="2"/>
      <c r="Z49" s="7">
        <f t="shared" si="35"/>
        <v>0</v>
      </c>
    </row>
    <row r="50" spans="1:26" s="25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0</v>
      </c>
      <c r="E50" s="1"/>
      <c r="F50" s="5">
        <f t="shared" si="28"/>
        <v>0</v>
      </c>
      <c r="G50" s="1"/>
      <c r="H50" s="1">
        <f>SUM(OSRRefH22_8x_0)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3"/>
      <c r="P50" s="1">
        <f>SUM(OSRRefP22_8x_0)</f>
        <v>749.55</v>
      </c>
      <c r="Q50" s="1"/>
      <c r="R50" s="5">
        <f t="shared" si="32"/>
        <v>6.0608354079899193E-3</v>
      </c>
      <c r="S50" s="1"/>
      <c r="T50" s="1">
        <f>SUM(OSRRefT22_8x_0)</f>
        <v>769.2</v>
      </c>
      <c r="U50" s="1"/>
      <c r="V50" s="5">
        <f t="shared" si="33"/>
        <v>7.0178044399199944E-3</v>
      </c>
      <c r="W50" s="1"/>
      <c r="X50" s="1">
        <f t="shared" si="34"/>
        <v>-19.650000000000091</v>
      </c>
      <c r="Y50" s="1"/>
      <c r="Z50" s="5">
        <f t="shared" si="35"/>
        <v>-2.5546021840873751E-2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28"/>
        <v>0</v>
      </c>
      <c r="G51" s="2"/>
      <c r="H51" s="6"/>
      <c r="I51" s="2"/>
      <c r="J51" s="7">
        <f t="shared" si="29"/>
        <v>0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>
        <v>749.55</v>
      </c>
      <c r="Q51" s="2"/>
      <c r="R51" s="7">
        <f t="shared" si="32"/>
        <v>6.0608354079899193E-3</v>
      </c>
      <c r="S51" s="2"/>
      <c r="T51" s="6">
        <v>769.2</v>
      </c>
      <c r="U51" s="2"/>
      <c r="V51" s="7">
        <f t="shared" si="33"/>
        <v>7.0178044399199944E-3</v>
      </c>
      <c r="W51" s="2"/>
      <c r="X51" s="6">
        <f t="shared" si="34"/>
        <v>-19.650000000000091</v>
      </c>
      <c r="Y51" s="2"/>
      <c r="Z51" s="7">
        <f t="shared" si="35"/>
        <v>-2.5546021840873751E-2</v>
      </c>
    </row>
    <row r="52" spans="1:26" s="25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SUM(OSRRefD22_9x_0)</f>
        <v>0</v>
      </c>
      <c r="E52" s="1"/>
      <c r="F52" s="5">
        <f t="shared" si="28"/>
        <v>0</v>
      </c>
      <c r="G52" s="1"/>
      <c r="H52" s="1">
        <f>SUM(OSRRefH22_9x_0)</f>
        <v>192.34</v>
      </c>
      <c r="I52" s="1"/>
      <c r="J52" s="5">
        <f t="shared" si="29"/>
        <v>1.0050224998798197E-2</v>
      </c>
      <c r="K52" s="1"/>
      <c r="L52" s="1">
        <f t="shared" si="30"/>
        <v>-192.34</v>
      </c>
      <c r="M52" s="1"/>
      <c r="N52" s="5">
        <f t="shared" si="31"/>
        <v>-1</v>
      </c>
      <c r="O52" s="13"/>
      <c r="P52" s="1">
        <f>SUM(OSRRefP22_9x_0)</f>
        <v>4631.76</v>
      </c>
      <c r="Q52" s="1"/>
      <c r="R52" s="5">
        <f t="shared" si="32"/>
        <v>3.745225136323313E-2</v>
      </c>
      <c r="S52" s="1"/>
      <c r="T52" s="1">
        <f>SUM(OSRRefT22_9x_0)</f>
        <v>1520.98</v>
      </c>
      <c r="U52" s="1"/>
      <c r="V52" s="5">
        <f t="shared" si="33"/>
        <v>1.3876677323231295E-2</v>
      </c>
      <c r="W52" s="1"/>
      <c r="X52" s="1">
        <f t="shared" si="34"/>
        <v>3110.78</v>
      </c>
      <c r="Y52" s="1"/>
      <c r="Z52" s="5">
        <f t="shared" si="35"/>
        <v>2.0452471432891954</v>
      </c>
    </row>
    <row r="53" spans="1:26" s="24" customFormat="1" hidden="1" outlineLevel="2" x14ac:dyDescent="0.25">
      <c r="A53" s="26"/>
      <c r="B53" s="11" t="str">
        <f>CONCATENATE("          ", "6371", " - ", "COMPUTER SOFTWARE MAINTENANCE")</f>
        <v xml:space="preserve">          6371 - COMPUTER SOFTWARE MAINTENANCE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>
        <v>2186.54</v>
      </c>
      <c r="Q53" s="2"/>
      <c r="R53" s="7">
        <f t="shared" si="32"/>
        <v>1.7680286909460715E-2</v>
      </c>
      <c r="S53" s="2"/>
      <c r="T53" s="6"/>
      <c r="U53" s="2"/>
      <c r="V53" s="7">
        <f t="shared" si="33"/>
        <v>0</v>
      </c>
      <c r="W53" s="2"/>
      <c r="X53" s="6">
        <f t="shared" si="34"/>
        <v>2186.54</v>
      </c>
      <c r="Y53" s="2"/>
      <c r="Z53" s="7">
        <f t="shared" si="35"/>
        <v>0</v>
      </c>
    </row>
    <row r="54" spans="1:26" s="24" customFormat="1" hidden="1" outlineLevel="2" x14ac:dyDescent="0.25">
      <c r="A54" s="26"/>
      <c r="B54" s="11" t="str">
        <f>CONCATENATE("          ", "6373", " - ", "MAINTENANCE CONTRACTS")</f>
        <v xml:space="preserve">          6373 - MAINTENANCE CONTRACTS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65.989999999999995</v>
      </c>
      <c r="Q54" s="2"/>
      <c r="R54" s="7">
        <f t="shared" si="32"/>
        <v>5.335928604806281E-4</v>
      </c>
      <c r="S54" s="2"/>
      <c r="T54" s="6">
        <v>65.989999999999995</v>
      </c>
      <c r="U54" s="2"/>
      <c r="V54" s="7">
        <f t="shared" si="33"/>
        <v>6.0206047190629265E-4</v>
      </c>
      <c r="W54" s="2"/>
      <c r="X54" s="6">
        <f t="shared" si="34"/>
        <v>0</v>
      </c>
      <c r="Y54" s="2"/>
      <c r="Z54" s="7">
        <f t="shared" si="35"/>
        <v>0</v>
      </c>
    </row>
    <row r="55" spans="1:26" s="24" customFormat="1" hidden="1" outlineLevel="2" x14ac:dyDescent="0.25">
      <c r="A55" s="26"/>
      <c r="B55" s="11" t="str">
        <f>CONCATENATE("          ", "6375", " - ", "OUTSIDE REPAIRS &amp; MAINTENANCE")</f>
        <v xml:space="preserve">          6375 - OUTSIDE REPAIRS &amp; MAINTENANCE</v>
      </c>
      <c r="C55" s="11"/>
      <c r="D55" s="6"/>
      <c r="E55" s="2"/>
      <c r="F55" s="7">
        <f t="shared" si="28"/>
        <v>0</v>
      </c>
      <c r="G55" s="2"/>
      <c r="H55" s="6">
        <v>192.34</v>
      </c>
      <c r="I55" s="2"/>
      <c r="J55" s="7">
        <f t="shared" si="29"/>
        <v>1.0050224998798197E-2</v>
      </c>
      <c r="K55" s="2"/>
      <c r="L55" s="6">
        <f t="shared" si="30"/>
        <v>-192.34</v>
      </c>
      <c r="M55" s="2"/>
      <c r="N55" s="7">
        <f t="shared" si="31"/>
        <v>-1</v>
      </c>
      <c r="O55" s="11"/>
      <c r="P55" s="6">
        <v>2379.23</v>
      </c>
      <c r="Q55" s="2"/>
      <c r="R55" s="7">
        <f t="shared" si="32"/>
        <v>1.9238371593291784E-2</v>
      </c>
      <c r="S55" s="2"/>
      <c r="T55" s="6">
        <v>1454.99</v>
      </c>
      <c r="U55" s="2"/>
      <c r="V55" s="7">
        <f t="shared" si="33"/>
        <v>1.3274616851325001E-2</v>
      </c>
      <c r="W55" s="2"/>
      <c r="X55" s="6">
        <f t="shared" si="34"/>
        <v>924.24</v>
      </c>
      <c r="Y55" s="2"/>
      <c r="Z55" s="7">
        <f t="shared" si="35"/>
        <v>0.63522086062447169</v>
      </c>
    </row>
    <row r="56" spans="1:26" s="25" customFormat="1" outlineLevel="1" collapsed="1" x14ac:dyDescent="0.25">
      <c r="A56" s="27"/>
      <c r="B56" s="13" t="str">
        <f>CONCATENATE("     ","Services                                          ")</f>
        <v xml:space="preserve">     Services                                          </v>
      </c>
      <c r="C56" s="13"/>
      <c r="D56" s="1">
        <f>SUM(OSRRefD22_10x_0)</f>
        <v>49.2</v>
      </c>
      <c r="E56" s="1"/>
      <c r="F56" s="5">
        <f t="shared" ref="F56:F58" si="36">IF(D$12=0,0,D56/D$12)</f>
        <v>2.0017258782877435E-3</v>
      </c>
      <c r="G56" s="1"/>
      <c r="H56" s="1">
        <f>SUM(OSRRefH22_10x_0)</f>
        <v>78.8</v>
      </c>
      <c r="I56" s="1"/>
      <c r="J56" s="5">
        <f t="shared" ref="J56:J58" si="37">IF(H$12=0,0,H56/H$12)</f>
        <v>4.1174884574466976E-3</v>
      </c>
      <c r="K56" s="1"/>
      <c r="L56" s="1">
        <f t="shared" ref="L56:L58" si="38">+D56-H56</f>
        <v>-29.599999999999994</v>
      </c>
      <c r="M56" s="1"/>
      <c r="N56" s="5">
        <f t="shared" ref="N56:N58" si="39">IF(H56=0,0,L56/H56)</f>
        <v>-0.37563451776649742</v>
      </c>
      <c r="O56" s="13"/>
      <c r="P56" s="1">
        <f>SUM(OSRRefP22_10x_0)</f>
        <v>237.72</v>
      </c>
      <c r="Q56" s="1"/>
      <c r="R56" s="5">
        <f t="shared" ref="R56:R58" si="40">IF(P$12=0,0,P56/P$12)</f>
        <v>1.9221957083414899E-3</v>
      </c>
      <c r="S56" s="1"/>
      <c r="T56" s="1">
        <f>SUM(OSRRefT22_10x_0)</f>
        <v>957.38</v>
      </c>
      <c r="U56" s="1"/>
      <c r="V56" s="5">
        <f t="shared" ref="V56:V58" si="41">IF(T$12=0,0,T56/T$12)</f>
        <v>8.7346666857652158E-3</v>
      </c>
      <c r="W56" s="1"/>
      <c r="X56" s="1">
        <f t="shared" ref="X56:X58" si="42">+P56-T56</f>
        <v>-719.66</v>
      </c>
      <c r="Y56" s="1"/>
      <c r="Z56" s="5">
        <f t="shared" ref="Z56:Z58" si="43">IF(T56=0,0,X56/T56)</f>
        <v>-0.7516973406588815</v>
      </c>
    </row>
    <row r="57" spans="1:26" s="24" customFormat="1" hidden="1" outlineLevel="2" x14ac:dyDescent="0.25">
      <c r="A57" s="26"/>
      <c r="B57" s="11" t="str">
        <f>CONCATENATE("          ", "6285", " - ", "JANITORIAL SERVICES")</f>
        <v xml:space="preserve">          6285 - JANITORIAL SERVICES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/>
      <c r="Q57" s="2"/>
      <c r="R57" s="7">
        <f t="shared" si="40"/>
        <v>0</v>
      </c>
      <c r="S57" s="2"/>
      <c r="T57" s="6">
        <v>619</v>
      </c>
      <c r="U57" s="2"/>
      <c r="V57" s="7">
        <f t="shared" si="41"/>
        <v>5.6474531309288556E-3</v>
      </c>
      <c r="W57" s="2"/>
      <c r="X57" s="6">
        <f t="shared" si="42"/>
        <v>-619</v>
      </c>
      <c r="Y57" s="2"/>
      <c r="Z57" s="7">
        <f t="shared" si="43"/>
        <v>-1</v>
      </c>
    </row>
    <row r="58" spans="1:26" s="24" customFormat="1" hidden="1" outlineLevel="2" x14ac:dyDescent="0.25">
      <c r="A58" s="26"/>
      <c r="B58" s="11" t="str">
        <f>CONCATENATE("          ", "6286", " - ", "LAUNDRY EXPENSE")</f>
        <v xml:space="preserve">          6286 - LAUNDRY EXPENSE</v>
      </c>
      <c r="C58" s="11"/>
      <c r="D58" s="6">
        <v>49.2</v>
      </c>
      <c r="E58" s="2"/>
      <c r="F58" s="7">
        <f t="shared" si="36"/>
        <v>2.0017258782877435E-3</v>
      </c>
      <c r="G58" s="2"/>
      <c r="H58" s="6">
        <v>78.8</v>
      </c>
      <c r="I58" s="2"/>
      <c r="J58" s="7">
        <f t="shared" si="37"/>
        <v>4.1174884574466976E-3</v>
      </c>
      <c r="K58" s="2"/>
      <c r="L58" s="6">
        <f t="shared" si="38"/>
        <v>-29.599999999999994</v>
      </c>
      <c r="M58" s="2"/>
      <c r="N58" s="7">
        <f t="shared" si="39"/>
        <v>-0.37563451776649742</v>
      </c>
      <c r="O58" s="11"/>
      <c r="P58" s="6">
        <v>237.72</v>
      </c>
      <c r="Q58" s="2"/>
      <c r="R58" s="7">
        <f t="shared" si="40"/>
        <v>1.9221957083414899E-3</v>
      </c>
      <c r="S58" s="2"/>
      <c r="T58" s="6">
        <v>338.38</v>
      </c>
      <c r="U58" s="2"/>
      <c r="V58" s="7">
        <f t="shared" si="41"/>
        <v>3.0872135548363593E-3</v>
      </c>
      <c r="W58" s="2"/>
      <c r="X58" s="6">
        <f t="shared" si="42"/>
        <v>-100.66</v>
      </c>
      <c r="Y58" s="2"/>
      <c r="Z58" s="7">
        <f t="shared" si="43"/>
        <v>-0.29747621017790649</v>
      </c>
    </row>
    <row r="59" spans="1:26" s="25" customFormat="1" outlineLevel="1" collapsed="1" x14ac:dyDescent="0.25">
      <c r="A59" s="27"/>
      <c r="B59" s="13" t="str">
        <f>CONCATENATE("     ","Supplies                                          ")</f>
        <v xml:space="preserve">     Supplies                                          </v>
      </c>
      <c r="C59" s="13"/>
      <c r="D59" s="1">
        <f>SUM(OSRRefD22_11x_0)</f>
        <v>317.51</v>
      </c>
      <c r="E59" s="1"/>
      <c r="F59" s="5">
        <f t="shared" ref="F59:F65" si="44">IF(D$12=0,0,D59/D$12)</f>
        <v>1.2918048447462223E-2</v>
      </c>
      <c r="G59" s="1"/>
      <c r="H59" s="1">
        <f>SUM(OSRRefH22_11x_0)</f>
        <v>161.87</v>
      </c>
      <c r="I59" s="1"/>
      <c r="J59" s="5">
        <f t="shared" ref="J59:J65" si="45">IF(H$12=0,0,H59/H$12)</f>
        <v>8.4580946269910782E-3</v>
      </c>
      <c r="K59" s="1"/>
      <c r="L59" s="1">
        <f t="shared" ref="L59:L65" si="46">+D59-H59</f>
        <v>155.63999999999999</v>
      </c>
      <c r="M59" s="1"/>
      <c r="N59" s="5">
        <f t="shared" ref="N59:N65" si="47">IF(H59=0,0,L59/H59)</f>
        <v>0.96151232470501014</v>
      </c>
      <c r="O59" s="13"/>
      <c r="P59" s="1">
        <f>SUM(OSRRefP22_11x_0)</f>
        <v>5100.67</v>
      </c>
      <c r="Q59" s="1"/>
      <c r="R59" s="5">
        <f t="shared" ref="R59:R65" si="48">IF(P$12=0,0,P59/P$12)</f>
        <v>4.1243841425484554E-2</v>
      </c>
      <c r="S59" s="1"/>
      <c r="T59" s="1">
        <f>SUM(OSRRefT22_11x_0)</f>
        <v>2670.26</v>
      </c>
      <c r="U59" s="1"/>
      <c r="V59" s="5">
        <f t="shared" ref="V59:V65" si="49">IF(T$12=0,0,T59/T$12)</f>
        <v>2.4362145714691582E-2</v>
      </c>
      <c r="W59" s="1"/>
      <c r="X59" s="1">
        <f t="shared" ref="X59:X65" si="50">+P59-T59</f>
        <v>2430.41</v>
      </c>
      <c r="Y59" s="1"/>
      <c r="Z59" s="5">
        <f t="shared" ref="Z59:Z65" si="51">IF(T59=0,0,X59/T59)</f>
        <v>0.91017728610697068</v>
      </c>
    </row>
    <row r="60" spans="1:26" s="24" customFormat="1" hidden="1" outlineLevel="2" x14ac:dyDescent="0.25">
      <c r="A60" s="26"/>
      <c r="B60" s="11" t="str">
        <f>CONCATENATE("          ", "6237", " - ", "JANITORIAL SUPPLIES")</f>
        <v xml:space="preserve">          6237 - JANITORIAL SUPPLIES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11.08</v>
      </c>
      <c r="U60" s="2"/>
      <c r="V60" s="7">
        <f t="shared" si="49"/>
        <v>1.0108849869255529E-4</v>
      </c>
      <c r="W60" s="2"/>
      <c r="X60" s="6">
        <f t="shared" si="50"/>
        <v>-11.08</v>
      </c>
      <c r="Y60" s="2"/>
      <c r="Z60" s="7">
        <f t="shared" si="51"/>
        <v>-1</v>
      </c>
    </row>
    <row r="61" spans="1:26" s="24" customFormat="1" hidden="1" outlineLevel="2" x14ac:dyDescent="0.25">
      <c r="A61" s="26"/>
      <c r="B61" s="11" t="str">
        <f>CONCATENATE("          ", "6239", " - ", "KITCHEN SUPPLIES")</f>
        <v xml:space="preserve">          6239 - KITCHEN SUPPLIES</v>
      </c>
      <c r="C61" s="11"/>
      <c r="D61" s="6"/>
      <c r="E61" s="2"/>
      <c r="F61" s="7">
        <f t="shared" si="44"/>
        <v>0</v>
      </c>
      <c r="G61" s="2"/>
      <c r="H61" s="6"/>
      <c r="I61" s="2"/>
      <c r="J61" s="7">
        <f t="shared" si="45"/>
        <v>0</v>
      </c>
      <c r="K61" s="2"/>
      <c r="L61" s="6">
        <f t="shared" si="46"/>
        <v>0</v>
      </c>
      <c r="M61" s="2"/>
      <c r="N61" s="7">
        <f t="shared" si="47"/>
        <v>0</v>
      </c>
      <c r="O61" s="11"/>
      <c r="P61" s="6">
        <v>2672.21</v>
      </c>
      <c r="Q61" s="2"/>
      <c r="R61" s="7">
        <f t="shared" si="48"/>
        <v>2.160739775276465E-2</v>
      </c>
      <c r="S61" s="2"/>
      <c r="T61" s="6">
        <v>112.08</v>
      </c>
      <c r="U61" s="2"/>
      <c r="V61" s="7">
        <f t="shared" si="49"/>
        <v>1.0225630806373282E-3</v>
      </c>
      <c r="W61" s="2"/>
      <c r="X61" s="6">
        <f t="shared" si="50"/>
        <v>2560.13</v>
      </c>
      <c r="Y61" s="2"/>
      <c r="Z61" s="7">
        <f t="shared" si="51"/>
        <v>22.841987865810136</v>
      </c>
    </row>
    <row r="62" spans="1:26" s="24" customFormat="1" hidden="1" outlineLevel="2" x14ac:dyDescent="0.25">
      <c r="A62" s="26"/>
      <c r="B62" s="11" t="str">
        <f>CONCATENATE("          ", "6241", " - ", "OFFICE EXPENSE")</f>
        <v xml:space="preserve">          6241 - OFFICE EXPENSE</v>
      </c>
      <c r="C62" s="11"/>
      <c r="D62" s="6">
        <v>59.48</v>
      </c>
      <c r="E62" s="2"/>
      <c r="F62" s="7">
        <f t="shared" si="44"/>
        <v>2.4199726674909547E-3</v>
      </c>
      <c r="G62" s="2"/>
      <c r="H62" s="6">
        <v>9.91</v>
      </c>
      <c r="I62" s="2"/>
      <c r="J62" s="7">
        <f t="shared" si="45"/>
        <v>5.17821200676355E-4</v>
      </c>
      <c r="K62" s="2"/>
      <c r="L62" s="6">
        <f t="shared" si="46"/>
        <v>49.569999999999993</v>
      </c>
      <c r="M62" s="2"/>
      <c r="N62" s="7">
        <f t="shared" si="47"/>
        <v>5.0020181634712406</v>
      </c>
      <c r="O62" s="11"/>
      <c r="P62" s="6">
        <v>549.44000000000005</v>
      </c>
      <c r="Q62" s="2"/>
      <c r="R62" s="7">
        <f t="shared" si="48"/>
        <v>4.4427528604709249E-3</v>
      </c>
      <c r="S62" s="2"/>
      <c r="T62" s="6">
        <v>18.61</v>
      </c>
      <c r="U62" s="2"/>
      <c r="V62" s="7">
        <f t="shared" si="49"/>
        <v>1.6978853435635865E-4</v>
      </c>
      <c r="W62" s="2"/>
      <c r="X62" s="6">
        <f t="shared" si="50"/>
        <v>530.83000000000004</v>
      </c>
      <c r="Y62" s="2"/>
      <c r="Z62" s="7">
        <f t="shared" si="51"/>
        <v>28.523911875335845</v>
      </c>
    </row>
    <row r="63" spans="1:26" s="24" customFormat="1" hidden="1" outlineLevel="2" x14ac:dyDescent="0.25">
      <c r="A63" s="26"/>
      <c r="B63" s="11" t="str">
        <f>CONCATENATE("          ", "6243", " - ", "PAPER SUPPLIES")</f>
        <v xml:space="preserve">          6243 - PAPER SUPPLIES</v>
      </c>
      <c r="C63" s="11"/>
      <c r="D63" s="6">
        <v>258.02999999999997</v>
      </c>
      <c r="E63" s="2"/>
      <c r="F63" s="7">
        <f t="shared" si="44"/>
        <v>1.0498075779971267E-2</v>
      </c>
      <c r="G63" s="2"/>
      <c r="H63" s="6">
        <v>151.96</v>
      </c>
      <c r="I63" s="2"/>
      <c r="J63" s="7">
        <f t="shared" si="45"/>
        <v>7.9402734263147243E-3</v>
      </c>
      <c r="K63" s="2"/>
      <c r="L63" s="6">
        <f t="shared" si="46"/>
        <v>106.06999999999996</v>
      </c>
      <c r="M63" s="2"/>
      <c r="N63" s="7">
        <f t="shared" si="47"/>
        <v>0.69801263490392185</v>
      </c>
      <c r="O63" s="11"/>
      <c r="P63" s="6">
        <v>1139.3499999999999</v>
      </c>
      <c r="Q63" s="2"/>
      <c r="R63" s="7">
        <f t="shared" si="48"/>
        <v>9.2127447429702011E-3</v>
      </c>
      <c r="S63" s="2"/>
      <c r="T63" s="6">
        <v>1104.82</v>
      </c>
      <c r="U63" s="2"/>
      <c r="V63" s="7">
        <f t="shared" si="49"/>
        <v>1.0079837105190337E-2</v>
      </c>
      <c r="W63" s="2"/>
      <c r="X63" s="6">
        <f t="shared" si="50"/>
        <v>34.529999999999973</v>
      </c>
      <c r="Y63" s="2"/>
      <c r="Z63" s="7">
        <f t="shared" si="51"/>
        <v>3.1253959921073091E-2</v>
      </c>
    </row>
    <row r="64" spans="1:26" s="24" customFormat="1" hidden="1" outlineLevel="2" x14ac:dyDescent="0.25">
      <c r="A64" s="26"/>
      <c r="B64" s="11" t="str">
        <f>CONCATENATE("          ", "6247", " - ", "STORE SUPPLIES")</f>
        <v xml:space="preserve">          6247 - STORE SUPPLIES</v>
      </c>
      <c r="C64" s="11"/>
      <c r="D64" s="6"/>
      <c r="E64" s="2"/>
      <c r="F64" s="7">
        <f t="shared" si="44"/>
        <v>0</v>
      </c>
      <c r="G64" s="2"/>
      <c r="H64" s="6"/>
      <c r="I64" s="2"/>
      <c r="J64" s="7">
        <f t="shared" si="45"/>
        <v>0</v>
      </c>
      <c r="K64" s="2"/>
      <c r="L64" s="6">
        <f t="shared" si="46"/>
        <v>0</v>
      </c>
      <c r="M64" s="2"/>
      <c r="N64" s="7">
        <f t="shared" si="47"/>
        <v>0</v>
      </c>
      <c r="O64" s="11"/>
      <c r="P64" s="6">
        <v>102.64</v>
      </c>
      <c r="Q64" s="2"/>
      <c r="R64" s="7">
        <f t="shared" si="48"/>
        <v>8.2994349446479277E-4</v>
      </c>
      <c r="S64" s="2"/>
      <c r="T64" s="6">
        <v>771.1</v>
      </c>
      <c r="U64" s="2"/>
      <c r="V64" s="7">
        <f t="shared" si="49"/>
        <v>7.0351391102734103E-3</v>
      </c>
      <c r="W64" s="2"/>
      <c r="X64" s="6">
        <f t="shared" si="50"/>
        <v>-668.46</v>
      </c>
      <c r="Y64" s="2"/>
      <c r="Z64" s="7">
        <f t="shared" si="51"/>
        <v>-0.86689145376734533</v>
      </c>
    </row>
    <row r="65" spans="1:26" s="24" customFormat="1" hidden="1" outlineLevel="2" x14ac:dyDescent="0.25">
      <c r="A65" s="26"/>
      <c r="B65" s="11" t="str">
        <f>CONCATENATE("          ", "6248", " - ", "UNIFORMS")</f>
        <v xml:space="preserve">          6248 - UNIFORMS</v>
      </c>
      <c r="C65" s="11"/>
      <c r="D65" s="6"/>
      <c r="E65" s="2"/>
      <c r="F65" s="7">
        <f t="shared" si="44"/>
        <v>0</v>
      </c>
      <c r="G65" s="2"/>
      <c r="H65" s="6"/>
      <c r="I65" s="2"/>
      <c r="J65" s="7">
        <f t="shared" si="45"/>
        <v>0</v>
      </c>
      <c r="K65" s="2"/>
      <c r="L65" s="6">
        <f t="shared" si="46"/>
        <v>0</v>
      </c>
      <c r="M65" s="2"/>
      <c r="N65" s="7">
        <f t="shared" si="47"/>
        <v>0</v>
      </c>
      <c r="O65" s="11"/>
      <c r="P65" s="6">
        <v>637.03</v>
      </c>
      <c r="Q65" s="2"/>
      <c r="R65" s="7">
        <f t="shared" si="48"/>
        <v>5.1510025748139794E-3</v>
      </c>
      <c r="S65" s="2"/>
      <c r="T65" s="6">
        <v>652.57000000000005</v>
      </c>
      <c r="U65" s="2"/>
      <c r="V65" s="7">
        <f t="shared" si="49"/>
        <v>5.9537293855415896E-3</v>
      </c>
      <c r="W65" s="2"/>
      <c r="X65" s="6">
        <f t="shared" si="50"/>
        <v>-15.540000000000077</v>
      </c>
      <c r="Y65" s="2"/>
      <c r="Z65" s="7">
        <f t="shared" si="51"/>
        <v>-2.3813537245046625E-2</v>
      </c>
    </row>
    <row r="66" spans="1:26" s="25" customFormat="1" outlineLevel="1" collapsed="1" x14ac:dyDescent="0.25">
      <c r="A66" s="27"/>
      <c r="B66" s="13" t="str">
        <f>CONCATENATE("     ","Telephone/Data Lines                              ")</f>
        <v xml:space="preserve">     Telephone/Data Lines                              </v>
      </c>
      <c r="C66" s="13"/>
      <c r="D66" s="1">
        <f>SUM(OSRRefD22_12x_0)</f>
        <v>86</v>
      </c>
      <c r="E66" s="1"/>
      <c r="F66" s="5">
        <f t="shared" ref="F66:F69" si="52">IF(D$12=0,0,D66/D$12)</f>
        <v>3.498951738470446E-3</v>
      </c>
      <c r="G66" s="1"/>
      <c r="H66" s="1">
        <f>SUM(OSRRefH22_12x_0)</f>
        <v>86.5</v>
      </c>
      <c r="I66" s="1"/>
      <c r="J66" s="5">
        <f t="shared" ref="J66:J69" si="53">IF(H$12=0,0,H66/H$12)</f>
        <v>4.519831872704814E-3</v>
      </c>
      <c r="K66" s="1"/>
      <c r="L66" s="1">
        <f t="shared" ref="L66:L69" si="54">+D66-H66</f>
        <v>-0.5</v>
      </c>
      <c r="M66" s="1"/>
      <c r="N66" s="5">
        <f t="shared" ref="N66:N69" si="55">IF(H66=0,0,L66/H66)</f>
        <v>-5.7803468208092483E-3</v>
      </c>
      <c r="O66" s="13"/>
      <c r="P66" s="1">
        <f>SUM(OSRRefP22_12x_0)</f>
        <v>435</v>
      </c>
      <c r="Q66" s="1"/>
      <c r="R66" s="5">
        <f t="shared" ref="R66:R69" si="56">IF(P$12=0,0,P66/P$12)</f>
        <v>3.5173949736183245E-3</v>
      </c>
      <c r="S66" s="1"/>
      <c r="T66" s="1">
        <f>SUM(OSRRefT22_12x_0)</f>
        <v>425.95</v>
      </c>
      <c r="U66" s="1"/>
      <c r="V66" s="5">
        <f t="shared" ref="V66:V69" si="57">IF(T$12=0,0,T66/T$12)</f>
        <v>3.8861593879146142E-3</v>
      </c>
      <c r="W66" s="1"/>
      <c r="X66" s="1">
        <f t="shared" ref="X66:X69" si="58">+P66-T66</f>
        <v>9.0500000000000114</v>
      </c>
      <c r="Y66" s="1"/>
      <c r="Z66" s="5">
        <f t="shared" ref="Z66:Z69" si="59">IF(T66=0,0,X66/T66)</f>
        <v>2.1246625190750115E-2</v>
      </c>
    </row>
    <row r="67" spans="1:26" s="24" customFormat="1" hidden="1" outlineLevel="2" x14ac:dyDescent="0.25">
      <c r="A67" s="26"/>
      <c r="B67" s="11" t="str">
        <f>CONCATENATE("          ", "6309", " - ", "TELEPHONE")</f>
        <v xml:space="preserve">          6309 - TELEPHONE</v>
      </c>
      <c r="C67" s="11"/>
      <c r="D67" s="6">
        <v>86</v>
      </c>
      <c r="E67" s="2"/>
      <c r="F67" s="7">
        <f t="shared" si="52"/>
        <v>3.498951738470446E-3</v>
      </c>
      <c r="G67" s="2"/>
      <c r="H67" s="6">
        <v>86.5</v>
      </c>
      <c r="I67" s="2"/>
      <c r="J67" s="7">
        <f t="shared" si="53"/>
        <v>4.519831872704814E-3</v>
      </c>
      <c r="K67" s="2"/>
      <c r="L67" s="6">
        <f t="shared" si="54"/>
        <v>-0.5</v>
      </c>
      <c r="M67" s="2"/>
      <c r="N67" s="7">
        <f t="shared" si="55"/>
        <v>-5.7803468208092483E-3</v>
      </c>
      <c r="O67" s="11"/>
      <c r="P67" s="6">
        <v>435</v>
      </c>
      <c r="Q67" s="2"/>
      <c r="R67" s="7">
        <f t="shared" si="56"/>
        <v>3.5173949736183245E-3</v>
      </c>
      <c r="S67" s="2"/>
      <c r="T67" s="6">
        <v>425.95</v>
      </c>
      <c r="U67" s="2"/>
      <c r="V67" s="7">
        <f t="shared" si="57"/>
        <v>3.8861593879146142E-3</v>
      </c>
      <c r="W67" s="2"/>
      <c r="X67" s="6">
        <f t="shared" si="58"/>
        <v>9.0500000000000114</v>
      </c>
      <c r="Y67" s="2"/>
      <c r="Z67" s="7">
        <f t="shared" si="59"/>
        <v>2.1246625190750115E-2</v>
      </c>
    </row>
    <row r="68" spans="1:26" s="25" customFormat="1" outlineLevel="1" collapsed="1" x14ac:dyDescent="0.25">
      <c r="A68" s="27"/>
      <c r="B68" s="13" t="str">
        <f>CONCATENATE("     ","Training                                          ")</f>
        <v xml:space="preserve">     Training                                          </v>
      </c>
      <c r="C68" s="13"/>
      <c r="D68" s="1">
        <f>SUM(OSRRefD22_13x_0)</f>
        <v>0</v>
      </c>
      <c r="E68" s="1"/>
      <c r="F68" s="5">
        <f t="shared" si="52"/>
        <v>0</v>
      </c>
      <c r="G68" s="1"/>
      <c r="H68" s="1">
        <f>SUM(OSRRefH22_13x_0)</f>
        <v>0</v>
      </c>
      <c r="I68" s="1"/>
      <c r="J68" s="5">
        <f t="shared" si="53"/>
        <v>0</v>
      </c>
      <c r="K68" s="1"/>
      <c r="L68" s="1">
        <f t="shared" si="54"/>
        <v>0</v>
      </c>
      <c r="M68" s="1"/>
      <c r="N68" s="5">
        <f t="shared" si="55"/>
        <v>0</v>
      </c>
      <c r="O68" s="13"/>
      <c r="P68" s="1">
        <f>SUM(OSRRefP22_13x_0)</f>
        <v>152.94999999999999</v>
      </c>
      <c r="Q68" s="1"/>
      <c r="R68" s="5">
        <f t="shared" si="56"/>
        <v>1.2367484165860293E-3</v>
      </c>
      <c r="S68" s="1"/>
      <c r="T68" s="1">
        <f>SUM(OSRRefT22_13x_0)</f>
        <v>0</v>
      </c>
      <c r="U68" s="1"/>
      <c r="V68" s="5">
        <f t="shared" si="57"/>
        <v>0</v>
      </c>
      <c r="W68" s="1"/>
      <c r="X68" s="1">
        <f t="shared" si="58"/>
        <v>152.94999999999999</v>
      </c>
      <c r="Y68" s="1"/>
      <c r="Z68" s="5">
        <f t="shared" si="59"/>
        <v>0</v>
      </c>
    </row>
    <row r="69" spans="1:26" s="24" customFormat="1" hidden="1" outlineLevel="2" x14ac:dyDescent="0.25">
      <c r="A69" s="26"/>
      <c r="B69" s="11" t="str">
        <f>CONCATENATE("          ", "6376", " - ", "TRAINING")</f>
        <v xml:space="preserve">          6376 - TRAINING</v>
      </c>
      <c r="C69" s="11"/>
      <c r="D69" s="6"/>
      <c r="E69" s="2"/>
      <c r="F69" s="7">
        <f t="shared" si="52"/>
        <v>0</v>
      </c>
      <c r="G69" s="2"/>
      <c r="H69" s="6"/>
      <c r="I69" s="2"/>
      <c r="J69" s="7">
        <f t="shared" si="53"/>
        <v>0</v>
      </c>
      <c r="K69" s="2"/>
      <c r="L69" s="6">
        <f t="shared" si="54"/>
        <v>0</v>
      </c>
      <c r="M69" s="2"/>
      <c r="N69" s="7">
        <f t="shared" si="55"/>
        <v>0</v>
      </c>
      <c r="O69" s="11"/>
      <c r="P69" s="6">
        <v>152.94999999999999</v>
      </c>
      <c r="Q69" s="2"/>
      <c r="R69" s="7">
        <f t="shared" si="56"/>
        <v>1.2367484165860293E-3</v>
      </c>
      <c r="S69" s="2"/>
      <c r="T69" s="6"/>
      <c r="U69" s="2"/>
      <c r="V69" s="7">
        <f t="shared" si="57"/>
        <v>0</v>
      </c>
      <c r="W69" s="2"/>
      <c r="X69" s="6">
        <f t="shared" si="58"/>
        <v>152.94999999999999</v>
      </c>
      <c r="Y69" s="2"/>
      <c r="Z69" s="7">
        <f t="shared" si="59"/>
        <v>0</v>
      </c>
    </row>
    <row r="70" spans="1:26" s="53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1">
        <f>+D20-D22+D71</f>
        <v>-5869.0900000000038</v>
      </c>
      <c r="E73" s="14"/>
      <c r="F73" s="20">
        <f>IF(D$12=0,0,D73/D$12)</f>
        <v>-0.23878677510162236</v>
      </c>
      <c r="G73" s="14"/>
      <c r="H73" s="21">
        <f>+H20-H22+H71</f>
        <v>-3333.7100000000009</v>
      </c>
      <c r="I73" s="14"/>
      <c r="J73" s="20">
        <f>IF(H$12=0,0,H73/H$12)</f>
        <v>-0.17419432037404359</v>
      </c>
      <c r="K73" s="15"/>
      <c r="L73" s="21">
        <f>+D73-H73</f>
        <v>-2535.3800000000028</v>
      </c>
      <c r="M73" s="15"/>
      <c r="N73" s="20">
        <f>IF(H73=0,0,L73/H73)</f>
        <v>0.76052806032918341</v>
      </c>
      <c r="O73" s="28"/>
      <c r="P73" s="21">
        <f>+P20-P22+P71</f>
        <v>-28847.339999999997</v>
      </c>
      <c r="Q73" s="14"/>
      <c r="R73" s="20">
        <f>IF(P$12=0,0,P73/P$12)</f>
        <v>-0.23325859475461799</v>
      </c>
      <c r="S73" s="14"/>
      <c r="T73" s="21">
        <f>+T20-T22+T71</f>
        <v>-12957.030000000042</v>
      </c>
      <c r="U73" s="14"/>
      <c r="V73" s="20">
        <f>IF(T$12=0,0,T73/T$12)</f>
        <v>-0.1182136020049101</v>
      </c>
      <c r="W73" s="15"/>
      <c r="X73" s="21">
        <f>+P73-T73</f>
        <v>-15890.309999999954</v>
      </c>
      <c r="Y73" s="15"/>
      <c r="Z73" s="20">
        <f>IF(T73=0,0,X73/T73)</f>
        <v>1.2263852132780353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>
        <v>3121.05</v>
      </c>
      <c r="E75" s="4"/>
      <c r="F75" s="12">
        <f>IF(D$12=0,0,D75/D$12)</f>
        <v>0.12698143399247891</v>
      </c>
      <c r="G75" s="4"/>
      <c r="H75" s="4">
        <v>3224.44</v>
      </c>
      <c r="I75" s="4"/>
      <c r="J75" s="12">
        <f>IF(H$12=0,0,H75/H$12)</f>
        <v>0.16848470154478973</v>
      </c>
      <c r="K75" s="4"/>
      <c r="L75" s="4">
        <f>+D75-H75</f>
        <v>-103.38999999999987</v>
      </c>
      <c r="M75" s="4"/>
      <c r="N75" s="12">
        <f>IF(H75=0,0,L75/H75)</f>
        <v>-3.2064482514793227E-2</v>
      </c>
      <c r="O75" s="10"/>
      <c r="P75" s="4">
        <v>13095.93</v>
      </c>
      <c r="Q75" s="4"/>
      <c r="R75" s="12">
        <f>IF(P$12=0,0,P75/P$12)</f>
        <v>0.1058932376019711</v>
      </c>
      <c r="S75" s="4"/>
      <c r="T75" s="4">
        <v>11533.1</v>
      </c>
      <c r="U75" s="4"/>
      <c r="V75" s="12">
        <f>IF(T$12=0,0,T75/T$12)</f>
        <v>0.10522236139630951</v>
      </c>
      <c r="W75" s="4"/>
      <c r="X75" s="4">
        <f>+P75-T75</f>
        <v>1562.83</v>
      </c>
      <c r="Y75" s="4"/>
      <c r="Z75" s="12">
        <f>IF(T75=0,0,X75/T75)</f>
        <v>0.13550823282551958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1">
        <f>+D73-D75</f>
        <v>-8990.1400000000031</v>
      </c>
      <c r="E77" s="14"/>
      <c r="F77" s="32">
        <f>IF(D$12=0,0,D77/D$12)</f>
        <v>-0.36576820909410124</v>
      </c>
      <c r="G77" s="14"/>
      <c r="H77" s="31">
        <f>+H73-H75</f>
        <v>-6558.1500000000015</v>
      </c>
      <c r="I77" s="14"/>
      <c r="J77" s="32">
        <f>IF(H$12=0,0,H77/H$12)</f>
        <v>-0.34267902191883337</v>
      </c>
      <c r="K77" s="15"/>
      <c r="L77" s="31">
        <f>D77-H77</f>
        <v>-2431.9900000000016</v>
      </c>
      <c r="M77" s="15"/>
      <c r="N77" s="32">
        <f>IF(H77=0,0,L77/H77)</f>
        <v>0.37083476285232897</v>
      </c>
      <c r="O77" s="28"/>
      <c r="P77" s="31">
        <f>+P73-P75</f>
        <v>-41943.27</v>
      </c>
      <c r="Q77" s="14"/>
      <c r="R77" s="32">
        <f>IF(P$12=0,0,P77/P$12)</f>
        <v>-0.33915183235658908</v>
      </c>
      <c r="S77" s="14"/>
      <c r="T77" s="31">
        <f>+T73-T75</f>
        <v>-24490.130000000041</v>
      </c>
      <c r="U77" s="14"/>
      <c r="V77" s="32">
        <f>IF(T$12=0,0,T77/T$12)</f>
        <v>-0.2234359634012196</v>
      </c>
      <c r="W77" s="15"/>
      <c r="X77" s="31">
        <f>P77-T77</f>
        <v>-17453.139999999956</v>
      </c>
      <c r="Y77" s="15"/>
      <c r="Z77" s="32">
        <f>IF(T77=0,0,X77/T77)</f>
        <v>0.71266016146096112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4">
        <f>SUM(D77:D79)</f>
        <v>-8990.1400000000031</v>
      </c>
      <c r="E80" s="14"/>
      <c r="F80" s="30">
        <f>IF(D$12=0,0,D80/D$12)</f>
        <v>-0.36576820909410124</v>
      </c>
      <c r="G80" s="14"/>
      <c r="H80" s="34">
        <f>SUM(H77:H79)</f>
        <v>-6558.1500000000015</v>
      </c>
      <c r="I80" s="14"/>
      <c r="J80" s="30">
        <f>IF(H$12=0,0,H80/H$12)</f>
        <v>-0.34267902191883337</v>
      </c>
      <c r="K80" s="15"/>
      <c r="L80" s="34">
        <f>+D80-H80</f>
        <v>-2431.9900000000016</v>
      </c>
      <c r="M80" s="15"/>
      <c r="N80" s="30">
        <f>IF(H80=0,0,L80/H80)</f>
        <v>0.37083476285232897</v>
      </c>
      <c r="O80" s="28"/>
      <c r="P80" s="34">
        <f>SUM(P77:P79)</f>
        <v>-41943.27</v>
      </c>
      <c r="Q80" s="14"/>
      <c r="R80" s="30">
        <f>IF(P$12=0,0,P80/P$12)</f>
        <v>-0.33915183235658908</v>
      </c>
      <c r="S80" s="14"/>
      <c r="T80" s="34">
        <f>SUM(T77:T79)</f>
        <v>-24490.130000000041</v>
      </c>
      <c r="U80" s="14"/>
      <c r="V80" s="30">
        <f>IF(T$12=0,0,T80/T$12)</f>
        <v>-0.2234359634012196</v>
      </c>
      <c r="W80" s="15"/>
      <c r="X80" s="34">
        <f>+P80-T80</f>
        <v>-17453.139999999956</v>
      </c>
      <c r="Y80" s="15"/>
      <c r="Z80" s="30">
        <f>IF(T80=0,0,X80/T80)</f>
        <v>0.71266016146096112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9">
        <v>43815.492018483797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62" t="s">
        <v>313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61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","411", " - ", "University Dining")</f>
        <v>Department 411 - University Dining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104677.00999999998</v>
      </c>
      <c r="E18" s="22"/>
      <c r="F18" s="33">
        <f t="shared" ref="F18:F28" si="0">IF(D$12=0,0,D18/D$12)</f>
        <v>0</v>
      </c>
      <c r="G18" s="22"/>
      <c r="H18" s="22">
        <f>SUM(OSRRefH22x_0)</f>
        <v>101205.93999999997</v>
      </c>
      <c r="I18" s="22"/>
      <c r="J18" s="33">
        <f t="shared" ref="J18:J28" si="1">IF(H$12=0,0,H18/H$12)</f>
        <v>0</v>
      </c>
      <c r="K18" s="4"/>
      <c r="L18" s="22">
        <f t="shared" ref="L18:L28" si="2">+D18-H18</f>
        <v>3471.070000000007</v>
      </c>
      <c r="M18" s="4"/>
      <c r="N18" s="33">
        <f t="shared" ref="N18:N28" si="3">IF(H18=0,0,L18/H18)</f>
        <v>3.4297097581426621E-2</v>
      </c>
      <c r="O18" s="10"/>
      <c r="P18" s="22">
        <f>SUM(OSRRefP22x_0)</f>
        <v>483347.72</v>
      </c>
      <c r="Q18" s="22"/>
      <c r="R18" s="33">
        <f t="shared" ref="R18:R28" si="4">IF(P$12=0,0,P18/P$12)</f>
        <v>0</v>
      </c>
      <c r="S18" s="22"/>
      <c r="T18" s="22">
        <f>SUM(OSRRefT22x_0)</f>
        <v>473924.14</v>
      </c>
      <c r="U18" s="22"/>
      <c r="V18" s="33">
        <f t="shared" ref="V18:V28" si="5">IF(T$12=0,0,T18/T$12)</f>
        <v>0</v>
      </c>
      <c r="W18" s="4"/>
      <c r="X18" s="22">
        <f t="shared" ref="X18:X28" si="6">+P18-T18</f>
        <v>9423.5799999999581</v>
      </c>
      <c r="Y18" s="4"/>
      <c r="Z18" s="33">
        <f t="shared" ref="Z18:Z28" si="7">IF(T18=0,0,X18/T18)</f>
        <v>1.9884152767571533E-2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10218.700000000001</v>
      </c>
      <c r="E19" s="1"/>
      <c r="F19" s="5">
        <f t="shared" si="0"/>
        <v>0</v>
      </c>
      <c r="G19" s="1"/>
      <c r="H19" s="1">
        <f>SUM(OSRRefH22_0x_0)</f>
        <v>8991.4499999999989</v>
      </c>
      <c r="I19" s="1"/>
      <c r="J19" s="5">
        <f t="shared" si="1"/>
        <v>0</v>
      </c>
      <c r="K19" s="1"/>
      <c r="L19" s="1">
        <f t="shared" si="2"/>
        <v>1227.2500000000018</v>
      </c>
      <c r="M19" s="1"/>
      <c r="N19" s="5">
        <f t="shared" si="3"/>
        <v>0.13649077734959345</v>
      </c>
      <c r="O19" s="13"/>
      <c r="P19" s="1">
        <f>SUM(OSRRefP22_0x_0)</f>
        <v>56496.750000000007</v>
      </c>
      <c r="Q19" s="1"/>
      <c r="R19" s="5">
        <f t="shared" si="4"/>
        <v>0</v>
      </c>
      <c r="S19" s="1"/>
      <c r="T19" s="1">
        <f>SUM(OSRRefT22_0x_0)</f>
        <v>51758.83</v>
      </c>
      <c r="U19" s="1"/>
      <c r="V19" s="5">
        <f t="shared" si="5"/>
        <v>0</v>
      </c>
      <c r="W19" s="1"/>
      <c r="X19" s="1">
        <f t="shared" si="6"/>
        <v>4737.9200000000055</v>
      </c>
      <c r="Y19" s="1"/>
      <c r="Z19" s="5">
        <f t="shared" si="7"/>
        <v>9.1538390647547582E-2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1896.75</v>
      </c>
      <c r="E20" s="2"/>
      <c r="F20" s="7">
        <f t="shared" si="0"/>
        <v>0</v>
      </c>
      <c r="G20" s="2"/>
      <c r="H20" s="6">
        <v>1635.97</v>
      </c>
      <c r="I20" s="2"/>
      <c r="J20" s="7">
        <f t="shared" si="1"/>
        <v>0</v>
      </c>
      <c r="K20" s="2"/>
      <c r="L20" s="6">
        <f t="shared" si="2"/>
        <v>260.77999999999997</v>
      </c>
      <c r="M20" s="2"/>
      <c r="N20" s="7">
        <f t="shared" si="3"/>
        <v>0.15940390104953023</v>
      </c>
      <c r="O20" s="11"/>
      <c r="P20" s="6">
        <v>12146.52</v>
      </c>
      <c r="Q20" s="2"/>
      <c r="R20" s="7">
        <f t="shared" si="4"/>
        <v>0</v>
      </c>
      <c r="S20" s="2"/>
      <c r="T20" s="6">
        <v>9615.43</v>
      </c>
      <c r="U20" s="2"/>
      <c r="V20" s="7">
        <f t="shared" si="5"/>
        <v>0</v>
      </c>
      <c r="W20" s="2"/>
      <c r="X20" s="6">
        <f t="shared" si="6"/>
        <v>2531.09</v>
      </c>
      <c r="Y20" s="2"/>
      <c r="Z20" s="7">
        <f t="shared" si="7"/>
        <v>0.26323211754440518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892.61</v>
      </c>
      <c r="E21" s="2"/>
      <c r="F21" s="7">
        <f t="shared" si="0"/>
        <v>0</v>
      </c>
      <c r="G21" s="2"/>
      <c r="H21" s="6">
        <v>688.01</v>
      </c>
      <c r="I21" s="2"/>
      <c r="J21" s="7">
        <f t="shared" si="1"/>
        <v>0</v>
      </c>
      <c r="K21" s="2"/>
      <c r="L21" s="6">
        <f t="shared" si="2"/>
        <v>204.60000000000002</v>
      </c>
      <c r="M21" s="2"/>
      <c r="N21" s="7">
        <f t="shared" si="3"/>
        <v>0.29737939855525358</v>
      </c>
      <c r="O21" s="11"/>
      <c r="P21" s="6">
        <v>3480.35</v>
      </c>
      <c r="Q21" s="2"/>
      <c r="R21" s="7">
        <f t="shared" si="4"/>
        <v>0</v>
      </c>
      <c r="S21" s="2"/>
      <c r="T21" s="6">
        <v>3954.59</v>
      </c>
      <c r="U21" s="2"/>
      <c r="V21" s="7">
        <f t="shared" si="5"/>
        <v>0</v>
      </c>
      <c r="W21" s="2"/>
      <c r="X21" s="6">
        <f t="shared" si="6"/>
        <v>-474.24000000000024</v>
      </c>
      <c r="Y21" s="2"/>
      <c r="Z21" s="7">
        <f t="shared" si="7"/>
        <v>-0.11992140778184343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3654.92</v>
      </c>
      <c r="E22" s="2"/>
      <c r="F22" s="7">
        <f t="shared" si="0"/>
        <v>0</v>
      </c>
      <c r="G22" s="2"/>
      <c r="H22" s="6">
        <v>3578.11</v>
      </c>
      <c r="I22" s="2"/>
      <c r="J22" s="7">
        <f t="shared" si="1"/>
        <v>0</v>
      </c>
      <c r="K22" s="2"/>
      <c r="L22" s="6">
        <f t="shared" si="2"/>
        <v>76.809999999999945</v>
      </c>
      <c r="M22" s="2"/>
      <c r="N22" s="7">
        <f t="shared" si="3"/>
        <v>2.1466640209496058E-2</v>
      </c>
      <c r="O22" s="11"/>
      <c r="P22" s="6">
        <v>18274.36</v>
      </c>
      <c r="Q22" s="2"/>
      <c r="R22" s="7">
        <f t="shared" si="4"/>
        <v>0</v>
      </c>
      <c r="S22" s="2"/>
      <c r="T22" s="6">
        <v>15670.88</v>
      </c>
      <c r="U22" s="2"/>
      <c r="V22" s="7">
        <f t="shared" si="5"/>
        <v>0</v>
      </c>
      <c r="W22" s="2"/>
      <c r="X22" s="6">
        <f t="shared" si="6"/>
        <v>2603.4800000000014</v>
      </c>
      <c r="Y22" s="2"/>
      <c r="Z22" s="7">
        <f t="shared" si="7"/>
        <v>0.16613489478574284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71.94</v>
      </c>
      <c r="E23" s="2"/>
      <c r="F23" s="7">
        <f t="shared" si="0"/>
        <v>0</v>
      </c>
      <c r="G23" s="2"/>
      <c r="H23" s="6">
        <v>58.11</v>
      </c>
      <c r="I23" s="2"/>
      <c r="J23" s="7">
        <f t="shared" si="1"/>
        <v>0</v>
      </c>
      <c r="K23" s="2"/>
      <c r="L23" s="6">
        <f t="shared" si="2"/>
        <v>13.829999999999998</v>
      </c>
      <c r="M23" s="2"/>
      <c r="N23" s="7">
        <f t="shared" si="3"/>
        <v>0.23799690242643259</v>
      </c>
      <c r="O23" s="11"/>
      <c r="P23" s="6">
        <v>381.56</v>
      </c>
      <c r="Q23" s="2"/>
      <c r="R23" s="7">
        <f t="shared" si="4"/>
        <v>0</v>
      </c>
      <c r="S23" s="2"/>
      <c r="T23" s="6">
        <v>329.35</v>
      </c>
      <c r="U23" s="2"/>
      <c r="V23" s="7">
        <f t="shared" si="5"/>
        <v>0</v>
      </c>
      <c r="W23" s="2"/>
      <c r="X23" s="6">
        <f t="shared" si="6"/>
        <v>52.20999999999998</v>
      </c>
      <c r="Y23" s="2"/>
      <c r="Z23" s="7">
        <f t="shared" si="7"/>
        <v>0.15852436617580073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1227.27</v>
      </c>
      <c r="E24" s="2"/>
      <c r="F24" s="7">
        <f t="shared" si="0"/>
        <v>0</v>
      </c>
      <c r="G24" s="2"/>
      <c r="H24" s="6">
        <v>1053.2</v>
      </c>
      <c r="I24" s="2"/>
      <c r="J24" s="7">
        <f t="shared" si="1"/>
        <v>0</v>
      </c>
      <c r="K24" s="2"/>
      <c r="L24" s="6">
        <f t="shared" si="2"/>
        <v>174.06999999999994</v>
      </c>
      <c r="M24" s="2"/>
      <c r="N24" s="7">
        <f t="shared" si="3"/>
        <v>0.16527725028484611</v>
      </c>
      <c r="O24" s="11"/>
      <c r="P24" s="6">
        <v>7233.09</v>
      </c>
      <c r="Q24" s="2"/>
      <c r="R24" s="7">
        <f t="shared" si="4"/>
        <v>0</v>
      </c>
      <c r="S24" s="2"/>
      <c r="T24" s="6">
        <v>6758.54</v>
      </c>
      <c r="U24" s="2"/>
      <c r="V24" s="7">
        <f t="shared" si="5"/>
        <v>0</v>
      </c>
      <c r="W24" s="2"/>
      <c r="X24" s="6">
        <f t="shared" si="6"/>
        <v>474.55000000000018</v>
      </c>
      <c r="Y24" s="2"/>
      <c r="Z24" s="7">
        <f t="shared" si="7"/>
        <v>7.0214868891802104E-2</v>
      </c>
    </row>
    <row r="25" spans="1:26" s="24" customFormat="1" hidden="1" outlineLevel="2" x14ac:dyDescent="0.25">
      <c r="A25" s="26"/>
      <c r="B25" s="11" t="str">
        <f>CONCATENATE("          ", "6117", " - ", "RETIREMENT STAFF HOURLY")</f>
        <v xml:space="preserve">          6117 - RETIREMENT STAFF HOURLY</v>
      </c>
      <c r="C25" s="11"/>
      <c r="D25" s="6">
        <v>56</v>
      </c>
      <c r="E25" s="2"/>
      <c r="F25" s="7">
        <f t="shared" si="0"/>
        <v>0</v>
      </c>
      <c r="G25" s="2"/>
      <c r="H25" s="6">
        <v>56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308</v>
      </c>
      <c r="Q25" s="2"/>
      <c r="R25" s="7">
        <f t="shared" si="4"/>
        <v>0</v>
      </c>
      <c r="S25" s="2"/>
      <c r="T25" s="6">
        <v>308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1401.17</v>
      </c>
      <c r="E26" s="2"/>
      <c r="F26" s="7">
        <f t="shared" si="0"/>
        <v>0</v>
      </c>
      <c r="G26" s="2"/>
      <c r="H26" s="6">
        <v>896.69</v>
      </c>
      <c r="I26" s="2"/>
      <c r="J26" s="7">
        <f t="shared" si="1"/>
        <v>0</v>
      </c>
      <c r="K26" s="2"/>
      <c r="L26" s="6">
        <f t="shared" si="2"/>
        <v>504.48</v>
      </c>
      <c r="M26" s="2"/>
      <c r="N26" s="7">
        <f t="shared" si="3"/>
        <v>0.56260246015902926</v>
      </c>
      <c r="O26" s="11"/>
      <c r="P26" s="6">
        <v>7715.76</v>
      </c>
      <c r="Q26" s="2"/>
      <c r="R26" s="7">
        <f t="shared" si="4"/>
        <v>0</v>
      </c>
      <c r="S26" s="2"/>
      <c r="T26" s="6">
        <v>6612.03</v>
      </c>
      <c r="U26" s="2"/>
      <c r="V26" s="7">
        <f t="shared" si="5"/>
        <v>0</v>
      </c>
      <c r="W26" s="2"/>
      <c r="X26" s="6">
        <f t="shared" si="6"/>
        <v>1103.7300000000005</v>
      </c>
      <c r="Y26" s="2"/>
      <c r="Z26" s="7">
        <f t="shared" si="7"/>
        <v>0.16692755477515989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716.34</v>
      </c>
      <c r="E27" s="2"/>
      <c r="F27" s="7">
        <f t="shared" si="0"/>
        <v>0</v>
      </c>
      <c r="G27" s="2"/>
      <c r="H27" s="6">
        <v>657.06</v>
      </c>
      <c r="I27" s="2"/>
      <c r="J27" s="7">
        <f t="shared" si="1"/>
        <v>0</v>
      </c>
      <c r="K27" s="2"/>
      <c r="L27" s="6">
        <f t="shared" si="2"/>
        <v>59.280000000000086</v>
      </c>
      <c r="M27" s="2"/>
      <c r="N27" s="7">
        <f t="shared" si="3"/>
        <v>9.0220071226372156E-2</v>
      </c>
      <c r="O27" s="11"/>
      <c r="P27" s="6">
        <v>5186.0600000000004</v>
      </c>
      <c r="Q27" s="2"/>
      <c r="R27" s="7">
        <f t="shared" si="4"/>
        <v>0</v>
      </c>
      <c r="S27" s="2"/>
      <c r="T27" s="6">
        <v>5604.43</v>
      </c>
      <c r="U27" s="2"/>
      <c r="V27" s="7">
        <f t="shared" si="5"/>
        <v>0</v>
      </c>
      <c r="W27" s="2"/>
      <c r="X27" s="6">
        <f t="shared" si="6"/>
        <v>-418.36999999999989</v>
      </c>
      <c r="Y27" s="2"/>
      <c r="Z27" s="7">
        <f t="shared" si="7"/>
        <v>-7.4649875188020881E-2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301.7</v>
      </c>
      <c r="E28" s="2"/>
      <c r="F28" s="7">
        <f t="shared" si="0"/>
        <v>0</v>
      </c>
      <c r="G28" s="2"/>
      <c r="H28" s="6">
        <v>368.3</v>
      </c>
      <c r="I28" s="2"/>
      <c r="J28" s="7">
        <f t="shared" si="1"/>
        <v>0</v>
      </c>
      <c r="K28" s="2"/>
      <c r="L28" s="6">
        <f t="shared" si="2"/>
        <v>-66.600000000000023</v>
      </c>
      <c r="M28" s="2"/>
      <c r="N28" s="7">
        <f t="shared" si="3"/>
        <v>-0.18083084442030958</v>
      </c>
      <c r="O28" s="11"/>
      <c r="P28" s="6">
        <v>1771.05</v>
      </c>
      <c r="Q28" s="2"/>
      <c r="R28" s="7">
        <f t="shared" si="4"/>
        <v>0</v>
      </c>
      <c r="S28" s="2"/>
      <c r="T28" s="6">
        <v>2905.58</v>
      </c>
      <c r="U28" s="2"/>
      <c r="V28" s="7">
        <f t="shared" si="5"/>
        <v>0</v>
      </c>
      <c r="W28" s="2"/>
      <c r="X28" s="6">
        <f t="shared" si="6"/>
        <v>-1134.53</v>
      </c>
      <c r="Y28" s="2"/>
      <c r="Z28" s="7">
        <f t="shared" si="7"/>
        <v>-0.39046593107056077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25163.07</v>
      </c>
      <c r="E29" s="1"/>
      <c r="F29" s="5">
        <f t="shared" ref="F29:F35" si="8">IF(D$12=0,0,D29/D$12)</f>
        <v>0</v>
      </c>
      <c r="G29" s="1"/>
      <c r="H29" s="1">
        <f>SUM(OSRRefH22_1x_0)</f>
        <v>18771.240000000002</v>
      </c>
      <c r="I29" s="1"/>
      <c r="J29" s="5">
        <f t="shared" ref="J29:J35" si="9">IF(H$12=0,0,H29/H$12)</f>
        <v>0</v>
      </c>
      <c r="K29" s="1"/>
      <c r="L29" s="1">
        <f t="shared" ref="L29:L35" si="10">+D29-H29</f>
        <v>6391.8299999999981</v>
      </c>
      <c r="M29" s="1"/>
      <c r="N29" s="5">
        <f t="shared" ref="N29:N35" si="11">IF(H29=0,0,L29/H29)</f>
        <v>0.34051186815575302</v>
      </c>
      <c r="O29" s="13"/>
      <c r="P29" s="1">
        <f>SUM(OSRRefP22_1x_0)</f>
        <v>139357.35</v>
      </c>
      <c r="Q29" s="1"/>
      <c r="R29" s="5">
        <f t="shared" ref="R29:R35" si="12">IF(P$12=0,0,P29/P$12)</f>
        <v>0</v>
      </c>
      <c r="S29" s="1"/>
      <c r="T29" s="1">
        <f>SUM(OSRRefT22_1x_0)</f>
        <v>104733.62999999999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34623.720000000016</v>
      </c>
      <c r="Y29" s="1"/>
      <c r="Z29" s="5">
        <f t="shared" ref="Z29:Z35" si="15">IF(T29=0,0,X29/T29)</f>
        <v>0.33058836975286754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7932.5</v>
      </c>
      <c r="E30" s="2"/>
      <c r="F30" s="7">
        <f t="shared" si="8"/>
        <v>0</v>
      </c>
      <c r="G30" s="2"/>
      <c r="H30" s="6">
        <v>7273.59</v>
      </c>
      <c r="I30" s="2"/>
      <c r="J30" s="7">
        <f t="shared" si="9"/>
        <v>0</v>
      </c>
      <c r="K30" s="2"/>
      <c r="L30" s="6">
        <f t="shared" si="10"/>
        <v>658.90999999999985</v>
      </c>
      <c r="M30" s="2"/>
      <c r="N30" s="7">
        <f t="shared" si="11"/>
        <v>9.0589378834935688E-2</v>
      </c>
      <c r="O30" s="11"/>
      <c r="P30" s="6">
        <v>40543.85</v>
      </c>
      <c r="Q30" s="2"/>
      <c r="R30" s="7">
        <f t="shared" si="12"/>
        <v>0</v>
      </c>
      <c r="S30" s="2"/>
      <c r="T30" s="6">
        <v>41074.369999999995</v>
      </c>
      <c r="U30" s="2"/>
      <c r="V30" s="7">
        <f t="shared" si="13"/>
        <v>0</v>
      </c>
      <c r="W30" s="2"/>
      <c r="X30" s="6">
        <f t="shared" si="14"/>
        <v>-530.5199999999968</v>
      </c>
      <c r="Y30" s="2"/>
      <c r="Z30" s="7">
        <f t="shared" si="15"/>
        <v>-1.2916083679433107E-2</v>
      </c>
    </row>
    <row r="31" spans="1:26" s="24" customFormat="1" hidden="1" outlineLevel="2" x14ac:dyDescent="0.25">
      <c r="A31" s="26"/>
      <c r="B31" s="11" t="str">
        <f>CONCATENATE("          ", "6002", " - ", "STAFF SALARIES")</f>
        <v xml:space="preserve">          6002 - STAFF SALARIES</v>
      </c>
      <c r="C31" s="11"/>
      <c r="D31" s="6">
        <v>4380.7700000000004</v>
      </c>
      <c r="E31" s="2"/>
      <c r="F31" s="7">
        <f t="shared" si="8"/>
        <v>0</v>
      </c>
      <c r="G31" s="2"/>
      <c r="H31" s="6">
        <v>3263.04</v>
      </c>
      <c r="I31" s="2"/>
      <c r="J31" s="7">
        <f t="shared" si="9"/>
        <v>0</v>
      </c>
      <c r="K31" s="2"/>
      <c r="L31" s="6">
        <f t="shared" si="10"/>
        <v>1117.7300000000005</v>
      </c>
      <c r="M31" s="2"/>
      <c r="N31" s="7">
        <f t="shared" si="11"/>
        <v>0.34254253702069248</v>
      </c>
      <c r="O31" s="11"/>
      <c r="P31" s="6">
        <v>22686.350000000002</v>
      </c>
      <c r="Q31" s="2"/>
      <c r="R31" s="7">
        <f t="shared" si="12"/>
        <v>0</v>
      </c>
      <c r="S31" s="2"/>
      <c r="T31" s="6">
        <v>18490.560000000001</v>
      </c>
      <c r="U31" s="2"/>
      <c r="V31" s="7">
        <f t="shared" si="13"/>
        <v>0</v>
      </c>
      <c r="W31" s="2"/>
      <c r="X31" s="6">
        <f t="shared" si="14"/>
        <v>4195.7900000000009</v>
      </c>
      <c r="Y31" s="2"/>
      <c r="Z31" s="7">
        <f t="shared" si="15"/>
        <v>0.22691524756416251</v>
      </c>
    </row>
    <row r="32" spans="1:26" s="24" customFormat="1" hidden="1" outlineLevel="2" x14ac:dyDescent="0.25">
      <c r="A32" s="26"/>
      <c r="B32" s="11" t="str">
        <f>CONCATENATE("          ", "6004", " - ", "STAFF HOURLY")</f>
        <v xml:space="preserve">          6004 - STAFF HOURLY</v>
      </c>
      <c r="C32" s="11"/>
      <c r="D32" s="6">
        <v>2307.1999999999998</v>
      </c>
      <c r="E32" s="2"/>
      <c r="F32" s="7">
        <f t="shared" si="8"/>
        <v>0</v>
      </c>
      <c r="G32" s="2"/>
      <c r="H32" s="6">
        <v>1753.04</v>
      </c>
      <c r="I32" s="2"/>
      <c r="J32" s="7">
        <f t="shared" si="9"/>
        <v>0</v>
      </c>
      <c r="K32" s="2"/>
      <c r="L32" s="6">
        <f t="shared" si="10"/>
        <v>554.15999999999985</v>
      </c>
      <c r="M32" s="2"/>
      <c r="N32" s="7">
        <f t="shared" si="11"/>
        <v>0.3161137224478619</v>
      </c>
      <c r="O32" s="11"/>
      <c r="P32" s="6">
        <v>11997.44</v>
      </c>
      <c r="Q32" s="2"/>
      <c r="R32" s="7">
        <f t="shared" si="12"/>
        <v>0</v>
      </c>
      <c r="S32" s="2"/>
      <c r="T32" s="6">
        <v>8655.64</v>
      </c>
      <c r="U32" s="2"/>
      <c r="V32" s="7">
        <f t="shared" si="13"/>
        <v>0</v>
      </c>
      <c r="W32" s="2"/>
      <c r="X32" s="6">
        <f t="shared" si="14"/>
        <v>3341.8000000000011</v>
      </c>
      <c r="Y32" s="2"/>
      <c r="Z32" s="7">
        <f t="shared" si="15"/>
        <v>0.38608352473069596</v>
      </c>
    </row>
    <row r="33" spans="1:26" s="24" customFormat="1" hidden="1" outlineLevel="2" x14ac:dyDescent="0.25">
      <c r="A33" s="26"/>
      <c r="B33" s="11" t="str">
        <f>CONCATENATE("          ", "6005", " - ", "TEMPORARY WAGES-HOURLY")</f>
        <v xml:space="preserve">          6005 - TEMPORARY WAGES-HOURLY</v>
      </c>
      <c r="C33" s="11"/>
      <c r="D33" s="6">
        <v>9385.6</v>
      </c>
      <c r="E33" s="2"/>
      <c r="F33" s="7">
        <f t="shared" si="8"/>
        <v>0</v>
      </c>
      <c r="G33" s="2"/>
      <c r="H33" s="6">
        <v>5860.07</v>
      </c>
      <c r="I33" s="2"/>
      <c r="J33" s="7">
        <f t="shared" si="9"/>
        <v>0</v>
      </c>
      <c r="K33" s="2"/>
      <c r="L33" s="6">
        <f t="shared" si="10"/>
        <v>3525.5300000000007</v>
      </c>
      <c r="M33" s="2"/>
      <c r="N33" s="7">
        <f t="shared" si="11"/>
        <v>0.60161909328728169</v>
      </c>
      <c r="O33" s="11"/>
      <c r="P33" s="6">
        <v>53558.89</v>
      </c>
      <c r="Q33" s="2"/>
      <c r="R33" s="7">
        <f t="shared" si="12"/>
        <v>0</v>
      </c>
      <c r="S33" s="2"/>
      <c r="T33" s="6">
        <v>33512.81</v>
      </c>
      <c r="U33" s="2"/>
      <c r="V33" s="7">
        <f t="shared" si="13"/>
        <v>0</v>
      </c>
      <c r="W33" s="2"/>
      <c r="X33" s="6">
        <f t="shared" si="14"/>
        <v>20046.080000000002</v>
      </c>
      <c r="Y33" s="2"/>
      <c r="Z33" s="7">
        <f t="shared" si="15"/>
        <v>0.59816171786251293</v>
      </c>
    </row>
    <row r="34" spans="1:26" s="24" customFormat="1" hidden="1" outlineLevel="2" x14ac:dyDescent="0.25">
      <c r="A34" s="26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621.5</v>
      </c>
      <c r="I34" s="2"/>
      <c r="J34" s="7">
        <f t="shared" si="9"/>
        <v>0</v>
      </c>
      <c r="K34" s="2"/>
      <c r="L34" s="6">
        <f t="shared" si="10"/>
        <v>-621.5</v>
      </c>
      <c r="M34" s="2"/>
      <c r="N34" s="7">
        <f t="shared" si="11"/>
        <v>-1</v>
      </c>
      <c r="O34" s="11"/>
      <c r="P34" s="6">
        <v>1236.8800000000001</v>
      </c>
      <c r="Q34" s="2"/>
      <c r="R34" s="7">
        <f t="shared" si="12"/>
        <v>0</v>
      </c>
      <c r="S34" s="2"/>
      <c r="T34" s="6">
        <v>866.25</v>
      </c>
      <c r="U34" s="2"/>
      <c r="V34" s="7">
        <f t="shared" si="13"/>
        <v>0</v>
      </c>
      <c r="W34" s="2"/>
      <c r="X34" s="6">
        <f t="shared" si="14"/>
        <v>370.63000000000011</v>
      </c>
      <c r="Y34" s="2"/>
      <c r="Z34" s="7">
        <f t="shared" si="15"/>
        <v>0.42785569985569999</v>
      </c>
    </row>
    <row r="35" spans="1:26" s="24" customFormat="1" hidden="1" outlineLevel="2" x14ac:dyDescent="0.25">
      <c r="A35" s="26"/>
      <c r="B35" s="11" t="str">
        <f>CONCATENATE("          ", "6007", " - ", "STUDENT HOURLY")</f>
        <v xml:space="preserve">          6007 - STUDENT HOURLY</v>
      </c>
      <c r="C35" s="11"/>
      <c r="D35" s="6">
        <v>1157</v>
      </c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1157</v>
      </c>
      <c r="M35" s="2"/>
      <c r="N35" s="7">
        <f t="shared" si="11"/>
        <v>0</v>
      </c>
      <c r="O35" s="11"/>
      <c r="P35" s="6">
        <v>9333.94</v>
      </c>
      <c r="Q35" s="2"/>
      <c r="R35" s="7">
        <f t="shared" si="12"/>
        <v>0</v>
      </c>
      <c r="S35" s="2"/>
      <c r="T35" s="6">
        <v>2134</v>
      </c>
      <c r="U35" s="2"/>
      <c r="V35" s="7">
        <f t="shared" si="13"/>
        <v>0</v>
      </c>
      <c r="W35" s="2"/>
      <c r="X35" s="6">
        <f t="shared" si="14"/>
        <v>7199.9400000000005</v>
      </c>
      <c r="Y35" s="2"/>
      <c r="Z35" s="7">
        <f t="shared" si="15"/>
        <v>3.3739175257731961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225.35</v>
      </c>
      <c r="E36" s="1"/>
      <c r="F36" s="5">
        <f t="shared" ref="F36:F41" si="16">IF(D$12=0,0,D36/D$12)</f>
        <v>0</v>
      </c>
      <c r="G36" s="1"/>
      <c r="H36" s="1">
        <f>SUM(OSRRefH22_2x_0)</f>
        <v>243.32</v>
      </c>
      <c r="I36" s="1"/>
      <c r="J36" s="5">
        <f t="shared" ref="J36:J41" si="17">IF(H$12=0,0,H36/H$12)</f>
        <v>0</v>
      </c>
      <c r="K36" s="1"/>
      <c r="L36" s="1">
        <f t="shared" ref="L36:L41" si="18">+D36-H36</f>
        <v>-17.97</v>
      </c>
      <c r="M36" s="1"/>
      <c r="N36" s="5">
        <f t="shared" ref="N36:N41" si="19">IF(H36=0,0,L36/H36)</f>
        <v>-7.3853361828045375E-2</v>
      </c>
      <c r="O36" s="13"/>
      <c r="P36" s="1">
        <f>SUM(OSRRefP22_2x_0)</f>
        <v>2673.91</v>
      </c>
      <c r="Q36" s="1"/>
      <c r="R36" s="5">
        <f t="shared" ref="R36:R41" si="20">IF(P$12=0,0,P36/P$12)</f>
        <v>0</v>
      </c>
      <c r="S36" s="1"/>
      <c r="T36" s="1">
        <f>SUM(OSRRefT22_2x_0)</f>
        <v>1415.16</v>
      </c>
      <c r="U36" s="1"/>
      <c r="V36" s="5">
        <f t="shared" ref="V36:V41" si="21">IF(T$12=0,0,T36/T$12)</f>
        <v>0</v>
      </c>
      <c r="W36" s="1"/>
      <c r="X36" s="1">
        <f t="shared" ref="X36:X41" si="22">+P36-T36</f>
        <v>1258.7499999999998</v>
      </c>
      <c r="Y36" s="1"/>
      <c r="Z36" s="5">
        <f t="shared" ref="Z36:Z41" si="23">IF(T36=0,0,X36/T36)</f>
        <v>0.88947539500833805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>
        <v>225.35</v>
      </c>
      <c r="E37" s="2"/>
      <c r="F37" s="7">
        <f t="shared" si="16"/>
        <v>0</v>
      </c>
      <c r="G37" s="2"/>
      <c r="H37" s="6">
        <v>243.32</v>
      </c>
      <c r="I37" s="2"/>
      <c r="J37" s="7">
        <f t="shared" si="17"/>
        <v>0</v>
      </c>
      <c r="K37" s="2"/>
      <c r="L37" s="6">
        <f t="shared" si="18"/>
        <v>-17.97</v>
      </c>
      <c r="M37" s="2"/>
      <c r="N37" s="7">
        <f t="shared" si="19"/>
        <v>-7.3853361828045375E-2</v>
      </c>
      <c r="O37" s="11"/>
      <c r="P37" s="6">
        <v>2673.91</v>
      </c>
      <c r="Q37" s="2"/>
      <c r="R37" s="7">
        <f t="shared" si="20"/>
        <v>0</v>
      </c>
      <c r="S37" s="2"/>
      <c r="T37" s="6">
        <v>1415.16</v>
      </c>
      <c r="U37" s="2"/>
      <c r="V37" s="7">
        <f t="shared" si="21"/>
        <v>0</v>
      </c>
      <c r="W37" s="2"/>
      <c r="X37" s="6">
        <f t="shared" si="22"/>
        <v>1258.7499999999998</v>
      </c>
      <c r="Y37" s="2"/>
      <c r="Z37" s="7">
        <f t="shared" si="23"/>
        <v>0.88947539500833805</v>
      </c>
    </row>
    <row r="38" spans="1:26" s="25" customFormat="1" outlineLevel="1" collapsed="1" x14ac:dyDescent="0.25">
      <c r="A38" s="27"/>
      <c r="B38" s="13" t="str">
        <f>CONCATENATE("     ","Depreciation                                      ")</f>
        <v xml:space="preserve">     Depreciation                                      </v>
      </c>
      <c r="C38" s="13"/>
      <c r="D38" s="1">
        <f>SUM(OSRRefD22_3x_0)</f>
        <v>6821.6399999999994</v>
      </c>
      <c r="E38" s="1"/>
      <c r="F38" s="5">
        <f t="shared" si="16"/>
        <v>0</v>
      </c>
      <c r="G38" s="1"/>
      <c r="H38" s="1">
        <f>SUM(OSRRefH22_3x_0)</f>
        <v>7198.51</v>
      </c>
      <c r="I38" s="1"/>
      <c r="J38" s="5">
        <f t="shared" si="17"/>
        <v>0</v>
      </c>
      <c r="K38" s="1"/>
      <c r="L38" s="1">
        <f t="shared" si="18"/>
        <v>-376.8700000000008</v>
      </c>
      <c r="M38" s="1"/>
      <c r="N38" s="5">
        <f t="shared" si="19"/>
        <v>-5.2353889902215983E-2</v>
      </c>
      <c r="O38" s="13"/>
      <c r="P38" s="1">
        <f>SUM(OSRRefP22_3x_0)</f>
        <v>34108.199999999997</v>
      </c>
      <c r="Q38" s="1"/>
      <c r="R38" s="5">
        <f t="shared" si="20"/>
        <v>0</v>
      </c>
      <c r="S38" s="1"/>
      <c r="T38" s="1">
        <f>SUM(OSRRefT22_3x_0)</f>
        <v>54966.41</v>
      </c>
      <c r="U38" s="1"/>
      <c r="V38" s="5">
        <f t="shared" si="21"/>
        <v>0</v>
      </c>
      <c r="W38" s="1"/>
      <c r="X38" s="1">
        <f t="shared" si="22"/>
        <v>-20858.210000000006</v>
      </c>
      <c r="Y38" s="1"/>
      <c r="Z38" s="5">
        <f t="shared" si="23"/>
        <v>-0.37947193567853538</v>
      </c>
    </row>
    <row r="39" spans="1:26" s="24" customFormat="1" hidden="1" outlineLevel="2" x14ac:dyDescent="0.25">
      <c r="A39" s="26"/>
      <c r="B39" s="11" t="str">
        <f>CONCATENATE("          ", "6321", " - ", "BUILDING DEPRECIATION")</f>
        <v xml:space="preserve">          6321 - BUILDING DEPRECIATION</v>
      </c>
      <c r="C39" s="11"/>
      <c r="D39" s="6">
        <v>2266.9499999999998</v>
      </c>
      <c r="E39" s="2"/>
      <c r="F39" s="7">
        <f t="shared" si="16"/>
        <v>0</v>
      </c>
      <c r="G39" s="2"/>
      <c r="H39" s="6">
        <v>4040.07</v>
      </c>
      <c r="I39" s="2"/>
      <c r="J39" s="7">
        <f t="shared" si="17"/>
        <v>0</v>
      </c>
      <c r="K39" s="2"/>
      <c r="L39" s="6">
        <f t="shared" si="18"/>
        <v>-1773.1200000000003</v>
      </c>
      <c r="M39" s="2"/>
      <c r="N39" s="7">
        <f t="shared" si="19"/>
        <v>-0.43888348469209698</v>
      </c>
      <c r="O39" s="11"/>
      <c r="P39" s="6">
        <v>11334.75</v>
      </c>
      <c r="Q39" s="2"/>
      <c r="R39" s="7">
        <f t="shared" si="20"/>
        <v>0</v>
      </c>
      <c r="S39" s="2"/>
      <c r="T39" s="6">
        <v>39174.21</v>
      </c>
      <c r="U39" s="2"/>
      <c r="V39" s="7">
        <f t="shared" si="21"/>
        <v>0</v>
      </c>
      <c r="W39" s="2"/>
      <c r="X39" s="6">
        <f t="shared" si="22"/>
        <v>-27839.46</v>
      </c>
      <c r="Y39" s="2"/>
      <c r="Z39" s="7">
        <f t="shared" si="23"/>
        <v>-0.71065785372570367</v>
      </c>
    </row>
    <row r="40" spans="1:26" s="24" customFormat="1" hidden="1" outlineLevel="2" x14ac:dyDescent="0.25">
      <c r="A40" s="26"/>
      <c r="B40" s="11" t="str">
        <f>CONCATENATE("          ", "6322", " - ", "EQUIPMENT DEPRECIATION EXPENSE")</f>
        <v xml:space="preserve">          6322 - EQUIPMENT DEPRECIATION EXPENSE</v>
      </c>
      <c r="C40" s="11"/>
      <c r="D40" s="6">
        <v>4130.4399999999996</v>
      </c>
      <c r="E40" s="2"/>
      <c r="F40" s="7">
        <f t="shared" si="16"/>
        <v>0</v>
      </c>
      <c r="G40" s="2"/>
      <c r="H40" s="6">
        <v>2734.19</v>
      </c>
      <c r="I40" s="2"/>
      <c r="J40" s="7">
        <f t="shared" si="17"/>
        <v>0</v>
      </c>
      <c r="K40" s="2"/>
      <c r="L40" s="6">
        <f t="shared" si="18"/>
        <v>1396.2499999999995</v>
      </c>
      <c r="M40" s="2"/>
      <c r="N40" s="7">
        <f t="shared" si="19"/>
        <v>0.51066312143633019</v>
      </c>
      <c r="O40" s="11"/>
      <c r="P40" s="6">
        <v>20652.2</v>
      </c>
      <c r="Q40" s="2"/>
      <c r="R40" s="7">
        <f t="shared" si="20"/>
        <v>0</v>
      </c>
      <c r="S40" s="2"/>
      <c r="T40" s="6">
        <v>13670.95</v>
      </c>
      <c r="U40" s="2"/>
      <c r="V40" s="7">
        <f t="shared" si="21"/>
        <v>0</v>
      </c>
      <c r="W40" s="2"/>
      <c r="X40" s="6">
        <f t="shared" si="22"/>
        <v>6981.25</v>
      </c>
      <c r="Y40" s="2"/>
      <c r="Z40" s="7">
        <f t="shared" si="23"/>
        <v>0.5106631214363303</v>
      </c>
    </row>
    <row r="41" spans="1:26" s="24" customFormat="1" hidden="1" outlineLevel="2" x14ac:dyDescent="0.25">
      <c r="A41" s="26"/>
      <c r="B41" s="11" t="str">
        <f>CONCATENATE("          ", "6326", " - ", "VEHICLES DEPRECIATION EXPENSE")</f>
        <v xml:space="preserve">          6326 - VEHICLES DEPRECIATION EXPENSE</v>
      </c>
      <c r="C41" s="11"/>
      <c r="D41" s="6">
        <v>424.25</v>
      </c>
      <c r="E41" s="2"/>
      <c r="F41" s="7">
        <f t="shared" si="16"/>
        <v>0</v>
      </c>
      <c r="G41" s="2"/>
      <c r="H41" s="6">
        <v>424.25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2121.25</v>
      </c>
      <c r="Q41" s="2"/>
      <c r="R41" s="7">
        <f t="shared" si="20"/>
        <v>0</v>
      </c>
      <c r="S41" s="2"/>
      <c r="T41" s="6">
        <v>2121.25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5" customFormat="1" outlineLevel="1" collapsed="1" x14ac:dyDescent="0.25">
      <c r="A42" s="27"/>
      <c r="B42" s="13" t="str">
        <f>CONCATENATE("     ","Donations                                         ")</f>
        <v xml:space="preserve">     Donations                                         </v>
      </c>
      <c r="C42" s="13"/>
      <c r="D42" s="1">
        <f>SUM(OSRRefD22_4x_0)</f>
        <v>0</v>
      </c>
      <c r="E42" s="1"/>
      <c r="F42" s="5">
        <f t="shared" ref="F42:F59" si="24">IF(D$12=0,0,D42/D$12)</f>
        <v>0</v>
      </c>
      <c r="G42" s="1"/>
      <c r="H42" s="1">
        <f>SUM(OSRRefH22_4x_0)</f>
        <v>0</v>
      </c>
      <c r="I42" s="1"/>
      <c r="J42" s="5">
        <f t="shared" ref="J42:J59" si="25">IF(H$12=0,0,H42/H$12)</f>
        <v>0</v>
      </c>
      <c r="K42" s="1"/>
      <c r="L42" s="1">
        <f t="shared" ref="L42:L59" si="26">+D42-H42</f>
        <v>0</v>
      </c>
      <c r="M42" s="1"/>
      <c r="N42" s="5">
        <f t="shared" ref="N42:N59" si="27">IF(H42=0,0,L42/H42)</f>
        <v>0</v>
      </c>
      <c r="O42" s="13"/>
      <c r="P42" s="1">
        <f>SUM(OSRRefP22_4x_0)</f>
        <v>163.68</v>
      </c>
      <c r="Q42" s="1"/>
      <c r="R42" s="5">
        <f t="shared" ref="R42:R59" si="28">IF(P$12=0,0,P42/P$12)</f>
        <v>0</v>
      </c>
      <c r="S42" s="1"/>
      <c r="T42" s="1">
        <f>SUM(OSRRefT22_4x_0)</f>
        <v>688.24</v>
      </c>
      <c r="U42" s="1"/>
      <c r="V42" s="5">
        <f t="shared" ref="V42:V59" si="29">IF(T$12=0,0,T42/T$12)</f>
        <v>0</v>
      </c>
      <c r="W42" s="1"/>
      <c r="X42" s="1">
        <f t="shared" ref="X42:X59" si="30">+P42-T42</f>
        <v>-524.55999999999995</v>
      </c>
      <c r="Y42" s="1"/>
      <c r="Z42" s="5">
        <f t="shared" ref="Z42:Z59" si="31">IF(T42=0,0,X42/T42)</f>
        <v>-0.76217598512146911</v>
      </c>
    </row>
    <row r="43" spans="1:26" s="24" customFormat="1" hidden="1" outlineLevel="2" x14ac:dyDescent="0.25">
      <c r="A43" s="26"/>
      <c r="B43" s="11" t="str">
        <f>CONCATENATE("          ", "6399", " - ", "DONATION-ON CAMPUS")</f>
        <v xml:space="preserve">          6399 - DONATION-ON CAMPUS</v>
      </c>
      <c r="C43" s="11"/>
      <c r="D43" s="6"/>
      <c r="E43" s="2"/>
      <c r="F43" s="7">
        <f t="shared" si="24"/>
        <v>0</v>
      </c>
      <c r="G43" s="2"/>
      <c r="H43" s="6"/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1"/>
      <c r="P43" s="6">
        <v>163.68</v>
      </c>
      <c r="Q43" s="2"/>
      <c r="R43" s="7">
        <f t="shared" si="28"/>
        <v>0</v>
      </c>
      <c r="S43" s="2"/>
      <c r="T43" s="6">
        <v>688.24</v>
      </c>
      <c r="U43" s="2"/>
      <c r="V43" s="7">
        <f t="shared" si="29"/>
        <v>0</v>
      </c>
      <c r="W43" s="2"/>
      <c r="X43" s="6">
        <f t="shared" si="30"/>
        <v>-524.55999999999995</v>
      </c>
      <c r="Y43" s="2"/>
      <c r="Z43" s="7">
        <f t="shared" si="31"/>
        <v>-0.76217598512146911</v>
      </c>
    </row>
    <row r="44" spans="1:26" s="25" customFormat="1" outlineLevel="1" collapsed="1" x14ac:dyDescent="0.25">
      <c r="A44" s="27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SUM(OSRRefD22_5x_0)</f>
        <v>126.43</v>
      </c>
      <c r="E44" s="1"/>
      <c r="F44" s="5">
        <f t="shared" si="24"/>
        <v>0</v>
      </c>
      <c r="G44" s="1"/>
      <c r="H44" s="1">
        <f>SUM(OSRRefH22_5x_0)</f>
        <v>75.930000000000007</v>
      </c>
      <c r="I44" s="1"/>
      <c r="J44" s="5">
        <f t="shared" si="25"/>
        <v>0</v>
      </c>
      <c r="K44" s="1"/>
      <c r="L44" s="1">
        <f t="shared" si="26"/>
        <v>50.5</v>
      </c>
      <c r="M44" s="1"/>
      <c r="N44" s="5">
        <f t="shared" si="27"/>
        <v>0.66508626366390089</v>
      </c>
      <c r="O44" s="13"/>
      <c r="P44" s="1">
        <f>SUM(OSRRefP22_5x_0)</f>
        <v>319.14999999999998</v>
      </c>
      <c r="Q44" s="1"/>
      <c r="R44" s="5">
        <f t="shared" si="28"/>
        <v>0</v>
      </c>
      <c r="S44" s="1"/>
      <c r="T44" s="1">
        <f>SUM(OSRRefT22_5x_0)</f>
        <v>773.21</v>
      </c>
      <c r="U44" s="1"/>
      <c r="V44" s="5">
        <f t="shared" si="29"/>
        <v>0</v>
      </c>
      <c r="W44" s="1"/>
      <c r="X44" s="1">
        <f t="shared" si="30"/>
        <v>-454.06000000000006</v>
      </c>
      <c r="Y44" s="1"/>
      <c r="Z44" s="5">
        <f t="shared" si="31"/>
        <v>-0.58724020641222963</v>
      </c>
    </row>
    <row r="45" spans="1:26" s="24" customFormat="1" hidden="1" outlineLevel="2" x14ac:dyDescent="0.25">
      <c r="A45" s="26"/>
      <c r="B45" s="11" t="str">
        <f>CONCATENATE("          ", "6277", " - ", "EMPLOYEE APPRECIATION")</f>
        <v xml:space="preserve">          6277 - EMPLOYEE APPRECIATION</v>
      </c>
      <c r="C45" s="11"/>
      <c r="D45" s="6">
        <v>126.43</v>
      </c>
      <c r="E45" s="2"/>
      <c r="F45" s="7">
        <f t="shared" si="24"/>
        <v>0</v>
      </c>
      <c r="G45" s="2"/>
      <c r="H45" s="6">
        <v>75.930000000000007</v>
      </c>
      <c r="I45" s="2"/>
      <c r="J45" s="7">
        <f t="shared" si="25"/>
        <v>0</v>
      </c>
      <c r="K45" s="2"/>
      <c r="L45" s="6">
        <f t="shared" si="26"/>
        <v>50.5</v>
      </c>
      <c r="M45" s="2"/>
      <c r="N45" s="7">
        <f t="shared" si="27"/>
        <v>0.66508626366390089</v>
      </c>
      <c r="O45" s="11"/>
      <c r="P45" s="6">
        <v>319.14999999999998</v>
      </c>
      <c r="Q45" s="2"/>
      <c r="R45" s="7">
        <f t="shared" si="28"/>
        <v>0</v>
      </c>
      <c r="S45" s="2"/>
      <c r="T45" s="6">
        <v>773.21</v>
      </c>
      <c r="U45" s="2"/>
      <c r="V45" s="7">
        <f t="shared" si="29"/>
        <v>0</v>
      </c>
      <c r="W45" s="2"/>
      <c r="X45" s="6">
        <f t="shared" si="30"/>
        <v>-454.06000000000006</v>
      </c>
      <c r="Y45" s="2"/>
      <c r="Z45" s="7">
        <f t="shared" si="31"/>
        <v>-0.58724020641222963</v>
      </c>
    </row>
    <row r="46" spans="1:26" s="25" customFormat="1" outlineLevel="1" collapsed="1" x14ac:dyDescent="0.25">
      <c r="A46" s="27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SUM(OSRRefD22_6x_0)</f>
        <v>864.33</v>
      </c>
      <c r="E46" s="1"/>
      <c r="F46" s="5">
        <f t="shared" si="24"/>
        <v>0</v>
      </c>
      <c r="G46" s="1"/>
      <c r="H46" s="1">
        <f>SUM(OSRRefH22_6x_0)</f>
        <v>1361.33</v>
      </c>
      <c r="I46" s="1"/>
      <c r="J46" s="5">
        <f t="shared" si="25"/>
        <v>0</v>
      </c>
      <c r="K46" s="1"/>
      <c r="L46" s="1">
        <f t="shared" si="26"/>
        <v>-496.99999999999989</v>
      </c>
      <c r="M46" s="1"/>
      <c r="N46" s="5">
        <f t="shared" si="27"/>
        <v>-0.36508414565167879</v>
      </c>
      <c r="O46" s="13"/>
      <c r="P46" s="1">
        <f>SUM(OSRRefP22_6x_0)</f>
        <v>5510.61</v>
      </c>
      <c r="Q46" s="1"/>
      <c r="R46" s="5">
        <f t="shared" si="28"/>
        <v>0</v>
      </c>
      <c r="S46" s="1"/>
      <c r="T46" s="1">
        <f>SUM(OSRRefT22_6x_0)</f>
        <v>5381.87</v>
      </c>
      <c r="U46" s="1"/>
      <c r="V46" s="5">
        <f t="shared" si="29"/>
        <v>0</v>
      </c>
      <c r="W46" s="1"/>
      <c r="X46" s="1">
        <f t="shared" si="30"/>
        <v>128.73999999999978</v>
      </c>
      <c r="Y46" s="1"/>
      <c r="Z46" s="5">
        <f t="shared" si="31"/>
        <v>2.3921053462829793E-2</v>
      </c>
    </row>
    <row r="47" spans="1:26" s="24" customFormat="1" hidden="1" outlineLevel="2" x14ac:dyDescent="0.25">
      <c r="A47" s="26"/>
      <c r="B47" s="11" t="str">
        <f>CONCATENATE("          ", "6351", " - ", "EQUIPMENT RENTAL")</f>
        <v xml:space="preserve">          6351 - EQUIPMENT RENTAL</v>
      </c>
      <c r="C47" s="11"/>
      <c r="D47" s="6">
        <v>864.33</v>
      </c>
      <c r="E47" s="2"/>
      <c r="F47" s="7">
        <f t="shared" si="24"/>
        <v>0</v>
      </c>
      <c r="G47" s="2"/>
      <c r="H47" s="6">
        <v>1361.33</v>
      </c>
      <c r="I47" s="2"/>
      <c r="J47" s="7">
        <f t="shared" si="25"/>
        <v>0</v>
      </c>
      <c r="K47" s="2"/>
      <c r="L47" s="6">
        <f t="shared" si="26"/>
        <v>-496.99999999999989</v>
      </c>
      <c r="M47" s="2"/>
      <c r="N47" s="7">
        <f t="shared" si="27"/>
        <v>-0.36508414565167879</v>
      </c>
      <c r="O47" s="11"/>
      <c r="P47" s="6">
        <v>5510.61</v>
      </c>
      <c r="Q47" s="2"/>
      <c r="R47" s="7">
        <f t="shared" si="28"/>
        <v>0</v>
      </c>
      <c r="S47" s="2"/>
      <c r="T47" s="6">
        <v>5381.87</v>
      </c>
      <c r="U47" s="2"/>
      <c r="V47" s="7">
        <f t="shared" si="29"/>
        <v>0</v>
      </c>
      <c r="W47" s="2"/>
      <c r="X47" s="6">
        <f t="shared" si="30"/>
        <v>128.73999999999978</v>
      </c>
      <c r="Y47" s="2"/>
      <c r="Z47" s="7">
        <f t="shared" si="31"/>
        <v>2.3921053462829793E-2</v>
      </c>
    </row>
    <row r="48" spans="1:26" s="25" customFormat="1" outlineLevel="1" collapsed="1" x14ac:dyDescent="0.25">
      <c r="A48" s="27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SUM(OSRRefD22_7x_0)</f>
        <v>0</v>
      </c>
      <c r="E48" s="1"/>
      <c r="F48" s="5">
        <f t="shared" si="24"/>
        <v>0</v>
      </c>
      <c r="G48" s="1"/>
      <c r="H48" s="1">
        <f>SUM(OSRRefH22_7x_0)</f>
        <v>9.01</v>
      </c>
      <c r="I48" s="1"/>
      <c r="J48" s="5">
        <f t="shared" si="25"/>
        <v>0</v>
      </c>
      <c r="K48" s="1"/>
      <c r="L48" s="1">
        <f t="shared" si="26"/>
        <v>-9.01</v>
      </c>
      <c r="M48" s="1"/>
      <c r="N48" s="5">
        <f t="shared" si="27"/>
        <v>-1</v>
      </c>
      <c r="O48" s="13"/>
      <c r="P48" s="1">
        <f>SUM(OSRRefP22_7x_0)</f>
        <v>0</v>
      </c>
      <c r="Q48" s="1"/>
      <c r="R48" s="5">
        <f t="shared" si="28"/>
        <v>0</v>
      </c>
      <c r="S48" s="1"/>
      <c r="T48" s="1">
        <f>SUM(OSRRefT22_7x_0)</f>
        <v>9.01</v>
      </c>
      <c r="U48" s="1"/>
      <c r="V48" s="5">
        <f t="shared" si="29"/>
        <v>0</v>
      </c>
      <c r="W48" s="1"/>
      <c r="X48" s="1">
        <f t="shared" si="30"/>
        <v>-9.01</v>
      </c>
      <c r="Y48" s="1"/>
      <c r="Z48" s="5">
        <f t="shared" si="31"/>
        <v>-1</v>
      </c>
    </row>
    <row r="49" spans="1:26" s="24" customFormat="1" hidden="1" outlineLevel="2" x14ac:dyDescent="0.25">
      <c r="A49" s="26"/>
      <c r="B49" s="11" t="str">
        <f>CONCATENATE("          ", "6307", " - ", "POSTAGE")</f>
        <v xml:space="preserve">          6307 - POSTAGE</v>
      </c>
      <c r="C49" s="11"/>
      <c r="D49" s="6"/>
      <c r="E49" s="2"/>
      <c r="F49" s="7">
        <f t="shared" si="24"/>
        <v>0</v>
      </c>
      <c r="G49" s="2"/>
      <c r="H49" s="6">
        <v>9.01</v>
      </c>
      <c r="I49" s="2"/>
      <c r="J49" s="7">
        <f t="shared" si="25"/>
        <v>0</v>
      </c>
      <c r="K49" s="2"/>
      <c r="L49" s="6">
        <f t="shared" si="26"/>
        <v>-9.01</v>
      </c>
      <c r="M49" s="2"/>
      <c r="N49" s="7">
        <f t="shared" si="27"/>
        <v>-1</v>
      </c>
      <c r="O49" s="11"/>
      <c r="P49" s="6"/>
      <c r="Q49" s="2"/>
      <c r="R49" s="7">
        <f t="shared" si="28"/>
        <v>0</v>
      </c>
      <c r="S49" s="2"/>
      <c r="T49" s="6">
        <v>9.01</v>
      </c>
      <c r="U49" s="2"/>
      <c r="V49" s="7">
        <f t="shared" si="29"/>
        <v>0</v>
      </c>
      <c r="W49" s="2"/>
      <c r="X49" s="6">
        <f t="shared" si="30"/>
        <v>-9.01</v>
      </c>
      <c r="Y49" s="2"/>
      <c r="Z49" s="7">
        <f t="shared" si="31"/>
        <v>-1</v>
      </c>
    </row>
    <row r="50" spans="1:26" s="25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SUM(OSRRefD22_8x_0)</f>
        <v>18889.79</v>
      </c>
      <c r="E50" s="1"/>
      <c r="F50" s="5">
        <f t="shared" si="24"/>
        <v>0</v>
      </c>
      <c r="G50" s="1"/>
      <c r="H50" s="1">
        <f>SUM(OSRRefH22_8x_0)</f>
        <v>0</v>
      </c>
      <c r="I50" s="1"/>
      <c r="J50" s="5">
        <f t="shared" si="25"/>
        <v>0</v>
      </c>
      <c r="K50" s="1"/>
      <c r="L50" s="1">
        <f t="shared" si="26"/>
        <v>18889.79</v>
      </c>
      <c r="M50" s="1"/>
      <c r="N50" s="5">
        <f t="shared" si="27"/>
        <v>0</v>
      </c>
      <c r="O50" s="13"/>
      <c r="P50" s="1">
        <f>SUM(OSRRefP22_8x_0)</f>
        <v>20026.230000000003</v>
      </c>
      <c r="Q50" s="1"/>
      <c r="R50" s="5">
        <f t="shared" si="28"/>
        <v>0</v>
      </c>
      <c r="S50" s="1"/>
      <c r="T50" s="1">
        <f>SUM(OSRRefT22_8x_0)</f>
        <v>0</v>
      </c>
      <c r="U50" s="1"/>
      <c r="V50" s="5">
        <f t="shared" si="29"/>
        <v>0</v>
      </c>
      <c r="W50" s="1"/>
      <c r="X50" s="1">
        <f t="shared" si="30"/>
        <v>20026.230000000003</v>
      </c>
      <c r="Y50" s="1"/>
      <c r="Z50" s="5">
        <f t="shared" si="31"/>
        <v>0</v>
      </c>
    </row>
    <row r="51" spans="1:26" s="24" customFormat="1" hidden="1" outlineLevel="2" x14ac:dyDescent="0.25">
      <c r="A51" s="26"/>
      <c r="B51" s="11" t="str">
        <f>CONCATENATE("          ", "6279", " - ", "GENERAL EXPENSE")</f>
        <v xml:space="preserve">          6279 - GENERAL EXPENSE</v>
      </c>
      <c r="C51" s="11"/>
      <c r="D51" s="6">
        <v>18889.79</v>
      </c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18889.79</v>
      </c>
      <c r="M51" s="2"/>
      <c r="N51" s="7">
        <f t="shared" si="27"/>
        <v>0</v>
      </c>
      <c r="O51" s="11"/>
      <c r="P51" s="6">
        <v>20026.230000000003</v>
      </c>
      <c r="Q51" s="2"/>
      <c r="R51" s="7">
        <f t="shared" si="28"/>
        <v>0</v>
      </c>
      <c r="S51" s="2"/>
      <c r="T51" s="6"/>
      <c r="U51" s="2"/>
      <c r="V51" s="7">
        <f t="shared" si="29"/>
        <v>0</v>
      </c>
      <c r="W51" s="2"/>
      <c r="X51" s="6">
        <f t="shared" si="30"/>
        <v>20026.230000000003</v>
      </c>
      <c r="Y51" s="2"/>
      <c r="Z51" s="7">
        <f t="shared" si="31"/>
        <v>0</v>
      </c>
    </row>
    <row r="52" spans="1:26" s="25" customFormat="1" outlineLevel="1" collapsed="1" x14ac:dyDescent="0.25">
      <c r="A52" s="27"/>
      <c r="B52" s="13" t="str">
        <f>CONCATENATE("     ","Insurance                                         ")</f>
        <v xml:space="preserve">     Insurance                                         </v>
      </c>
      <c r="C52" s="13"/>
      <c r="D52" s="1">
        <f>SUM(OSRRefD22_9x_0)</f>
        <v>3598.85</v>
      </c>
      <c r="E52" s="1"/>
      <c r="F52" s="5">
        <f t="shared" si="24"/>
        <v>0</v>
      </c>
      <c r="G52" s="1"/>
      <c r="H52" s="1">
        <f>SUM(OSRRefH22_9x_0)</f>
        <v>3389.02</v>
      </c>
      <c r="I52" s="1"/>
      <c r="J52" s="5">
        <f t="shared" si="25"/>
        <v>0</v>
      </c>
      <c r="K52" s="1"/>
      <c r="L52" s="1">
        <f t="shared" si="26"/>
        <v>209.82999999999993</v>
      </c>
      <c r="M52" s="1"/>
      <c r="N52" s="5">
        <f t="shared" si="27"/>
        <v>6.191465379372206E-2</v>
      </c>
      <c r="O52" s="13"/>
      <c r="P52" s="1">
        <f>SUM(OSRRefP22_9x_0)</f>
        <v>17994.25</v>
      </c>
      <c r="Q52" s="1"/>
      <c r="R52" s="5">
        <f t="shared" si="28"/>
        <v>0</v>
      </c>
      <c r="S52" s="1"/>
      <c r="T52" s="1">
        <f>SUM(OSRRefT22_9x_0)</f>
        <v>21533.1</v>
      </c>
      <c r="U52" s="1"/>
      <c r="V52" s="5">
        <f t="shared" si="29"/>
        <v>0</v>
      </c>
      <c r="W52" s="1"/>
      <c r="X52" s="1">
        <f t="shared" si="30"/>
        <v>-3538.8499999999985</v>
      </c>
      <c r="Y52" s="1"/>
      <c r="Z52" s="5">
        <f t="shared" si="31"/>
        <v>-0.16434466008145593</v>
      </c>
    </row>
    <row r="53" spans="1:26" s="24" customFormat="1" hidden="1" outlineLevel="2" x14ac:dyDescent="0.25">
      <c r="A53" s="26"/>
      <c r="B53" s="11" t="str">
        <f>CONCATENATE("          ", "6314", " - ", "LIABILITY INSURANCE")</f>
        <v xml:space="preserve">          6314 - LIABILITY INSURANCE</v>
      </c>
      <c r="C53" s="11"/>
      <c r="D53" s="6">
        <v>3598.85</v>
      </c>
      <c r="E53" s="2"/>
      <c r="F53" s="7">
        <f t="shared" si="24"/>
        <v>0</v>
      </c>
      <c r="G53" s="2"/>
      <c r="H53" s="6">
        <v>3389.02</v>
      </c>
      <c r="I53" s="2"/>
      <c r="J53" s="7">
        <f t="shared" si="25"/>
        <v>0</v>
      </c>
      <c r="K53" s="2"/>
      <c r="L53" s="6">
        <f t="shared" si="26"/>
        <v>209.82999999999993</v>
      </c>
      <c r="M53" s="2"/>
      <c r="N53" s="7">
        <f t="shared" si="27"/>
        <v>6.191465379372206E-2</v>
      </c>
      <c r="O53" s="11"/>
      <c r="P53" s="6">
        <v>17994.25</v>
      </c>
      <c r="Q53" s="2"/>
      <c r="R53" s="7">
        <f t="shared" si="28"/>
        <v>0</v>
      </c>
      <c r="S53" s="2"/>
      <c r="T53" s="6">
        <v>21533.1</v>
      </c>
      <c r="U53" s="2"/>
      <c r="V53" s="7">
        <f t="shared" si="29"/>
        <v>0</v>
      </c>
      <c r="W53" s="2"/>
      <c r="X53" s="6">
        <f t="shared" si="30"/>
        <v>-3538.8499999999985</v>
      </c>
      <c r="Y53" s="2"/>
      <c r="Z53" s="7">
        <f t="shared" si="31"/>
        <v>-0.16434466008145593</v>
      </c>
    </row>
    <row r="54" spans="1:26" s="25" customFormat="1" outlineLevel="1" collapsed="1" x14ac:dyDescent="0.25">
      <c r="A54" s="27"/>
      <c r="B54" s="13" t="str">
        <f>CONCATENATE("     ","Professional Services                             ")</f>
        <v xml:space="preserve">     Professional Services                             </v>
      </c>
      <c r="C54" s="13"/>
      <c r="D54" s="1">
        <f>SUM(OSRRefD22_10x_0)</f>
        <v>0</v>
      </c>
      <c r="E54" s="1"/>
      <c r="F54" s="5">
        <f t="shared" si="24"/>
        <v>0</v>
      </c>
      <c r="G54" s="1"/>
      <c r="H54" s="1">
        <f>SUM(OSRRefH22_10x_0)</f>
        <v>0</v>
      </c>
      <c r="I54" s="1"/>
      <c r="J54" s="5">
        <f t="shared" si="25"/>
        <v>0</v>
      </c>
      <c r="K54" s="1"/>
      <c r="L54" s="1">
        <f t="shared" si="26"/>
        <v>0</v>
      </c>
      <c r="M54" s="1"/>
      <c r="N54" s="5">
        <f t="shared" si="27"/>
        <v>0</v>
      </c>
      <c r="O54" s="13"/>
      <c r="P54" s="1">
        <f>SUM(OSRRefP22_10x_0)</f>
        <v>125</v>
      </c>
      <c r="Q54" s="1"/>
      <c r="R54" s="5">
        <f t="shared" si="28"/>
        <v>0</v>
      </c>
      <c r="S54" s="1"/>
      <c r="T54" s="1">
        <f>SUM(OSRRefT22_10x_0)</f>
        <v>0</v>
      </c>
      <c r="U54" s="1"/>
      <c r="V54" s="5">
        <f t="shared" si="29"/>
        <v>0</v>
      </c>
      <c r="W54" s="1"/>
      <c r="X54" s="1">
        <f t="shared" si="30"/>
        <v>125</v>
      </c>
      <c r="Y54" s="1"/>
      <c r="Z54" s="5">
        <f t="shared" si="31"/>
        <v>0</v>
      </c>
    </row>
    <row r="55" spans="1:26" s="24" customFormat="1" hidden="1" outlineLevel="2" x14ac:dyDescent="0.25">
      <c r="A55" s="26"/>
      <c r="B55" s="11" t="str">
        <f>CONCATENATE("          ", "6336", " - ", "PROFESSIONAL SERVICES")</f>
        <v xml:space="preserve">          6336 - PROFESSIONAL SERVICES</v>
      </c>
      <c r="C55" s="11"/>
      <c r="D55" s="6"/>
      <c r="E55" s="2"/>
      <c r="F55" s="7">
        <f t="shared" si="24"/>
        <v>0</v>
      </c>
      <c r="G55" s="2"/>
      <c r="H55" s="6"/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1"/>
      <c r="P55" s="6">
        <v>125</v>
      </c>
      <c r="Q55" s="2"/>
      <c r="R55" s="7">
        <f t="shared" si="28"/>
        <v>0</v>
      </c>
      <c r="S55" s="2"/>
      <c r="T55" s="6"/>
      <c r="U55" s="2"/>
      <c r="V55" s="7">
        <f t="shared" si="29"/>
        <v>0</v>
      </c>
      <c r="W55" s="2"/>
      <c r="X55" s="6">
        <f t="shared" si="30"/>
        <v>125</v>
      </c>
      <c r="Y55" s="2"/>
      <c r="Z55" s="7">
        <f t="shared" si="31"/>
        <v>0</v>
      </c>
    </row>
    <row r="56" spans="1:26" s="25" customFormat="1" outlineLevel="1" collapsed="1" x14ac:dyDescent="0.25">
      <c r="A56" s="27"/>
      <c r="B56" s="13" t="str">
        <f>CONCATENATE("     ","Repair and Maintenance                            ")</f>
        <v xml:space="preserve">     Repair and Maintenance                            </v>
      </c>
      <c r="C56" s="13"/>
      <c r="D56" s="1">
        <f>SUM(OSRRefD22_11x_0)</f>
        <v>5349.65</v>
      </c>
      <c r="E56" s="1"/>
      <c r="F56" s="5">
        <f t="shared" si="24"/>
        <v>0</v>
      </c>
      <c r="G56" s="1"/>
      <c r="H56" s="1">
        <f>SUM(OSRRefH22_11x_0)</f>
        <v>29392.77</v>
      </c>
      <c r="I56" s="1"/>
      <c r="J56" s="5">
        <f t="shared" si="25"/>
        <v>0</v>
      </c>
      <c r="K56" s="1"/>
      <c r="L56" s="1">
        <f t="shared" si="26"/>
        <v>-24043.120000000003</v>
      </c>
      <c r="M56" s="1"/>
      <c r="N56" s="5">
        <f t="shared" si="27"/>
        <v>-0.81799435711571256</v>
      </c>
      <c r="O56" s="13"/>
      <c r="P56" s="1">
        <f>SUM(OSRRefP22_11x_0)</f>
        <v>48917.56</v>
      </c>
      <c r="Q56" s="1"/>
      <c r="R56" s="5">
        <f t="shared" si="28"/>
        <v>0</v>
      </c>
      <c r="S56" s="1"/>
      <c r="T56" s="1">
        <f>SUM(OSRRefT22_11x_0)</f>
        <v>83726.12999999999</v>
      </c>
      <c r="U56" s="1"/>
      <c r="V56" s="5">
        <f t="shared" si="29"/>
        <v>0</v>
      </c>
      <c r="W56" s="1"/>
      <c r="X56" s="1">
        <f t="shared" si="30"/>
        <v>-34808.569999999992</v>
      </c>
      <c r="Y56" s="1"/>
      <c r="Z56" s="5">
        <f t="shared" si="31"/>
        <v>-0.41574320943772269</v>
      </c>
    </row>
    <row r="57" spans="1:26" s="24" customFormat="1" hidden="1" outlineLevel="2" x14ac:dyDescent="0.25">
      <c r="A57" s="26"/>
      <c r="B57" s="11" t="str">
        <f>CONCATENATE("          ", "6371", " - ", "COMPUTER SOFTWARE MAINTENANCE")</f>
        <v xml:space="preserve">          6371 - COMPUTER SOFTWARE MAINTENANCE</v>
      </c>
      <c r="C57" s="11"/>
      <c r="D57" s="6"/>
      <c r="E57" s="2"/>
      <c r="F57" s="7">
        <f t="shared" si="24"/>
        <v>0</v>
      </c>
      <c r="G57" s="2"/>
      <c r="H57" s="6">
        <v>860.64</v>
      </c>
      <c r="I57" s="2"/>
      <c r="J57" s="7">
        <f t="shared" si="25"/>
        <v>0</v>
      </c>
      <c r="K57" s="2"/>
      <c r="L57" s="6">
        <f t="shared" si="26"/>
        <v>-860.64</v>
      </c>
      <c r="M57" s="2"/>
      <c r="N57" s="7">
        <f t="shared" si="27"/>
        <v>-1</v>
      </c>
      <c r="O57" s="11"/>
      <c r="P57" s="6"/>
      <c r="Q57" s="2"/>
      <c r="R57" s="7">
        <f t="shared" si="28"/>
        <v>0</v>
      </c>
      <c r="S57" s="2"/>
      <c r="T57" s="6">
        <v>13625.95</v>
      </c>
      <c r="U57" s="2"/>
      <c r="V57" s="7">
        <f t="shared" si="29"/>
        <v>0</v>
      </c>
      <c r="W57" s="2"/>
      <c r="X57" s="6">
        <f t="shared" si="30"/>
        <v>-13625.95</v>
      </c>
      <c r="Y57" s="2"/>
      <c r="Z57" s="7">
        <f t="shared" si="31"/>
        <v>-1</v>
      </c>
    </row>
    <row r="58" spans="1:26" s="24" customFormat="1" hidden="1" outlineLevel="2" x14ac:dyDescent="0.25">
      <c r="A58" s="26"/>
      <c r="B58" s="11" t="str">
        <f>CONCATENATE("          ", "6373", " - ", "MAINTENANCE CONTRACTS")</f>
        <v xml:space="preserve">          6373 - MAINTENANCE CONTRACTS</v>
      </c>
      <c r="C58" s="11"/>
      <c r="D58" s="6">
        <v>5017.1499999999996</v>
      </c>
      <c r="E58" s="2"/>
      <c r="F58" s="7">
        <f t="shared" si="24"/>
        <v>0</v>
      </c>
      <c r="G58" s="2"/>
      <c r="H58" s="6">
        <v>22657.02</v>
      </c>
      <c r="I58" s="2"/>
      <c r="J58" s="7">
        <f t="shared" si="25"/>
        <v>0</v>
      </c>
      <c r="K58" s="2"/>
      <c r="L58" s="6">
        <f t="shared" si="26"/>
        <v>-17639.870000000003</v>
      </c>
      <c r="M58" s="2"/>
      <c r="N58" s="7">
        <f t="shared" si="27"/>
        <v>-0.77856090518523624</v>
      </c>
      <c r="O58" s="11"/>
      <c r="P58" s="6">
        <v>29211.14</v>
      </c>
      <c r="Q58" s="2"/>
      <c r="R58" s="7">
        <f t="shared" si="28"/>
        <v>0</v>
      </c>
      <c r="S58" s="2"/>
      <c r="T58" s="6">
        <v>51305.25</v>
      </c>
      <c r="U58" s="2"/>
      <c r="V58" s="7">
        <f t="shared" si="29"/>
        <v>0</v>
      </c>
      <c r="W58" s="2"/>
      <c r="X58" s="6">
        <f t="shared" si="30"/>
        <v>-22094.11</v>
      </c>
      <c r="Y58" s="2"/>
      <c r="Z58" s="7">
        <f t="shared" si="31"/>
        <v>-0.43064033407887109</v>
      </c>
    </row>
    <row r="59" spans="1:26" s="24" customFormat="1" hidden="1" outlineLevel="2" x14ac:dyDescent="0.25">
      <c r="A59" s="26"/>
      <c r="B59" s="11" t="str">
        <f>CONCATENATE("          ", "6375", " - ", "OUTSIDE REPAIRS &amp; MAINTENANCE")</f>
        <v xml:space="preserve">          6375 - OUTSIDE REPAIRS &amp; MAINTENANCE</v>
      </c>
      <c r="C59" s="11"/>
      <c r="D59" s="6">
        <v>332.5</v>
      </c>
      <c r="E59" s="2"/>
      <c r="F59" s="7">
        <f t="shared" si="24"/>
        <v>0</v>
      </c>
      <c r="G59" s="2"/>
      <c r="H59" s="6">
        <v>5875.11</v>
      </c>
      <c r="I59" s="2"/>
      <c r="J59" s="7">
        <f t="shared" si="25"/>
        <v>0</v>
      </c>
      <c r="K59" s="2"/>
      <c r="L59" s="6">
        <f t="shared" si="26"/>
        <v>-5542.61</v>
      </c>
      <c r="M59" s="2"/>
      <c r="N59" s="7">
        <f t="shared" si="27"/>
        <v>-0.94340531496431557</v>
      </c>
      <c r="O59" s="11"/>
      <c r="P59" s="6">
        <v>19706.419999999998</v>
      </c>
      <c r="Q59" s="2"/>
      <c r="R59" s="7">
        <f t="shared" si="28"/>
        <v>0</v>
      </c>
      <c r="S59" s="2"/>
      <c r="T59" s="6">
        <v>18794.929999999997</v>
      </c>
      <c r="U59" s="2"/>
      <c r="V59" s="7">
        <f t="shared" si="29"/>
        <v>0</v>
      </c>
      <c r="W59" s="2"/>
      <c r="X59" s="6">
        <f t="shared" si="30"/>
        <v>911.4900000000016</v>
      </c>
      <c r="Y59" s="2"/>
      <c r="Z59" s="7">
        <f t="shared" si="31"/>
        <v>4.8496589239757838E-2</v>
      </c>
    </row>
    <row r="60" spans="1:26" s="25" customFormat="1" outlineLevel="1" collapsed="1" x14ac:dyDescent="0.25">
      <c r="A60" s="27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SUM(OSRRefD22_12x_0)</f>
        <v>14496.82</v>
      </c>
      <c r="E60" s="1"/>
      <c r="F60" s="5">
        <f t="shared" ref="F60:F65" si="32">IF(D$12=0,0,D60/D$12)</f>
        <v>0</v>
      </c>
      <c r="G60" s="1"/>
      <c r="H60" s="1">
        <f>SUM(OSRRefH22_12x_0)</f>
        <v>13462.98</v>
      </c>
      <c r="I60" s="1"/>
      <c r="J60" s="5">
        <f t="shared" ref="J60:J65" si="33">IF(H$12=0,0,H60/H$12)</f>
        <v>0</v>
      </c>
      <c r="K60" s="1"/>
      <c r="L60" s="1">
        <f t="shared" ref="L60:L65" si="34">+D60-H60</f>
        <v>1033.8400000000001</v>
      </c>
      <c r="M60" s="1"/>
      <c r="N60" s="5">
        <f t="shared" ref="N60:N65" si="35">IF(H60=0,0,L60/H60)</f>
        <v>7.6791319603832148E-2</v>
      </c>
      <c r="O60" s="13"/>
      <c r="P60" s="1">
        <f>SUM(OSRRefP22_12x_0)</f>
        <v>64569.49</v>
      </c>
      <c r="Q60" s="1"/>
      <c r="R60" s="5">
        <f t="shared" ref="R60:R65" si="36">IF(P$12=0,0,P60/P$12)</f>
        <v>0</v>
      </c>
      <c r="S60" s="1"/>
      <c r="T60" s="1">
        <f>SUM(OSRRefT22_12x_0)</f>
        <v>76896.739999999991</v>
      </c>
      <c r="U60" s="1"/>
      <c r="V60" s="5">
        <f t="shared" ref="V60:V65" si="37">IF(T$12=0,0,T60/T$12)</f>
        <v>0</v>
      </c>
      <c r="W60" s="1"/>
      <c r="X60" s="1">
        <f t="shared" ref="X60:X65" si="38">+P60-T60</f>
        <v>-12327.249999999993</v>
      </c>
      <c r="Y60" s="1"/>
      <c r="Z60" s="5">
        <f t="shared" ref="Z60:Z65" si="39">IF(T60=0,0,X60/T60)</f>
        <v>-0.16030913664220348</v>
      </c>
    </row>
    <row r="61" spans="1:26" s="24" customFormat="1" hidden="1" outlineLevel="2" x14ac:dyDescent="0.25">
      <c r="A61" s="26"/>
      <c r="B61" s="11" t="str">
        <f>CONCATENATE("          ", "6282", " - ", "JANITORIAL/EXTERMINATOR EXPENS")</f>
        <v xml:space="preserve">          6282 - JANITORIAL/EXTERMINATOR EXPENS</v>
      </c>
      <c r="C61" s="11"/>
      <c r="D61" s="6">
        <v>626.26</v>
      </c>
      <c r="E61" s="2"/>
      <c r="F61" s="7">
        <f t="shared" si="32"/>
        <v>0</v>
      </c>
      <c r="G61" s="2"/>
      <c r="H61" s="6">
        <v>626.26</v>
      </c>
      <c r="I61" s="2"/>
      <c r="J61" s="7">
        <f t="shared" si="33"/>
        <v>0</v>
      </c>
      <c r="K61" s="2"/>
      <c r="L61" s="6">
        <f t="shared" si="34"/>
        <v>0</v>
      </c>
      <c r="M61" s="2"/>
      <c r="N61" s="7">
        <f t="shared" si="35"/>
        <v>0</v>
      </c>
      <c r="O61" s="11"/>
      <c r="P61" s="6">
        <v>3131.3</v>
      </c>
      <c r="Q61" s="2"/>
      <c r="R61" s="7">
        <f t="shared" si="36"/>
        <v>0</v>
      </c>
      <c r="S61" s="2"/>
      <c r="T61" s="6">
        <v>3131.3</v>
      </c>
      <c r="U61" s="2"/>
      <c r="V61" s="7">
        <f t="shared" si="37"/>
        <v>0</v>
      </c>
      <c r="W61" s="2"/>
      <c r="X61" s="6">
        <f t="shared" si="38"/>
        <v>0</v>
      </c>
      <c r="Y61" s="2"/>
      <c r="Z61" s="7">
        <f t="shared" si="39"/>
        <v>0</v>
      </c>
    </row>
    <row r="62" spans="1:26" s="24" customFormat="1" hidden="1" outlineLevel="2" x14ac:dyDescent="0.25">
      <c r="A62" s="26"/>
      <c r="B62" s="11" t="str">
        <f>CONCATENATE("          ", "6283", " - ", "PLANT SERVICE")</f>
        <v xml:space="preserve">          6283 - PLANT SERVICE</v>
      </c>
      <c r="C62" s="11"/>
      <c r="D62" s="6">
        <v>35.53</v>
      </c>
      <c r="E62" s="2"/>
      <c r="F62" s="7">
        <f t="shared" si="32"/>
        <v>0</v>
      </c>
      <c r="G62" s="2"/>
      <c r="H62" s="6">
        <v>33</v>
      </c>
      <c r="I62" s="2"/>
      <c r="J62" s="7">
        <f t="shared" si="33"/>
        <v>0</v>
      </c>
      <c r="K62" s="2"/>
      <c r="L62" s="6">
        <f t="shared" si="34"/>
        <v>2.5300000000000011</v>
      </c>
      <c r="M62" s="2"/>
      <c r="N62" s="7">
        <f t="shared" si="35"/>
        <v>7.6666666666666702E-2</v>
      </c>
      <c r="O62" s="11"/>
      <c r="P62" s="6">
        <v>142.12</v>
      </c>
      <c r="Q62" s="2"/>
      <c r="R62" s="7">
        <f t="shared" si="36"/>
        <v>0</v>
      </c>
      <c r="S62" s="2"/>
      <c r="T62" s="6">
        <v>165</v>
      </c>
      <c r="U62" s="2"/>
      <c r="V62" s="7">
        <f t="shared" si="37"/>
        <v>0</v>
      </c>
      <c r="W62" s="2"/>
      <c r="X62" s="6">
        <f t="shared" si="38"/>
        <v>-22.879999999999995</v>
      </c>
      <c r="Y62" s="2"/>
      <c r="Z62" s="7">
        <f t="shared" si="39"/>
        <v>-0.13866666666666663</v>
      </c>
    </row>
    <row r="63" spans="1:26" s="24" customFormat="1" hidden="1" outlineLevel="2" x14ac:dyDescent="0.25">
      <c r="A63" s="26"/>
      <c r="B63" s="11" t="str">
        <f>CONCATENATE("          ", "6284", " - ", "TRASH REMOVAL EXPENSE")</f>
        <v xml:space="preserve">          6284 - TRASH REMOVAL EXPENSE</v>
      </c>
      <c r="C63" s="11"/>
      <c r="D63" s="6">
        <v>3482</v>
      </c>
      <c r="E63" s="2"/>
      <c r="F63" s="7">
        <f t="shared" si="32"/>
        <v>0</v>
      </c>
      <c r="G63" s="2"/>
      <c r="H63" s="6">
        <v>3482</v>
      </c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1"/>
      <c r="P63" s="6">
        <v>10446</v>
      </c>
      <c r="Q63" s="2"/>
      <c r="R63" s="7">
        <f t="shared" si="36"/>
        <v>0</v>
      </c>
      <c r="S63" s="2"/>
      <c r="T63" s="6">
        <v>25809.99</v>
      </c>
      <c r="U63" s="2"/>
      <c r="V63" s="7">
        <f t="shared" si="37"/>
        <v>0</v>
      </c>
      <c r="W63" s="2"/>
      <c r="X63" s="6">
        <f t="shared" si="38"/>
        <v>-15363.990000000002</v>
      </c>
      <c r="Y63" s="2"/>
      <c r="Z63" s="7">
        <f t="shared" si="39"/>
        <v>-0.59527299313172921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6">
        <v>10278.51</v>
      </c>
      <c r="E64" s="2"/>
      <c r="F64" s="7">
        <f t="shared" si="32"/>
        <v>0</v>
      </c>
      <c r="G64" s="2"/>
      <c r="H64" s="6">
        <v>9146.7199999999993</v>
      </c>
      <c r="I64" s="2"/>
      <c r="J64" s="7">
        <f t="shared" si="33"/>
        <v>0</v>
      </c>
      <c r="K64" s="2"/>
      <c r="L64" s="6">
        <f t="shared" si="34"/>
        <v>1131.7900000000009</v>
      </c>
      <c r="M64" s="2"/>
      <c r="N64" s="7">
        <f t="shared" si="35"/>
        <v>0.12373725226091986</v>
      </c>
      <c r="O64" s="11"/>
      <c r="P64" s="6">
        <v>50472.55</v>
      </c>
      <c r="Q64" s="2"/>
      <c r="R64" s="7">
        <f t="shared" si="36"/>
        <v>0</v>
      </c>
      <c r="S64" s="2"/>
      <c r="T64" s="6">
        <v>46765.939999999995</v>
      </c>
      <c r="U64" s="2"/>
      <c r="V64" s="7">
        <f t="shared" si="37"/>
        <v>0</v>
      </c>
      <c r="W64" s="2"/>
      <c r="X64" s="6">
        <f t="shared" si="38"/>
        <v>3706.6100000000079</v>
      </c>
      <c r="Y64" s="2"/>
      <c r="Z64" s="7">
        <f t="shared" si="39"/>
        <v>7.9258751133838179E-2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6">
        <v>74.52</v>
      </c>
      <c r="E65" s="2"/>
      <c r="F65" s="7">
        <f t="shared" si="32"/>
        <v>0</v>
      </c>
      <c r="G65" s="2"/>
      <c r="H65" s="6">
        <v>175</v>
      </c>
      <c r="I65" s="2"/>
      <c r="J65" s="7">
        <f t="shared" si="33"/>
        <v>0</v>
      </c>
      <c r="K65" s="2"/>
      <c r="L65" s="6">
        <f t="shared" si="34"/>
        <v>-100.48</v>
      </c>
      <c r="M65" s="2"/>
      <c r="N65" s="7">
        <f t="shared" si="35"/>
        <v>-0.57417142857142855</v>
      </c>
      <c r="O65" s="11"/>
      <c r="P65" s="6">
        <v>377.52</v>
      </c>
      <c r="Q65" s="2"/>
      <c r="R65" s="7">
        <f t="shared" si="36"/>
        <v>0</v>
      </c>
      <c r="S65" s="2"/>
      <c r="T65" s="6">
        <v>1024.51</v>
      </c>
      <c r="U65" s="2"/>
      <c r="V65" s="7">
        <f t="shared" si="37"/>
        <v>0</v>
      </c>
      <c r="W65" s="2"/>
      <c r="X65" s="6">
        <f t="shared" si="38"/>
        <v>-646.99</v>
      </c>
      <c r="Y65" s="2"/>
      <c r="Z65" s="7">
        <f t="shared" si="39"/>
        <v>-0.63151164947145466</v>
      </c>
    </row>
    <row r="66" spans="1:26" s="25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SUM(OSRRefD22_13x_0)</f>
        <v>7003.4</v>
      </c>
      <c r="E66" s="1"/>
      <c r="F66" s="5">
        <f t="shared" ref="F66:F73" si="40">IF(D$12=0,0,D66/D$12)</f>
        <v>0</v>
      </c>
      <c r="G66" s="1"/>
      <c r="H66" s="1">
        <f>SUM(OSRRefH22_13x_0)</f>
        <v>5903.06</v>
      </c>
      <c r="I66" s="1"/>
      <c r="J66" s="5">
        <f t="shared" ref="J66:J73" si="41">IF(H$12=0,0,H66/H$12)</f>
        <v>0</v>
      </c>
      <c r="K66" s="1"/>
      <c r="L66" s="1">
        <f t="shared" ref="L66:L73" si="42">+D66-H66</f>
        <v>1100.3399999999992</v>
      </c>
      <c r="M66" s="1"/>
      <c r="N66" s="5">
        <f t="shared" ref="N66:N73" si="43">IF(H66=0,0,L66/H66)</f>
        <v>0.18640162898564458</v>
      </c>
      <c r="O66" s="13"/>
      <c r="P66" s="1">
        <f>SUM(OSRRefP22_13x_0)</f>
        <v>40761.83</v>
      </c>
      <c r="Q66" s="1"/>
      <c r="R66" s="5">
        <f t="shared" ref="R66:R73" si="44">IF(P$12=0,0,P66/P$12)</f>
        <v>0</v>
      </c>
      <c r="S66" s="1"/>
      <c r="T66" s="1">
        <f>SUM(OSRRefT22_13x_0)</f>
        <v>32231.86</v>
      </c>
      <c r="U66" s="1"/>
      <c r="V66" s="5">
        <f t="shared" ref="V66:V73" si="45">IF(T$12=0,0,T66/T$12)</f>
        <v>0</v>
      </c>
      <c r="W66" s="1"/>
      <c r="X66" s="1">
        <f t="shared" ref="X66:X73" si="46">+P66-T66</f>
        <v>8529.9700000000012</v>
      </c>
      <c r="Y66" s="1"/>
      <c r="Z66" s="5">
        <f t="shared" ref="Z66:Z73" si="47">IF(T66=0,0,X66/T66)</f>
        <v>0.26464405094834742</v>
      </c>
    </row>
    <row r="67" spans="1:26" s="24" customFormat="1" hidden="1" outlineLevel="2" x14ac:dyDescent="0.25">
      <c r="A67" s="26"/>
      <c r="B67" s="11" t="str">
        <f>CONCATENATE("          ", "6234", " - ", "EXPENDABLE SUPPLIES &amp; EQUIPMEN")</f>
        <v xml:space="preserve">          6234 - EXPENDABLE SUPPLIES &amp; EQUIPMEN</v>
      </c>
      <c r="C67" s="11"/>
      <c r="D67" s="6">
        <v>421.16</v>
      </c>
      <c r="E67" s="2"/>
      <c r="F67" s="7">
        <f t="shared" si="40"/>
        <v>0</v>
      </c>
      <c r="G67" s="2"/>
      <c r="H67" s="6"/>
      <c r="I67" s="2"/>
      <c r="J67" s="7">
        <f t="shared" si="41"/>
        <v>0</v>
      </c>
      <c r="K67" s="2"/>
      <c r="L67" s="6">
        <f t="shared" si="42"/>
        <v>421.16</v>
      </c>
      <c r="M67" s="2"/>
      <c r="N67" s="7">
        <f t="shared" si="43"/>
        <v>0</v>
      </c>
      <c r="O67" s="11"/>
      <c r="P67" s="6">
        <v>8091.25</v>
      </c>
      <c r="Q67" s="2"/>
      <c r="R67" s="7">
        <f t="shared" si="44"/>
        <v>0</v>
      </c>
      <c r="S67" s="2"/>
      <c r="T67" s="6">
        <v>732.36</v>
      </c>
      <c r="U67" s="2"/>
      <c r="V67" s="7">
        <f t="shared" si="45"/>
        <v>0</v>
      </c>
      <c r="W67" s="2"/>
      <c r="X67" s="6">
        <f t="shared" si="46"/>
        <v>7358.89</v>
      </c>
      <c r="Y67" s="2"/>
      <c r="Z67" s="7">
        <f t="shared" si="47"/>
        <v>10.04818668414441</v>
      </c>
    </row>
    <row r="68" spans="1:26" s="24" customFormat="1" hidden="1" outlineLevel="2" x14ac:dyDescent="0.25">
      <c r="A68" s="26"/>
      <c r="B68" s="11" t="str">
        <f>CONCATENATE("          ", "6237", " - ", "JANITORIAL SUPPLIES")</f>
        <v xml:space="preserve">          6237 - JANITORIAL SUPPLIES</v>
      </c>
      <c r="C68" s="11"/>
      <c r="D68" s="6">
        <v>3875.25</v>
      </c>
      <c r="E68" s="2"/>
      <c r="F68" s="7">
        <f t="shared" si="40"/>
        <v>0</v>
      </c>
      <c r="G68" s="2"/>
      <c r="H68" s="6">
        <v>2518.9</v>
      </c>
      <c r="I68" s="2"/>
      <c r="J68" s="7">
        <f t="shared" si="41"/>
        <v>0</v>
      </c>
      <c r="K68" s="2"/>
      <c r="L68" s="6">
        <f t="shared" si="42"/>
        <v>1356.35</v>
      </c>
      <c r="M68" s="2"/>
      <c r="N68" s="7">
        <f t="shared" si="43"/>
        <v>0.53846917305172892</v>
      </c>
      <c r="O68" s="11"/>
      <c r="P68" s="6">
        <v>19140.969999999998</v>
      </c>
      <c r="Q68" s="2"/>
      <c r="R68" s="7">
        <f t="shared" si="44"/>
        <v>0</v>
      </c>
      <c r="S68" s="2"/>
      <c r="T68" s="6">
        <v>14616.46</v>
      </c>
      <c r="U68" s="2"/>
      <c r="V68" s="7">
        <f t="shared" si="45"/>
        <v>0</v>
      </c>
      <c r="W68" s="2"/>
      <c r="X68" s="6">
        <f t="shared" si="46"/>
        <v>4524.5099999999984</v>
      </c>
      <c r="Y68" s="2"/>
      <c r="Z68" s="7">
        <f t="shared" si="47"/>
        <v>0.30954896055542852</v>
      </c>
    </row>
    <row r="69" spans="1:26" s="24" customFormat="1" hidden="1" outlineLevel="2" x14ac:dyDescent="0.25">
      <c r="A69" s="26"/>
      <c r="B69" s="11" t="str">
        <f>CONCATENATE("          ", "6239", " - ", "KITCHEN SUPPLIES")</f>
        <v xml:space="preserve">          6239 - KITCHEN SUPPLIES</v>
      </c>
      <c r="C69" s="11"/>
      <c r="D69" s="6">
        <v>1659.78</v>
      </c>
      <c r="E69" s="2"/>
      <c r="F69" s="7">
        <f t="shared" si="40"/>
        <v>0</v>
      </c>
      <c r="G69" s="2"/>
      <c r="H69" s="6">
        <v>2216.1799999999998</v>
      </c>
      <c r="I69" s="2"/>
      <c r="J69" s="7">
        <f t="shared" si="41"/>
        <v>0</v>
      </c>
      <c r="K69" s="2"/>
      <c r="L69" s="6">
        <f t="shared" si="42"/>
        <v>-556.39999999999986</v>
      </c>
      <c r="M69" s="2"/>
      <c r="N69" s="7">
        <f t="shared" si="43"/>
        <v>-0.25106263931630096</v>
      </c>
      <c r="O69" s="11"/>
      <c r="P69" s="6">
        <v>12464.34</v>
      </c>
      <c r="Q69" s="2"/>
      <c r="R69" s="7">
        <f t="shared" si="44"/>
        <v>0</v>
      </c>
      <c r="S69" s="2"/>
      <c r="T69" s="6">
        <v>8603.83</v>
      </c>
      <c r="U69" s="2"/>
      <c r="V69" s="7">
        <f t="shared" si="45"/>
        <v>0</v>
      </c>
      <c r="W69" s="2"/>
      <c r="X69" s="6">
        <f t="shared" si="46"/>
        <v>3860.51</v>
      </c>
      <c r="Y69" s="2"/>
      <c r="Z69" s="7">
        <f t="shared" si="47"/>
        <v>0.44869668508094651</v>
      </c>
    </row>
    <row r="70" spans="1:26" s="24" customFormat="1" hidden="1" outlineLevel="2" x14ac:dyDescent="0.25">
      <c r="A70" s="26"/>
      <c r="B70" s="11" t="str">
        <f>CONCATENATE("          ", "6241", " - ", "OFFICE EXPENSE")</f>
        <v xml:space="preserve">          6241 - OFFICE EXPENSE</v>
      </c>
      <c r="C70" s="11"/>
      <c r="D70" s="6">
        <v>981.12</v>
      </c>
      <c r="E70" s="2"/>
      <c r="F70" s="7">
        <f t="shared" si="40"/>
        <v>0</v>
      </c>
      <c r="G70" s="2"/>
      <c r="H70" s="6">
        <v>561.44000000000005</v>
      </c>
      <c r="I70" s="2"/>
      <c r="J70" s="7">
        <f t="shared" si="41"/>
        <v>0</v>
      </c>
      <c r="K70" s="2"/>
      <c r="L70" s="6">
        <f t="shared" si="42"/>
        <v>419.67999999999995</v>
      </c>
      <c r="M70" s="2"/>
      <c r="N70" s="7">
        <f t="shared" si="43"/>
        <v>0.74750641208321444</v>
      </c>
      <c r="O70" s="11"/>
      <c r="P70" s="6">
        <v>766.37</v>
      </c>
      <c r="Q70" s="2"/>
      <c r="R70" s="7">
        <f t="shared" si="44"/>
        <v>0</v>
      </c>
      <c r="S70" s="2"/>
      <c r="T70" s="6">
        <v>3824.99</v>
      </c>
      <c r="U70" s="2"/>
      <c r="V70" s="7">
        <f t="shared" si="45"/>
        <v>0</v>
      </c>
      <c r="W70" s="2"/>
      <c r="X70" s="6">
        <f t="shared" si="46"/>
        <v>-3058.62</v>
      </c>
      <c r="Y70" s="2"/>
      <c r="Z70" s="7">
        <f t="shared" si="47"/>
        <v>-0.79964130625178109</v>
      </c>
    </row>
    <row r="71" spans="1:26" s="24" customFormat="1" hidden="1" outlineLevel="2" x14ac:dyDescent="0.25">
      <c r="A71" s="26"/>
      <c r="B71" s="11" t="str">
        <f>CONCATENATE("          ", "6243", " - ", "PAPER SUPPLIES")</f>
        <v xml:space="preserve">          6243 - PAPER SUPPLIES</v>
      </c>
      <c r="C71" s="11"/>
      <c r="D71" s="6"/>
      <c r="E71" s="2"/>
      <c r="F71" s="7">
        <f t="shared" si="40"/>
        <v>0</v>
      </c>
      <c r="G71" s="2"/>
      <c r="H71" s="6">
        <v>606.54</v>
      </c>
      <c r="I71" s="2"/>
      <c r="J71" s="7">
        <f t="shared" si="41"/>
        <v>0</v>
      </c>
      <c r="K71" s="2"/>
      <c r="L71" s="6">
        <f t="shared" si="42"/>
        <v>-606.54</v>
      </c>
      <c r="M71" s="2"/>
      <c r="N71" s="7">
        <f t="shared" si="43"/>
        <v>-1</v>
      </c>
      <c r="O71" s="11"/>
      <c r="P71" s="6"/>
      <c r="Q71" s="2"/>
      <c r="R71" s="7">
        <f t="shared" si="44"/>
        <v>0</v>
      </c>
      <c r="S71" s="2"/>
      <c r="T71" s="6">
        <v>3096.6</v>
      </c>
      <c r="U71" s="2"/>
      <c r="V71" s="7">
        <f t="shared" si="45"/>
        <v>0</v>
      </c>
      <c r="W71" s="2"/>
      <c r="X71" s="6">
        <f t="shared" si="46"/>
        <v>-3096.6</v>
      </c>
      <c r="Y71" s="2"/>
      <c r="Z71" s="7">
        <f t="shared" si="47"/>
        <v>-1</v>
      </c>
    </row>
    <row r="72" spans="1:26" s="24" customFormat="1" hidden="1" outlineLevel="2" x14ac:dyDescent="0.25">
      <c r="A72" s="26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40"/>
        <v>0</v>
      </c>
      <c r="G72" s="2"/>
      <c r="H72" s="6"/>
      <c r="I72" s="2"/>
      <c r="J72" s="7">
        <f t="shared" si="41"/>
        <v>0</v>
      </c>
      <c r="K72" s="2"/>
      <c r="L72" s="6">
        <f t="shared" si="42"/>
        <v>0</v>
      </c>
      <c r="M72" s="2"/>
      <c r="N72" s="7">
        <f t="shared" si="43"/>
        <v>0</v>
      </c>
      <c r="O72" s="11"/>
      <c r="P72" s="6"/>
      <c r="Q72" s="2"/>
      <c r="R72" s="7">
        <f t="shared" si="44"/>
        <v>0</v>
      </c>
      <c r="S72" s="2"/>
      <c r="T72" s="6">
        <v>81.99</v>
      </c>
      <c r="U72" s="2"/>
      <c r="V72" s="7">
        <f t="shared" si="45"/>
        <v>0</v>
      </c>
      <c r="W72" s="2"/>
      <c r="X72" s="6">
        <f t="shared" si="46"/>
        <v>-81.99</v>
      </c>
      <c r="Y72" s="2"/>
      <c r="Z72" s="7">
        <f t="shared" si="47"/>
        <v>-1</v>
      </c>
    </row>
    <row r="73" spans="1:26" s="24" customFormat="1" hidden="1" outlineLevel="2" x14ac:dyDescent="0.25">
      <c r="A73" s="26"/>
      <c r="B73" s="11" t="str">
        <f>CONCATENATE("          ", "6248", " - ", "UNIFORMS")</f>
        <v xml:space="preserve">          6248 - UNIFORMS</v>
      </c>
      <c r="C73" s="11"/>
      <c r="D73" s="6">
        <v>66.09</v>
      </c>
      <c r="E73" s="2"/>
      <c r="F73" s="7">
        <f t="shared" si="40"/>
        <v>0</v>
      </c>
      <c r="G73" s="2"/>
      <c r="H73" s="6"/>
      <c r="I73" s="2"/>
      <c r="J73" s="7">
        <f t="shared" si="41"/>
        <v>0</v>
      </c>
      <c r="K73" s="2"/>
      <c r="L73" s="6">
        <f t="shared" si="42"/>
        <v>66.09</v>
      </c>
      <c r="M73" s="2"/>
      <c r="N73" s="7">
        <f t="shared" si="43"/>
        <v>0</v>
      </c>
      <c r="O73" s="11"/>
      <c r="P73" s="6">
        <v>298.89999999999998</v>
      </c>
      <c r="Q73" s="2"/>
      <c r="R73" s="7">
        <f t="shared" si="44"/>
        <v>0</v>
      </c>
      <c r="S73" s="2"/>
      <c r="T73" s="6">
        <v>1275.6300000000001</v>
      </c>
      <c r="U73" s="2"/>
      <c r="V73" s="7">
        <f t="shared" si="45"/>
        <v>0</v>
      </c>
      <c r="W73" s="2"/>
      <c r="X73" s="6">
        <f t="shared" si="46"/>
        <v>-976.73000000000013</v>
      </c>
      <c r="Y73" s="2"/>
      <c r="Z73" s="7">
        <f t="shared" si="47"/>
        <v>-0.7656844069205021</v>
      </c>
    </row>
    <row r="74" spans="1:26" s="25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SUM(OSRRefD22_14x_0)</f>
        <v>263.25</v>
      </c>
      <c r="E74" s="1"/>
      <c r="F74" s="5">
        <f t="shared" ref="F74:F81" si="48">IF(D$12=0,0,D74/D$12)</f>
        <v>0</v>
      </c>
      <c r="G74" s="1"/>
      <c r="H74" s="1">
        <f>SUM(OSRRefH22_14x_0)</f>
        <v>489.7</v>
      </c>
      <c r="I74" s="1"/>
      <c r="J74" s="5">
        <f t="shared" ref="J74:J81" si="49">IF(H$12=0,0,H74/H$12)</f>
        <v>0</v>
      </c>
      <c r="K74" s="1"/>
      <c r="L74" s="1">
        <f t="shared" ref="L74:L81" si="50">+D74-H74</f>
        <v>-226.45</v>
      </c>
      <c r="M74" s="1"/>
      <c r="N74" s="5">
        <f t="shared" ref="N74:N81" si="51">IF(H74=0,0,L74/H74)</f>
        <v>-0.46242597508678784</v>
      </c>
      <c r="O74" s="13"/>
      <c r="P74" s="1">
        <f>SUM(OSRRefP22_14x_0)</f>
        <v>1782.8</v>
      </c>
      <c r="Q74" s="1"/>
      <c r="R74" s="5">
        <f t="shared" ref="R74:R81" si="52">IF(P$12=0,0,P74/P$12)</f>
        <v>0</v>
      </c>
      <c r="S74" s="1"/>
      <c r="T74" s="1">
        <f>SUM(OSRRefT22_14x_0)</f>
        <v>2072.1</v>
      </c>
      <c r="U74" s="1"/>
      <c r="V74" s="5">
        <f t="shared" ref="V74:V81" si="53">IF(T$12=0,0,T74/T$12)</f>
        <v>0</v>
      </c>
      <c r="W74" s="1"/>
      <c r="X74" s="1">
        <f t="shared" ref="X74:X81" si="54">+P74-T74</f>
        <v>-289.29999999999995</v>
      </c>
      <c r="Y74" s="1"/>
      <c r="Z74" s="5">
        <f t="shared" ref="Z74:Z81" si="55">IF(T74=0,0,X74/T74)</f>
        <v>-0.13961681386033492</v>
      </c>
    </row>
    <row r="75" spans="1:26" s="24" customFormat="1" hidden="1" outlineLevel="2" x14ac:dyDescent="0.25">
      <c r="A75" s="26"/>
      <c r="B75" s="11" t="str">
        <f>CONCATENATE("          ", "6309", " - ", "TELEPHONE")</f>
        <v xml:space="preserve">          6309 - TELEPHONE</v>
      </c>
      <c r="C75" s="11"/>
      <c r="D75" s="6">
        <v>263.25</v>
      </c>
      <c r="E75" s="2"/>
      <c r="F75" s="7">
        <f t="shared" si="48"/>
        <v>0</v>
      </c>
      <c r="G75" s="2"/>
      <c r="H75" s="6">
        <v>489.7</v>
      </c>
      <c r="I75" s="2"/>
      <c r="J75" s="7">
        <f t="shared" si="49"/>
        <v>0</v>
      </c>
      <c r="K75" s="2"/>
      <c r="L75" s="6">
        <f t="shared" si="50"/>
        <v>-226.45</v>
      </c>
      <c r="M75" s="2"/>
      <c r="N75" s="7">
        <f t="shared" si="51"/>
        <v>-0.46242597508678784</v>
      </c>
      <c r="O75" s="11"/>
      <c r="P75" s="6">
        <v>1782.8</v>
      </c>
      <c r="Q75" s="2"/>
      <c r="R75" s="7">
        <f t="shared" si="52"/>
        <v>0</v>
      </c>
      <c r="S75" s="2"/>
      <c r="T75" s="6">
        <v>2072.1</v>
      </c>
      <c r="U75" s="2"/>
      <c r="V75" s="7">
        <f t="shared" si="53"/>
        <v>0</v>
      </c>
      <c r="W75" s="2"/>
      <c r="X75" s="6">
        <f t="shared" si="54"/>
        <v>-289.29999999999995</v>
      </c>
      <c r="Y75" s="2"/>
      <c r="Z75" s="7">
        <f t="shared" si="55"/>
        <v>-0.13961681386033492</v>
      </c>
    </row>
    <row r="76" spans="1:26" s="25" customFormat="1" outlineLevel="1" collapsed="1" x14ac:dyDescent="0.25">
      <c r="A76" s="27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SUM(OSRRefD22_15x_0)</f>
        <v>0</v>
      </c>
      <c r="E76" s="1"/>
      <c r="F76" s="5">
        <f t="shared" si="48"/>
        <v>0</v>
      </c>
      <c r="G76" s="1"/>
      <c r="H76" s="1">
        <f>SUM(OSRRefH22_15x_0)</f>
        <v>0</v>
      </c>
      <c r="I76" s="1"/>
      <c r="J76" s="5">
        <f t="shared" si="49"/>
        <v>0</v>
      </c>
      <c r="K76" s="1"/>
      <c r="L76" s="1">
        <f t="shared" si="50"/>
        <v>0</v>
      </c>
      <c r="M76" s="1"/>
      <c r="N76" s="5">
        <f t="shared" si="51"/>
        <v>0</v>
      </c>
      <c r="O76" s="13"/>
      <c r="P76" s="1">
        <f>SUM(OSRRefP22_15x_0)</f>
        <v>240</v>
      </c>
      <c r="Q76" s="1"/>
      <c r="R76" s="5">
        <f t="shared" si="52"/>
        <v>0</v>
      </c>
      <c r="S76" s="1"/>
      <c r="T76" s="1">
        <f>SUM(OSRRefT22_15x_0)</f>
        <v>0</v>
      </c>
      <c r="U76" s="1"/>
      <c r="V76" s="5">
        <f t="shared" si="53"/>
        <v>0</v>
      </c>
      <c r="W76" s="1"/>
      <c r="X76" s="1">
        <f t="shared" si="54"/>
        <v>240</v>
      </c>
      <c r="Y76" s="1"/>
      <c r="Z76" s="5">
        <f t="shared" si="55"/>
        <v>0</v>
      </c>
    </row>
    <row r="77" spans="1:26" s="24" customFormat="1" hidden="1" outlineLevel="2" x14ac:dyDescent="0.25">
      <c r="A77" s="26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48"/>
        <v>0</v>
      </c>
      <c r="G77" s="2"/>
      <c r="H77" s="6"/>
      <c r="I77" s="2"/>
      <c r="J77" s="7">
        <f t="shared" si="49"/>
        <v>0</v>
      </c>
      <c r="K77" s="2"/>
      <c r="L77" s="6">
        <f t="shared" si="50"/>
        <v>0</v>
      </c>
      <c r="M77" s="2"/>
      <c r="N77" s="7">
        <f t="shared" si="51"/>
        <v>0</v>
      </c>
      <c r="O77" s="11"/>
      <c r="P77" s="6">
        <v>240</v>
      </c>
      <c r="Q77" s="2"/>
      <c r="R77" s="7">
        <f t="shared" si="52"/>
        <v>0</v>
      </c>
      <c r="S77" s="2"/>
      <c r="T77" s="6"/>
      <c r="U77" s="2"/>
      <c r="V77" s="7">
        <f t="shared" si="53"/>
        <v>0</v>
      </c>
      <c r="W77" s="2"/>
      <c r="X77" s="6">
        <f t="shared" si="54"/>
        <v>240</v>
      </c>
      <c r="Y77" s="2"/>
      <c r="Z77" s="7">
        <f t="shared" si="55"/>
        <v>0</v>
      </c>
    </row>
    <row r="78" spans="1:26" s="25" customFormat="1" outlineLevel="1" collapsed="1" x14ac:dyDescent="0.25">
      <c r="A78" s="27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SUM(OSRRefD22_16x_0)</f>
        <v>301.73</v>
      </c>
      <c r="E78" s="1"/>
      <c r="F78" s="5">
        <f t="shared" si="48"/>
        <v>0</v>
      </c>
      <c r="G78" s="1"/>
      <c r="H78" s="1">
        <f>SUM(OSRRefH22_16x_0)</f>
        <v>563.62</v>
      </c>
      <c r="I78" s="1"/>
      <c r="J78" s="5">
        <f t="shared" si="49"/>
        <v>0</v>
      </c>
      <c r="K78" s="1"/>
      <c r="L78" s="1">
        <f t="shared" si="50"/>
        <v>-261.89</v>
      </c>
      <c r="M78" s="1"/>
      <c r="N78" s="5">
        <f t="shared" si="51"/>
        <v>-0.46465703843014794</v>
      </c>
      <c r="O78" s="13"/>
      <c r="P78" s="1">
        <f>SUM(OSRRefP22_16x_0)</f>
        <v>1402.9099999999999</v>
      </c>
      <c r="Q78" s="1"/>
      <c r="R78" s="5">
        <f t="shared" si="52"/>
        <v>0</v>
      </c>
      <c r="S78" s="1"/>
      <c r="T78" s="1">
        <f>SUM(OSRRefT22_16x_0)</f>
        <v>1222.1300000000001</v>
      </c>
      <c r="U78" s="1"/>
      <c r="V78" s="5">
        <f t="shared" si="53"/>
        <v>0</v>
      </c>
      <c r="W78" s="1"/>
      <c r="X78" s="1">
        <f t="shared" si="54"/>
        <v>180.77999999999975</v>
      </c>
      <c r="Y78" s="1"/>
      <c r="Z78" s="5">
        <f t="shared" si="55"/>
        <v>0.1479220704834999</v>
      </c>
    </row>
    <row r="79" spans="1:26" s="24" customFormat="1" hidden="1" outlineLevel="2" x14ac:dyDescent="0.25">
      <c r="A79" s="26"/>
      <c r="B79" s="11" t="str">
        <f>CONCATENATE("          ", "6292", " - ", "TRAVEL/CONFERENCE")</f>
        <v xml:space="preserve">          6292 - TRAVEL/CONFERENCE</v>
      </c>
      <c r="C79" s="11"/>
      <c r="D79" s="6">
        <v>153.68</v>
      </c>
      <c r="E79" s="2"/>
      <c r="F79" s="7">
        <f t="shared" si="48"/>
        <v>0</v>
      </c>
      <c r="G79" s="2"/>
      <c r="H79" s="6">
        <v>424.9</v>
      </c>
      <c r="I79" s="2"/>
      <c r="J79" s="7">
        <f t="shared" si="49"/>
        <v>0</v>
      </c>
      <c r="K79" s="2"/>
      <c r="L79" s="6">
        <f t="shared" si="50"/>
        <v>-271.21999999999997</v>
      </c>
      <c r="M79" s="2"/>
      <c r="N79" s="7">
        <f t="shared" si="51"/>
        <v>-0.63831489762297011</v>
      </c>
      <c r="O79" s="11"/>
      <c r="P79" s="6">
        <v>699.37</v>
      </c>
      <c r="Q79" s="2"/>
      <c r="R79" s="7">
        <f t="shared" si="52"/>
        <v>0</v>
      </c>
      <c r="S79" s="2"/>
      <c r="T79" s="6">
        <v>737.64</v>
      </c>
      <c r="U79" s="2"/>
      <c r="V79" s="7">
        <f t="shared" si="53"/>
        <v>0</v>
      </c>
      <c r="W79" s="2"/>
      <c r="X79" s="6">
        <f t="shared" si="54"/>
        <v>-38.269999999999982</v>
      </c>
      <c r="Y79" s="2"/>
      <c r="Z79" s="7">
        <f t="shared" si="55"/>
        <v>-5.1881676698660568E-2</v>
      </c>
    </row>
    <row r="80" spans="1:26" s="24" customFormat="1" hidden="1" outlineLevel="2" x14ac:dyDescent="0.25">
      <c r="A80" s="26"/>
      <c r="B80" s="11" t="str">
        <f>CONCATENATE("          ", "6294", " - ", "TRAVEL OPERATIONAL")</f>
        <v xml:space="preserve">          6294 - TRAVEL OPERATIONAL</v>
      </c>
      <c r="C80" s="11"/>
      <c r="D80" s="6"/>
      <c r="E80" s="2"/>
      <c r="F80" s="7">
        <f t="shared" si="48"/>
        <v>0</v>
      </c>
      <c r="G80" s="2"/>
      <c r="H80" s="6"/>
      <c r="I80" s="2"/>
      <c r="J80" s="7">
        <f t="shared" si="49"/>
        <v>0</v>
      </c>
      <c r="K80" s="2"/>
      <c r="L80" s="6">
        <f t="shared" si="50"/>
        <v>0</v>
      </c>
      <c r="M80" s="2"/>
      <c r="N80" s="7">
        <f t="shared" si="51"/>
        <v>0</v>
      </c>
      <c r="O80" s="11"/>
      <c r="P80" s="6">
        <v>45.49</v>
      </c>
      <c r="Q80" s="2"/>
      <c r="R80" s="7">
        <f t="shared" si="52"/>
        <v>0</v>
      </c>
      <c r="S80" s="2"/>
      <c r="T80" s="6"/>
      <c r="U80" s="2"/>
      <c r="V80" s="7">
        <f t="shared" si="53"/>
        <v>0</v>
      </c>
      <c r="W80" s="2"/>
      <c r="X80" s="6">
        <f t="shared" si="54"/>
        <v>45.49</v>
      </c>
      <c r="Y80" s="2"/>
      <c r="Z80" s="7">
        <f t="shared" si="55"/>
        <v>0</v>
      </c>
    </row>
    <row r="81" spans="1:26" s="24" customFormat="1" hidden="1" outlineLevel="2" x14ac:dyDescent="0.25">
      <c r="A81" s="26"/>
      <c r="B81" s="11" t="str">
        <f>CONCATENATE("          ", "6298", " - ", "VEHICLE MILEAGE")</f>
        <v xml:space="preserve">          6298 - VEHICLE MILEAGE</v>
      </c>
      <c r="C81" s="11"/>
      <c r="D81" s="6">
        <v>148.05000000000001</v>
      </c>
      <c r="E81" s="2"/>
      <c r="F81" s="7">
        <f t="shared" si="48"/>
        <v>0</v>
      </c>
      <c r="G81" s="2"/>
      <c r="H81" s="6">
        <v>138.72</v>
      </c>
      <c r="I81" s="2"/>
      <c r="J81" s="7">
        <f t="shared" si="49"/>
        <v>0</v>
      </c>
      <c r="K81" s="2"/>
      <c r="L81" s="6">
        <f t="shared" si="50"/>
        <v>9.3300000000000125</v>
      </c>
      <c r="M81" s="2"/>
      <c r="N81" s="7">
        <f t="shared" si="51"/>
        <v>6.7257785467128114E-2</v>
      </c>
      <c r="O81" s="11"/>
      <c r="P81" s="6">
        <v>658.05</v>
      </c>
      <c r="Q81" s="2"/>
      <c r="R81" s="7">
        <f t="shared" si="52"/>
        <v>0</v>
      </c>
      <c r="S81" s="2"/>
      <c r="T81" s="6">
        <v>484.49</v>
      </c>
      <c r="U81" s="2"/>
      <c r="V81" s="7">
        <f t="shared" si="53"/>
        <v>0</v>
      </c>
      <c r="W81" s="2"/>
      <c r="X81" s="6">
        <f t="shared" si="54"/>
        <v>173.55999999999995</v>
      </c>
      <c r="Y81" s="2"/>
      <c r="Z81" s="7">
        <f t="shared" si="55"/>
        <v>0.3582323680571321</v>
      </c>
    </row>
    <row r="82" spans="1:26" s="25" customFormat="1" outlineLevel="1" collapsed="1" x14ac:dyDescent="0.25">
      <c r="A82" s="27"/>
      <c r="B82" s="13" t="str">
        <f>CONCATENATE("     ","Utilities                                         ")</f>
        <v xml:space="preserve">     Utilities                                         </v>
      </c>
      <c r="C82" s="13"/>
      <c r="D82" s="1">
        <f>SUM(OSRRefD22_17x_0)</f>
        <v>11354</v>
      </c>
      <c r="E82" s="1"/>
      <c r="F82" s="5">
        <f t="shared" ref="F82:F83" si="56">IF(D$12=0,0,D82/D$12)</f>
        <v>0</v>
      </c>
      <c r="G82" s="1"/>
      <c r="H82" s="1">
        <f>SUM(OSRRefH22_17x_0)</f>
        <v>11354</v>
      </c>
      <c r="I82" s="1"/>
      <c r="J82" s="5">
        <f t="shared" ref="J82:J83" si="57">IF(H$12=0,0,H82/H$12)</f>
        <v>0</v>
      </c>
      <c r="K82" s="1"/>
      <c r="L82" s="1">
        <f t="shared" ref="L82:L83" si="58">+D82-H82</f>
        <v>0</v>
      </c>
      <c r="M82" s="1"/>
      <c r="N82" s="5">
        <f t="shared" ref="N82:N83" si="59">IF(H82=0,0,L82/H82)</f>
        <v>0</v>
      </c>
      <c r="O82" s="13"/>
      <c r="P82" s="1">
        <f>SUM(OSRRefP22_17x_0)</f>
        <v>48898</v>
      </c>
      <c r="Q82" s="1"/>
      <c r="R82" s="5">
        <f t="shared" ref="R82:R83" si="60">IF(P$12=0,0,P82/P$12)</f>
        <v>0</v>
      </c>
      <c r="S82" s="1"/>
      <c r="T82" s="1">
        <f>SUM(OSRRefT22_17x_0)</f>
        <v>36515.72</v>
      </c>
      <c r="U82" s="1"/>
      <c r="V82" s="5">
        <f t="shared" ref="V82:V83" si="61">IF(T$12=0,0,T82/T$12)</f>
        <v>0</v>
      </c>
      <c r="W82" s="1"/>
      <c r="X82" s="1">
        <f t="shared" ref="X82:X83" si="62">+P82-T82</f>
        <v>12382.279999999999</v>
      </c>
      <c r="Y82" s="1"/>
      <c r="Z82" s="5">
        <f t="shared" ref="Z82:Z83" si="63">IF(T82=0,0,X82/T82)</f>
        <v>0.339094505051523</v>
      </c>
    </row>
    <row r="83" spans="1:26" s="24" customFormat="1" hidden="1" outlineLevel="2" x14ac:dyDescent="0.25">
      <c r="A83" s="26"/>
      <c r="B83" s="11" t="str">
        <f>CONCATENATE("          ", "6274", " - ", "UTILITIES")</f>
        <v xml:space="preserve">          6274 - UTILITIES</v>
      </c>
      <c r="C83" s="11"/>
      <c r="D83" s="6">
        <v>11354</v>
      </c>
      <c r="E83" s="2"/>
      <c r="F83" s="7">
        <f t="shared" si="56"/>
        <v>0</v>
      </c>
      <c r="G83" s="2"/>
      <c r="H83" s="6">
        <v>11354</v>
      </c>
      <c r="I83" s="2"/>
      <c r="J83" s="7">
        <f t="shared" si="57"/>
        <v>0</v>
      </c>
      <c r="K83" s="2"/>
      <c r="L83" s="6">
        <f t="shared" si="58"/>
        <v>0</v>
      </c>
      <c r="M83" s="2"/>
      <c r="N83" s="7">
        <f t="shared" si="59"/>
        <v>0</v>
      </c>
      <c r="O83" s="11"/>
      <c r="P83" s="6">
        <v>48898</v>
      </c>
      <c r="Q83" s="2"/>
      <c r="R83" s="7">
        <f t="shared" si="60"/>
        <v>0</v>
      </c>
      <c r="S83" s="2"/>
      <c r="T83" s="6">
        <v>36515.72</v>
      </c>
      <c r="U83" s="2"/>
      <c r="V83" s="7">
        <f t="shared" si="61"/>
        <v>0</v>
      </c>
      <c r="W83" s="2"/>
      <c r="X83" s="6">
        <f t="shared" si="62"/>
        <v>12382.279999999999</v>
      </c>
      <c r="Y83" s="2"/>
      <c r="Z83" s="7">
        <f t="shared" si="63"/>
        <v>0.339094505051523</v>
      </c>
    </row>
    <row r="84" spans="1:26" s="53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collapsed="1" x14ac:dyDescent="0.25">
      <c r="A85" s="10"/>
      <c r="B85" s="28" t="s">
        <v>0</v>
      </c>
      <c r="C85" s="10"/>
      <c r="D85" s="4">
        <f>SUM(OSRRefD25x_0)</f>
        <v>29997.24</v>
      </c>
      <c r="E85" s="4"/>
      <c r="F85" s="12">
        <f t="shared" ref="F85:F87" si="64">IF(D$12=0,0,D85/D$12)</f>
        <v>0</v>
      </c>
      <c r="G85" s="4"/>
      <c r="H85" s="4">
        <f>SUM(OSRRefH25x_0)</f>
        <v>27245.59</v>
      </c>
      <c r="I85" s="4"/>
      <c r="J85" s="12">
        <f t="shared" ref="J85:J87" si="65">IF(H$12=0,0,H85/H$12)</f>
        <v>0</v>
      </c>
      <c r="K85" s="4"/>
      <c r="L85" s="4">
        <f t="shared" ref="L85:L87" si="66">+D85-H85</f>
        <v>2751.6500000000015</v>
      </c>
      <c r="M85" s="4"/>
      <c r="N85" s="12">
        <f t="shared" ref="N85:N87" si="67">IF(H85=0,0,L85/H85)</f>
        <v>0.10099432605423489</v>
      </c>
      <c r="O85" s="10"/>
      <c r="P85" s="4">
        <f>SUM(OSRRefP25x_0)</f>
        <v>56859.040000000001</v>
      </c>
      <c r="Q85" s="4"/>
      <c r="R85" s="12">
        <f t="shared" ref="R85:R87" si="68">IF(P$12=0,0,P85/P$12)</f>
        <v>0</v>
      </c>
      <c r="S85" s="4"/>
      <c r="T85" s="4">
        <f>SUM(OSRRefT25x_0)</f>
        <v>59513.560000000005</v>
      </c>
      <c r="U85" s="4"/>
      <c r="V85" s="12">
        <f t="shared" ref="V85:V87" si="69">IF(T$12=0,0,T85/T$12)</f>
        <v>0</v>
      </c>
      <c r="W85" s="4"/>
      <c r="X85" s="4">
        <f t="shared" ref="X85:X87" si="70">+P85-T85</f>
        <v>-2654.5200000000041</v>
      </c>
      <c r="Y85" s="4"/>
      <c r="Z85" s="12">
        <f t="shared" ref="Z85:Z87" si="71">IF(T85=0,0,X85/T85)</f>
        <v>-4.4603616385912787E-2</v>
      </c>
    </row>
    <row r="86" spans="1:26" s="24" customFormat="1" hidden="1" outlineLevel="1" x14ac:dyDescent="0.25">
      <c r="A86" s="44"/>
      <c r="B86" s="11" t="str">
        <f>CONCATENATE("          ", "9150", " - ", "MISC. INCOME")</f>
        <v xml:space="preserve">          9150 - MISC. INCOME</v>
      </c>
      <c r="C86" s="11"/>
      <c r="D86" s="2">
        <f>--29997.24</f>
        <v>29997.24</v>
      </c>
      <c r="E86" s="2"/>
      <c r="F86" s="19">
        <f t="shared" si="64"/>
        <v>0</v>
      </c>
      <c r="G86" s="2"/>
      <c r="H86" s="2">
        <f>--27245.59</f>
        <v>27245.59</v>
      </c>
      <c r="I86" s="2"/>
      <c r="J86" s="19">
        <f t="shared" si="65"/>
        <v>0</v>
      </c>
      <c r="K86" s="2"/>
      <c r="L86" s="2">
        <f t="shared" si="66"/>
        <v>2751.6500000000015</v>
      </c>
      <c r="M86" s="2"/>
      <c r="N86" s="19">
        <f t="shared" si="67"/>
        <v>0.10099432605423489</v>
      </c>
      <c r="O86" s="11"/>
      <c r="P86" s="2">
        <f>--55848.11</f>
        <v>55848.11</v>
      </c>
      <c r="Q86" s="2"/>
      <c r="R86" s="19">
        <f t="shared" si="68"/>
        <v>0</v>
      </c>
      <c r="S86" s="2"/>
      <c r="T86" s="2">
        <f>--59014.91</f>
        <v>59014.91</v>
      </c>
      <c r="U86" s="2"/>
      <c r="V86" s="19">
        <f t="shared" si="69"/>
        <v>0</v>
      </c>
      <c r="W86" s="2"/>
      <c r="X86" s="2">
        <f t="shared" si="70"/>
        <v>-3166.8000000000029</v>
      </c>
      <c r="Y86" s="2"/>
      <c r="Z86" s="19">
        <f t="shared" si="71"/>
        <v>-5.3661015495914552E-2</v>
      </c>
    </row>
    <row r="87" spans="1:26" s="24" customFormat="1" hidden="1" outlineLevel="1" x14ac:dyDescent="0.25">
      <c r="A87" s="44"/>
      <c r="B87" s="11" t="str">
        <f>CONCATENATE("          ", "9160", " - ", "MISC. INCOME")</f>
        <v xml:space="preserve">          9160 - MISC. INCOME</v>
      </c>
      <c r="C87" s="11"/>
      <c r="D87" s="2">
        <f>0</f>
        <v>0</v>
      </c>
      <c r="E87" s="2"/>
      <c r="F87" s="19">
        <f t="shared" si="64"/>
        <v>0</v>
      </c>
      <c r="G87" s="2"/>
      <c r="H87" s="2">
        <f>0</f>
        <v>0</v>
      </c>
      <c r="I87" s="2"/>
      <c r="J87" s="19">
        <f t="shared" si="65"/>
        <v>0</v>
      </c>
      <c r="K87" s="2"/>
      <c r="L87" s="2">
        <f t="shared" si="66"/>
        <v>0</v>
      </c>
      <c r="M87" s="2"/>
      <c r="N87" s="19">
        <f t="shared" si="67"/>
        <v>0</v>
      </c>
      <c r="O87" s="11"/>
      <c r="P87" s="2">
        <f>--1010.93</f>
        <v>1010.93</v>
      </c>
      <c r="Q87" s="2"/>
      <c r="R87" s="19">
        <f t="shared" si="68"/>
        <v>0</v>
      </c>
      <c r="S87" s="2"/>
      <c r="T87" s="2">
        <f>--498.65</f>
        <v>498.65</v>
      </c>
      <c r="U87" s="2"/>
      <c r="V87" s="19">
        <f t="shared" si="69"/>
        <v>0</v>
      </c>
      <c r="W87" s="2"/>
      <c r="X87" s="2">
        <f t="shared" si="70"/>
        <v>512.28</v>
      </c>
      <c r="Y87" s="2"/>
      <c r="Z87" s="19">
        <f t="shared" si="71"/>
        <v>1.0273338012634112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9" t="s">
        <v>3</v>
      </c>
      <c r="C89" s="29"/>
      <c r="D89" s="21">
        <f>+D16-D18+D85</f>
        <v>-74679.769999999975</v>
      </c>
      <c r="E89" s="14"/>
      <c r="F89" s="20">
        <f>IF(D$12=0,0,D89/D$12)</f>
        <v>0</v>
      </c>
      <c r="G89" s="14"/>
      <c r="H89" s="21">
        <f>+H16-H18+H85</f>
        <v>-73960.349999999977</v>
      </c>
      <c r="I89" s="14"/>
      <c r="J89" s="20">
        <f>IF(H$12=0,0,H89/H$12)</f>
        <v>0</v>
      </c>
      <c r="K89" s="15"/>
      <c r="L89" s="21">
        <f>+D89-H89</f>
        <v>-719.41999999999825</v>
      </c>
      <c r="M89" s="15"/>
      <c r="N89" s="20">
        <f>IF(H89=0,0,L89/H89)</f>
        <v>9.7271037792546755E-3</v>
      </c>
      <c r="O89" s="28"/>
      <c r="P89" s="21">
        <f>+P16-P18+P85</f>
        <v>-426488.68</v>
      </c>
      <c r="Q89" s="14"/>
      <c r="R89" s="20">
        <f>IF(P$12=0,0,P89/P$12)</f>
        <v>0</v>
      </c>
      <c r="S89" s="14"/>
      <c r="T89" s="21">
        <f>+T16-T18+T85</f>
        <v>-414410.58</v>
      </c>
      <c r="U89" s="14"/>
      <c r="V89" s="20">
        <f>IF(T$12=0,0,T89/T$12)</f>
        <v>0</v>
      </c>
      <c r="W89" s="15"/>
      <c r="X89" s="21">
        <f>+P89-T89</f>
        <v>-12078.099999999977</v>
      </c>
      <c r="Y89" s="15"/>
      <c r="Z89" s="20">
        <f>IF(T89=0,0,X89/T89)</f>
        <v>2.9145250104377105E-2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1"/>
      <c r="B91" s="10" t="s">
        <v>13</v>
      </c>
      <c r="C91" s="10"/>
      <c r="D91" s="4"/>
      <c r="E91" s="4"/>
      <c r="F91" s="12">
        <f>IF(D$12=0,0,D91/D$12)</f>
        <v>0</v>
      </c>
      <c r="G91" s="4"/>
      <c r="H91" s="4"/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/>
      <c r="Q91" s="4"/>
      <c r="R91" s="12">
        <f>IF(P$12=0,0,P91/P$12)</f>
        <v>0</v>
      </c>
      <c r="S91" s="4"/>
      <c r="T91" s="4"/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4</v>
      </c>
      <c r="C93" s="29"/>
      <c r="D93" s="31">
        <f>+D89-D91</f>
        <v>-74679.769999999975</v>
      </c>
      <c r="E93" s="14"/>
      <c r="F93" s="32">
        <f>IF(D$12=0,0,D93/D$12)</f>
        <v>0</v>
      </c>
      <c r="G93" s="14"/>
      <c r="H93" s="31">
        <f>+H89-H91</f>
        <v>-73960.349999999977</v>
      </c>
      <c r="I93" s="14"/>
      <c r="J93" s="32">
        <f>IF(H$12=0,0,H93/H$12)</f>
        <v>0</v>
      </c>
      <c r="K93" s="15"/>
      <c r="L93" s="31">
        <f>D93-H93</f>
        <v>-719.41999999999825</v>
      </c>
      <c r="M93" s="15"/>
      <c r="N93" s="32">
        <f>IF(H93=0,0,L93/H93)</f>
        <v>9.7271037792546755E-3</v>
      </c>
      <c r="O93" s="28"/>
      <c r="P93" s="31">
        <f>+P89-P91</f>
        <v>-426488.68</v>
      </c>
      <c r="Q93" s="14"/>
      <c r="R93" s="32">
        <f>IF(P$12=0,0,P93/P$12)</f>
        <v>0</v>
      </c>
      <c r="S93" s="14"/>
      <c r="T93" s="31">
        <f>+T89-T91</f>
        <v>-414410.58</v>
      </c>
      <c r="U93" s="14"/>
      <c r="V93" s="32">
        <f>IF(T$12=0,0,T93/T$12)</f>
        <v>0</v>
      </c>
      <c r="W93" s="15"/>
      <c r="X93" s="31">
        <f>P93-T93</f>
        <v>-12078.099999999977</v>
      </c>
      <c r="Y93" s="15"/>
      <c r="Z93" s="32">
        <f>IF(T93=0,0,X93/T93)</f>
        <v>2.9145250104377105E-2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5</v>
      </c>
      <c r="C96" s="29"/>
      <c r="D96" s="34">
        <f>SUM(D93:D95)</f>
        <v>-74679.769999999975</v>
      </c>
      <c r="E96" s="14"/>
      <c r="F96" s="30">
        <f>IF(D$12=0,0,D96/D$12)</f>
        <v>0</v>
      </c>
      <c r="G96" s="14"/>
      <c r="H96" s="34">
        <f>SUM(H93:H95)</f>
        <v>-73960.349999999977</v>
      </c>
      <c r="I96" s="14"/>
      <c r="J96" s="30">
        <f>IF(H$12=0,0,H96/H$12)</f>
        <v>0</v>
      </c>
      <c r="K96" s="15"/>
      <c r="L96" s="34">
        <f>+D96-H96</f>
        <v>-719.41999999999825</v>
      </c>
      <c r="M96" s="15"/>
      <c r="N96" s="30">
        <f>IF(H96=0,0,L96/H96)</f>
        <v>9.7271037792546755E-3</v>
      </c>
      <c r="O96" s="28"/>
      <c r="P96" s="34">
        <f>SUM(P93:P95)</f>
        <v>-426488.68</v>
      </c>
      <c r="Q96" s="14"/>
      <c r="R96" s="30">
        <f>IF(P$12=0,0,P96/P$12)</f>
        <v>0</v>
      </c>
      <c r="S96" s="14"/>
      <c r="T96" s="34">
        <f>SUM(T93:T95)</f>
        <v>-414410.58</v>
      </c>
      <c r="U96" s="14"/>
      <c r="V96" s="30">
        <f>IF(T$12=0,0,T96/T$12)</f>
        <v>0</v>
      </c>
      <c r="W96" s="15"/>
      <c r="X96" s="34">
        <f>+P96-T96</f>
        <v>-12078.099999999977</v>
      </c>
      <c r="Y96" s="15"/>
      <c r="Z96" s="30">
        <f>IF(T96=0,0,X96/T96)</f>
        <v>2.9145250104377105E-2</v>
      </c>
    </row>
    <row r="97" spans="1:24" ht="15.75" thickTop="1" x14ac:dyDescent="0.25">
      <c r="A97" s="9"/>
      <c r="C97" s="9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59">
        <v>43815.492063043981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A99" s="9"/>
      <c r="B99" s="62" t="s">
        <v>313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25">
      <c r="A100" s="9"/>
      <c r="B100" s="61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4" x14ac:dyDescent="0.25"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","412", " - ", "Chartroom")</f>
        <v>Department 412 - Chartroom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19467.14</v>
      </c>
      <c r="E12" s="4"/>
      <c r="F12" s="12"/>
      <c r="G12" s="4"/>
      <c r="H12" s="4">
        <f>SUM(OSRRefH13x_0)</f>
        <v>92568.75</v>
      </c>
      <c r="I12" s="4"/>
      <c r="J12" s="12"/>
      <c r="K12" s="4"/>
      <c r="L12" s="4">
        <f t="shared" ref="L12:L15" si="0">+D12-H12</f>
        <v>-73101.61</v>
      </c>
      <c r="M12" s="4"/>
      <c r="N12" s="12">
        <f t="shared" ref="N12:N15" si="1">IF(H12=0,0,L12/H12)</f>
        <v>-0.78970073593950441</v>
      </c>
      <c r="O12" s="10"/>
      <c r="P12" s="4">
        <f>SUM(OSRRefP13x_0)</f>
        <v>310054.60000000003</v>
      </c>
      <c r="Q12" s="4"/>
      <c r="R12" s="12"/>
      <c r="S12" s="4"/>
      <c r="T12" s="4">
        <f>SUM(OSRRefT13x_0)</f>
        <v>477835.33</v>
      </c>
      <c r="U12" s="4"/>
      <c r="V12" s="12"/>
      <c r="W12" s="4"/>
      <c r="X12" s="4">
        <f t="shared" ref="X12:X15" si="2">+P12-T12</f>
        <v>-167780.72999999998</v>
      </c>
      <c r="Y12" s="4"/>
      <c r="Z12" s="12">
        <f t="shared" ref="Z12:Z15" si="3">IF(T12=0,0,X12/T12)</f>
        <v>-0.35112667370158662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--14197.47</f>
        <v>14197.47</v>
      </c>
      <c r="E13" s="2"/>
      <c r="F13" s="19"/>
      <c r="G13" s="2"/>
      <c r="H13" s="2">
        <f>--85269.8</f>
        <v>85269.8</v>
      </c>
      <c r="I13" s="2"/>
      <c r="J13" s="19"/>
      <c r="K13" s="2"/>
      <c r="L13" s="2">
        <f t="shared" si="0"/>
        <v>-71072.33</v>
      </c>
      <c r="M13" s="2"/>
      <c r="N13" s="19">
        <f t="shared" si="1"/>
        <v>-0.83349943356264466</v>
      </c>
      <c r="O13" s="11"/>
      <c r="P13" s="2">
        <f>--279845.89</f>
        <v>279845.89</v>
      </c>
      <c r="Q13" s="2"/>
      <c r="R13" s="19"/>
      <c r="S13" s="2"/>
      <c r="T13" s="2">
        <f>--443163.94</f>
        <v>443163.94</v>
      </c>
      <c r="U13" s="2"/>
      <c r="V13" s="19"/>
      <c r="W13" s="2"/>
      <c r="X13" s="2">
        <f t="shared" si="2"/>
        <v>-163318.04999999999</v>
      </c>
      <c r="Y13" s="2"/>
      <c r="Z13" s="19">
        <f t="shared" si="3"/>
        <v>-0.36852738966081039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--5269.67</f>
        <v>5269.67</v>
      </c>
      <c r="E14" s="2"/>
      <c r="F14" s="19"/>
      <c r="G14" s="2"/>
      <c r="H14" s="2">
        <f>--7298.95</f>
        <v>7298.95</v>
      </c>
      <c r="I14" s="2"/>
      <c r="J14" s="19"/>
      <c r="K14" s="2"/>
      <c r="L14" s="2">
        <f t="shared" si="0"/>
        <v>-2029.2799999999997</v>
      </c>
      <c r="M14" s="2"/>
      <c r="N14" s="19">
        <f t="shared" si="1"/>
        <v>-0.27802355133272594</v>
      </c>
      <c r="O14" s="11"/>
      <c r="P14" s="2">
        <f>--30208.71</f>
        <v>30208.71</v>
      </c>
      <c r="Q14" s="2"/>
      <c r="R14" s="19"/>
      <c r="S14" s="2"/>
      <c r="T14" s="2">
        <f>--34144.26</f>
        <v>34144.26</v>
      </c>
      <c r="U14" s="2"/>
      <c r="V14" s="19"/>
      <c r="W14" s="2"/>
      <c r="X14" s="2">
        <f t="shared" si="2"/>
        <v>-3935.5500000000029</v>
      </c>
      <c r="Y14" s="2"/>
      <c r="Z14" s="19">
        <f t="shared" si="3"/>
        <v>-0.1152624189248794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f>--527.13</f>
        <v>527.13</v>
      </c>
      <c r="U15" s="2"/>
      <c r="V15" s="19"/>
      <c r="W15" s="2"/>
      <c r="X15" s="2">
        <f t="shared" si="2"/>
        <v>-527.13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24429.37</v>
      </c>
      <c r="E17" s="4"/>
      <c r="F17" s="12">
        <f t="shared" ref="F17:F18" si="4">IF(D$12=0,0,D17/D$12)</f>
        <v>1.2549028773615436</v>
      </c>
      <c r="G17" s="4"/>
      <c r="H17" s="4">
        <f>SUM(OSRRefH16x_0)</f>
        <v>29667.58</v>
      </c>
      <c r="I17" s="4"/>
      <c r="J17" s="12">
        <f t="shared" ref="J17:J18" si="5">IF(H$12=0,0,H17/H$12)</f>
        <v>0.32049239079062858</v>
      </c>
      <c r="K17" s="4"/>
      <c r="L17" s="4">
        <f t="shared" ref="L17:L18" si="6">+D17-H17</f>
        <v>-5238.2100000000028</v>
      </c>
      <c r="M17" s="4"/>
      <c r="N17" s="12">
        <f t="shared" ref="N17:N18" si="7">IF(H17=0,0,L17/H17)</f>
        <v>-0.17656344063115367</v>
      </c>
      <c r="O17" s="10"/>
      <c r="P17" s="4">
        <f>SUM(OSRRefP16x_0)</f>
        <v>117409.39</v>
      </c>
      <c r="Q17" s="4"/>
      <c r="R17" s="12">
        <f t="shared" ref="R17:R18" si="8">IF(P$12=0,0,P17/P$12)</f>
        <v>0.37867327238492826</v>
      </c>
      <c r="S17" s="4"/>
      <c r="T17" s="4">
        <f>SUM(OSRRefT16x_0)</f>
        <v>141610.96</v>
      </c>
      <c r="U17" s="4"/>
      <c r="V17" s="12">
        <f t="shared" ref="V17:V18" si="9">IF(T$12=0,0,T17/T$12)</f>
        <v>0.2963593336641725</v>
      </c>
      <c r="W17" s="4"/>
      <c r="X17" s="4">
        <f t="shared" ref="X17:X18" si="10">+P17-T17</f>
        <v>-24201.569999999992</v>
      </c>
      <c r="Y17" s="4"/>
      <c r="Z17" s="12">
        <f t="shared" ref="Z17:Z18" si="11">IF(T17=0,0,X17/T17)</f>
        <v>-0.17090181437933896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24429.37</v>
      </c>
      <c r="E18" s="2"/>
      <c r="F18" s="19">
        <f t="shared" si="4"/>
        <v>1.2549028773615436</v>
      </c>
      <c r="G18" s="2"/>
      <c r="H18" s="2">
        <v>29667.58</v>
      </c>
      <c r="I18" s="2"/>
      <c r="J18" s="19">
        <f t="shared" si="5"/>
        <v>0.32049239079062858</v>
      </c>
      <c r="K18" s="2"/>
      <c r="L18" s="2">
        <f t="shared" si="6"/>
        <v>-5238.2100000000028</v>
      </c>
      <c r="M18" s="2"/>
      <c r="N18" s="19">
        <f t="shared" si="7"/>
        <v>-0.17656344063115367</v>
      </c>
      <c r="O18" s="11"/>
      <c r="P18" s="2">
        <v>117409.39</v>
      </c>
      <c r="Q18" s="2"/>
      <c r="R18" s="19">
        <f t="shared" si="8"/>
        <v>0.37867327238492826</v>
      </c>
      <c r="S18" s="2"/>
      <c r="T18" s="2">
        <v>141610.96</v>
      </c>
      <c r="U18" s="2"/>
      <c r="V18" s="19">
        <f t="shared" si="9"/>
        <v>0.2963593336641725</v>
      </c>
      <c r="W18" s="2"/>
      <c r="X18" s="2">
        <f t="shared" si="10"/>
        <v>-24201.569999999992</v>
      </c>
      <c r="Y18" s="2"/>
      <c r="Z18" s="19">
        <f t="shared" si="11"/>
        <v>-0.17090181437933896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D12-D17</f>
        <v>-4962.2299999999996</v>
      </c>
      <c r="E20" s="14"/>
      <c r="F20" s="20">
        <f>IF(D$12=0,0,D20/D$12)</f>
        <v>-0.2549028773615436</v>
      </c>
      <c r="G20" s="14"/>
      <c r="H20" s="21">
        <f>H12-H17</f>
        <v>62901.17</v>
      </c>
      <c r="I20" s="14"/>
      <c r="J20" s="20">
        <f>IF(H$12=0,0,H20/H$12)</f>
        <v>0.67950760920937137</v>
      </c>
      <c r="K20" s="15"/>
      <c r="L20" s="21">
        <f>+D20-H20</f>
        <v>-67863.399999999994</v>
      </c>
      <c r="M20" s="15"/>
      <c r="N20" s="20">
        <f>IF(H20=0,0,L20/H20)</f>
        <v>-1.0788893115978606</v>
      </c>
      <c r="O20" s="28"/>
      <c r="P20" s="21">
        <f>P12-P17</f>
        <v>192645.21000000002</v>
      </c>
      <c r="Q20" s="14"/>
      <c r="R20" s="20">
        <f>IF(P$12=0,0,P20/P$12)</f>
        <v>0.62132672761507168</v>
      </c>
      <c r="S20" s="14"/>
      <c r="T20" s="21">
        <f>T12-T17</f>
        <v>336224.37</v>
      </c>
      <c r="U20" s="14"/>
      <c r="V20" s="20">
        <f>IF(T$12=0,0,T20/T$12)</f>
        <v>0.70364066633582745</v>
      </c>
      <c r="W20" s="15"/>
      <c r="X20" s="21">
        <f>+P20-T20</f>
        <v>-143579.15999999997</v>
      </c>
      <c r="Y20" s="15"/>
      <c r="Z20" s="20">
        <f>IF(T20=0,0,X20/T20)</f>
        <v>-0.42703376914647789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26454.220000000005</v>
      </c>
      <c r="E22" s="22"/>
      <c r="F22" s="33">
        <f t="shared" ref="F22:F31" si="12">IF(D$12=0,0,D22/D$12)</f>
        <v>1.3589166153836674</v>
      </c>
      <c r="G22" s="22"/>
      <c r="H22" s="22">
        <f>SUM(OSRRefH22x_0)</f>
        <v>54769.169999999984</v>
      </c>
      <c r="I22" s="22"/>
      <c r="J22" s="33">
        <f t="shared" ref="J22:J31" si="13">IF(H$12=0,0,H22/H$12)</f>
        <v>0.5916593882924851</v>
      </c>
      <c r="K22" s="4"/>
      <c r="L22" s="22">
        <f t="shared" ref="L22:L31" si="14">+D22-H22</f>
        <v>-28314.949999999979</v>
      </c>
      <c r="M22" s="4"/>
      <c r="N22" s="33">
        <f t="shared" ref="N22:N31" si="15">IF(H22=0,0,L22/H22)</f>
        <v>-0.51698702025245202</v>
      </c>
      <c r="O22" s="10"/>
      <c r="P22" s="22">
        <f>SUM(OSRRefP22x_0)</f>
        <v>229156.41999999998</v>
      </c>
      <c r="Q22" s="22"/>
      <c r="R22" s="33">
        <f t="shared" ref="R22:R31" si="16">IF(P$12=0,0,P22/P$12)</f>
        <v>0.73908408390006131</v>
      </c>
      <c r="S22" s="22"/>
      <c r="T22" s="22">
        <f>SUM(OSRRefT22x_0)</f>
        <v>304093.66999999993</v>
      </c>
      <c r="U22" s="22"/>
      <c r="V22" s="33">
        <f t="shared" ref="V22:V31" si="17">IF(T$12=0,0,T22/T$12)</f>
        <v>0.63639846388085186</v>
      </c>
      <c r="W22" s="4"/>
      <c r="X22" s="22">
        <f t="shared" ref="X22:X31" si="18">+P22-T22</f>
        <v>-74937.249999999942</v>
      </c>
      <c r="Y22" s="4"/>
      <c r="Z22" s="33">
        <f t="shared" ref="Z22:Z31" si="19">IF(T22=0,0,X22/T22)</f>
        <v>-0.24642818115878559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8071.420000000001</v>
      </c>
      <c r="E23" s="1"/>
      <c r="F23" s="5">
        <f t="shared" si="12"/>
        <v>0.41461765826926816</v>
      </c>
      <c r="G23" s="1"/>
      <c r="H23" s="1">
        <f>SUM(OSRRefH22_0x_0)</f>
        <v>12118.919999999998</v>
      </c>
      <c r="I23" s="1"/>
      <c r="J23" s="5">
        <f t="shared" si="13"/>
        <v>0.13091804739720475</v>
      </c>
      <c r="K23" s="1"/>
      <c r="L23" s="1">
        <f t="shared" si="14"/>
        <v>-4047.4999999999973</v>
      </c>
      <c r="M23" s="1"/>
      <c r="N23" s="5">
        <f t="shared" si="15"/>
        <v>-0.33398190597842037</v>
      </c>
      <c r="O23" s="13"/>
      <c r="P23" s="1">
        <f>SUM(OSRRefP22_0x_0)</f>
        <v>60940.44000000001</v>
      </c>
      <c r="Q23" s="1"/>
      <c r="R23" s="5">
        <f t="shared" si="16"/>
        <v>0.19654744680453057</v>
      </c>
      <c r="S23" s="1"/>
      <c r="T23" s="1">
        <f>SUM(OSRRefT22_0x_0)</f>
        <v>64295.82</v>
      </c>
      <c r="U23" s="1"/>
      <c r="V23" s="5">
        <f t="shared" si="17"/>
        <v>0.13455643809343273</v>
      </c>
      <c r="W23" s="1"/>
      <c r="X23" s="1">
        <f t="shared" si="18"/>
        <v>-3355.3799999999901</v>
      </c>
      <c r="Y23" s="1"/>
      <c r="Z23" s="5">
        <f t="shared" si="19"/>
        <v>-5.2186596267066662E-2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848.1</v>
      </c>
      <c r="E24" s="2"/>
      <c r="F24" s="7">
        <f t="shared" si="12"/>
        <v>4.3565721518415139E-2</v>
      </c>
      <c r="G24" s="2"/>
      <c r="H24" s="6">
        <v>2147.09</v>
      </c>
      <c r="I24" s="2"/>
      <c r="J24" s="7">
        <f t="shared" si="13"/>
        <v>2.3194544595233273E-2</v>
      </c>
      <c r="K24" s="2"/>
      <c r="L24" s="6">
        <f t="shared" si="14"/>
        <v>-1298.9900000000002</v>
      </c>
      <c r="M24" s="2"/>
      <c r="N24" s="7">
        <f t="shared" si="15"/>
        <v>-0.605000256160664</v>
      </c>
      <c r="O24" s="11"/>
      <c r="P24" s="6">
        <v>9232.2099999999991</v>
      </c>
      <c r="Q24" s="2"/>
      <c r="R24" s="7">
        <f t="shared" si="16"/>
        <v>2.9776078148816363E-2</v>
      </c>
      <c r="S24" s="2"/>
      <c r="T24" s="6">
        <v>13862.04</v>
      </c>
      <c r="U24" s="2"/>
      <c r="V24" s="7">
        <f t="shared" si="17"/>
        <v>2.9010077593048637E-2</v>
      </c>
      <c r="W24" s="2"/>
      <c r="X24" s="6">
        <f t="shared" si="18"/>
        <v>-4629.8300000000017</v>
      </c>
      <c r="Y24" s="2"/>
      <c r="Z24" s="7">
        <f t="shared" si="19"/>
        <v>-0.33399340933946242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568.63</v>
      </c>
      <c r="E25" s="2"/>
      <c r="F25" s="7">
        <f t="shared" si="12"/>
        <v>2.9209734968773021E-2</v>
      </c>
      <c r="G25" s="2"/>
      <c r="H25" s="6">
        <v>1191.24</v>
      </c>
      <c r="I25" s="2"/>
      <c r="J25" s="7">
        <f t="shared" si="13"/>
        <v>1.2868705691715616E-2</v>
      </c>
      <c r="K25" s="2"/>
      <c r="L25" s="6">
        <f t="shared" si="14"/>
        <v>-622.61</v>
      </c>
      <c r="M25" s="2"/>
      <c r="N25" s="7">
        <f t="shared" si="15"/>
        <v>-0.5226570632282328</v>
      </c>
      <c r="O25" s="11"/>
      <c r="P25" s="6">
        <v>2409.04</v>
      </c>
      <c r="Q25" s="2"/>
      <c r="R25" s="7">
        <f t="shared" si="16"/>
        <v>7.769728299467254E-3</v>
      </c>
      <c r="S25" s="2"/>
      <c r="T25" s="6">
        <v>6390.07</v>
      </c>
      <c r="U25" s="2"/>
      <c r="V25" s="7">
        <f t="shared" si="17"/>
        <v>1.3372954235091824E-2</v>
      </c>
      <c r="W25" s="2"/>
      <c r="X25" s="6">
        <f t="shared" si="18"/>
        <v>-3981.0299999999997</v>
      </c>
      <c r="Y25" s="2"/>
      <c r="Z25" s="7">
        <f t="shared" si="19"/>
        <v>-0.62300256491712924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5245.28</v>
      </c>
      <c r="E26" s="2"/>
      <c r="F26" s="7">
        <f t="shared" si="12"/>
        <v>0.26944276354924246</v>
      </c>
      <c r="G26" s="2"/>
      <c r="H26" s="6">
        <v>5466.7</v>
      </c>
      <c r="I26" s="2"/>
      <c r="J26" s="7">
        <f t="shared" si="13"/>
        <v>5.9055566808453176E-2</v>
      </c>
      <c r="K26" s="2"/>
      <c r="L26" s="6">
        <f t="shared" si="14"/>
        <v>-221.42000000000007</v>
      </c>
      <c r="M26" s="2"/>
      <c r="N26" s="7">
        <f t="shared" si="15"/>
        <v>-4.0503411564563642E-2</v>
      </c>
      <c r="O26" s="11"/>
      <c r="P26" s="6">
        <v>26493.64</v>
      </c>
      <c r="Q26" s="2"/>
      <c r="R26" s="7">
        <f t="shared" si="16"/>
        <v>8.5448304911457523E-2</v>
      </c>
      <c r="S26" s="2"/>
      <c r="T26" s="6">
        <v>23904.06</v>
      </c>
      <c r="U26" s="2"/>
      <c r="V26" s="7">
        <f t="shared" si="17"/>
        <v>5.0025727482310697E-2</v>
      </c>
      <c r="W26" s="2"/>
      <c r="X26" s="6">
        <f t="shared" si="18"/>
        <v>2589.5799999999981</v>
      </c>
      <c r="Y26" s="2"/>
      <c r="Z26" s="7">
        <f t="shared" si="19"/>
        <v>0.10833222473504492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42.38</v>
      </c>
      <c r="E27" s="2"/>
      <c r="F27" s="7">
        <f t="shared" si="12"/>
        <v>2.1770018605711985E-3</v>
      </c>
      <c r="G27" s="2"/>
      <c r="H27" s="6">
        <v>92.42</v>
      </c>
      <c r="I27" s="2"/>
      <c r="J27" s="7">
        <f t="shared" si="13"/>
        <v>9.983930862197015E-4</v>
      </c>
      <c r="K27" s="2"/>
      <c r="L27" s="6">
        <f t="shared" si="14"/>
        <v>-50.04</v>
      </c>
      <c r="M27" s="2"/>
      <c r="N27" s="7">
        <f t="shared" si="15"/>
        <v>-0.54144124648344516</v>
      </c>
      <c r="O27" s="11"/>
      <c r="P27" s="6">
        <v>328.39</v>
      </c>
      <c r="Q27" s="2"/>
      <c r="R27" s="7">
        <f t="shared" si="16"/>
        <v>1.0591360360401036E-3</v>
      </c>
      <c r="S27" s="2"/>
      <c r="T27" s="6">
        <v>500.33</v>
      </c>
      <c r="U27" s="2"/>
      <c r="V27" s="7">
        <f t="shared" si="17"/>
        <v>1.0470761967307858E-3</v>
      </c>
      <c r="W27" s="2"/>
      <c r="X27" s="6">
        <f t="shared" si="18"/>
        <v>-171.94</v>
      </c>
      <c r="Y27" s="2"/>
      <c r="Z27" s="7">
        <f t="shared" si="19"/>
        <v>-0.34365318889532909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214.92</v>
      </c>
      <c r="E28" s="2"/>
      <c r="F28" s="7">
        <f t="shared" si="12"/>
        <v>1.1040142517082633E-2</v>
      </c>
      <c r="G28" s="2"/>
      <c r="H28" s="6">
        <v>1045.72</v>
      </c>
      <c r="I28" s="2"/>
      <c r="J28" s="7">
        <f t="shared" si="13"/>
        <v>1.1296684896360813E-2</v>
      </c>
      <c r="K28" s="2"/>
      <c r="L28" s="6">
        <f t="shared" si="14"/>
        <v>-830.80000000000007</v>
      </c>
      <c r="M28" s="2"/>
      <c r="N28" s="7">
        <f t="shared" si="15"/>
        <v>-0.79447653291512077</v>
      </c>
      <c r="O28" s="11"/>
      <c r="P28" s="6">
        <v>5248.41</v>
      </c>
      <c r="Q28" s="2"/>
      <c r="R28" s="7">
        <f t="shared" si="16"/>
        <v>1.6927373436807579E-2</v>
      </c>
      <c r="S28" s="2"/>
      <c r="T28" s="6">
        <v>6229.53</v>
      </c>
      <c r="U28" s="2"/>
      <c r="V28" s="7">
        <f t="shared" si="17"/>
        <v>1.3036980752344118E-2</v>
      </c>
      <c r="W28" s="2"/>
      <c r="X28" s="6">
        <f t="shared" si="18"/>
        <v>-981.11999999999989</v>
      </c>
      <c r="Y28" s="2"/>
      <c r="Z28" s="7">
        <f t="shared" si="19"/>
        <v>-0.15749502771477142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294.56</v>
      </c>
      <c r="E29" s="2"/>
      <c r="F29" s="7">
        <f t="shared" si="12"/>
        <v>1.5131138934635495E-2</v>
      </c>
      <c r="G29" s="2"/>
      <c r="H29" s="6">
        <v>904.7</v>
      </c>
      <c r="I29" s="2"/>
      <c r="J29" s="7">
        <f t="shared" si="13"/>
        <v>9.7732766187293239E-3</v>
      </c>
      <c r="K29" s="2"/>
      <c r="L29" s="6">
        <f t="shared" si="14"/>
        <v>-610.1400000000001</v>
      </c>
      <c r="M29" s="2"/>
      <c r="N29" s="7">
        <f t="shared" si="15"/>
        <v>-0.67441140709627512</v>
      </c>
      <c r="O29" s="11"/>
      <c r="P29" s="6">
        <v>6188.27</v>
      </c>
      <c r="Q29" s="2"/>
      <c r="R29" s="7">
        <f t="shared" si="16"/>
        <v>1.9958645993318595E-2</v>
      </c>
      <c r="S29" s="2"/>
      <c r="T29" s="6">
        <v>5504.93</v>
      </c>
      <c r="U29" s="2"/>
      <c r="V29" s="7">
        <f t="shared" si="17"/>
        <v>1.1520558766552487E-2</v>
      </c>
      <c r="W29" s="2"/>
      <c r="X29" s="6">
        <f t="shared" si="18"/>
        <v>683.34000000000015</v>
      </c>
      <c r="Y29" s="2"/>
      <c r="Z29" s="7">
        <f t="shared" si="19"/>
        <v>0.12413236862230766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282.88</v>
      </c>
      <c r="E30" s="2"/>
      <c r="F30" s="7">
        <f t="shared" si="12"/>
        <v>1.4531153523321865E-2</v>
      </c>
      <c r="G30" s="2"/>
      <c r="H30" s="6">
        <v>759.66</v>
      </c>
      <c r="I30" s="2"/>
      <c r="J30" s="7">
        <f t="shared" si="13"/>
        <v>8.2064411585983394E-3</v>
      </c>
      <c r="K30" s="2"/>
      <c r="L30" s="6">
        <f t="shared" si="14"/>
        <v>-476.78</v>
      </c>
      <c r="M30" s="2"/>
      <c r="N30" s="7">
        <f t="shared" si="15"/>
        <v>-0.62762288392175447</v>
      </c>
      <c r="O30" s="11"/>
      <c r="P30" s="6">
        <v>8535.61</v>
      </c>
      <c r="Q30" s="2"/>
      <c r="R30" s="7">
        <f t="shared" si="16"/>
        <v>2.7529377083907156E-2</v>
      </c>
      <c r="S30" s="2"/>
      <c r="T30" s="6">
        <v>5180.3</v>
      </c>
      <c r="U30" s="2"/>
      <c r="V30" s="7">
        <f t="shared" si="17"/>
        <v>1.0841182463423121E-2</v>
      </c>
      <c r="W30" s="2"/>
      <c r="X30" s="6">
        <f t="shared" si="18"/>
        <v>3355.3100000000004</v>
      </c>
      <c r="Y30" s="2"/>
      <c r="Z30" s="7">
        <f t="shared" si="19"/>
        <v>0.64770573132830156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574.66999999999996</v>
      </c>
      <c r="E31" s="2"/>
      <c r="F31" s="7">
        <f t="shared" si="12"/>
        <v>2.9520001397226298E-2</v>
      </c>
      <c r="G31" s="2"/>
      <c r="H31" s="6">
        <v>511.39</v>
      </c>
      <c r="I31" s="2"/>
      <c r="J31" s="7">
        <f t="shared" si="13"/>
        <v>5.5244345418945379E-3</v>
      </c>
      <c r="K31" s="2"/>
      <c r="L31" s="6">
        <f t="shared" si="14"/>
        <v>63.279999999999973</v>
      </c>
      <c r="M31" s="2"/>
      <c r="N31" s="7">
        <f t="shared" si="15"/>
        <v>0.12374117601048119</v>
      </c>
      <c r="O31" s="11"/>
      <c r="P31" s="6">
        <v>2504.87</v>
      </c>
      <c r="Q31" s="2"/>
      <c r="R31" s="7">
        <f t="shared" si="16"/>
        <v>8.0788028947159623E-3</v>
      </c>
      <c r="S31" s="2"/>
      <c r="T31" s="6">
        <v>2724.56</v>
      </c>
      <c r="U31" s="2"/>
      <c r="V31" s="7">
        <f t="shared" si="17"/>
        <v>5.7018806039310652E-3</v>
      </c>
      <c r="W31" s="2"/>
      <c r="X31" s="6">
        <f t="shared" si="18"/>
        <v>-219.69000000000005</v>
      </c>
      <c r="Y31" s="2"/>
      <c r="Z31" s="7">
        <f t="shared" si="19"/>
        <v>-8.063320315940925E-2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14272.71</v>
      </c>
      <c r="E32" s="1"/>
      <c r="F32" s="5">
        <f t="shared" ref="F32:F38" si="20">IF(D$12=0,0,D32/D$12)</f>
        <v>0.73316933047175903</v>
      </c>
      <c r="G32" s="1"/>
      <c r="H32" s="1">
        <f>SUM(OSRRefH22_1x_0)</f>
        <v>35888.29</v>
      </c>
      <c r="I32" s="1"/>
      <c r="J32" s="5">
        <f t="shared" ref="J32:J38" si="21">IF(H$12=0,0,H32/H$12)</f>
        <v>0.38769336304098306</v>
      </c>
      <c r="K32" s="1"/>
      <c r="L32" s="1">
        <f t="shared" ref="L32:L38" si="22">+D32-H32</f>
        <v>-21615.58</v>
      </c>
      <c r="M32" s="1"/>
      <c r="N32" s="5">
        <f t="shared" ref="N32:N38" si="23">IF(H32=0,0,L32/H32)</f>
        <v>-0.60230175358034621</v>
      </c>
      <c r="O32" s="13"/>
      <c r="P32" s="1">
        <f>SUM(OSRRefP22_1x_0)</f>
        <v>134187.77000000002</v>
      </c>
      <c r="Q32" s="1"/>
      <c r="R32" s="5">
        <f t="shared" ref="R32:R38" si="24">IF(P$12=0,0,P32/P$12)</f>
        <v>0.43278754774159134</v>
      </c>
      <c r="S32" s="1"/>
      <c r="T32" s="1">
        <f>SUM(OSRRefT22_1x_0)</f>
        <v>189098.22999999998</v>
      </c>
      <c r="U32" s="1"/>
      <c r="V32" s="5">
        <f t="shared" ref="V32:V38" si="25">IF(T$12=0,0,T32/T$12)</f>
        <v>0.39573932300066633</v>
      </c>
      <c r="W32" s="1"/>
      <c r="X32" s="1">
        <f t="shared" ref="X32:X38" si="26">+P32-T32</f>
        <v>-54910.459999999963</v>
      </c>
      <c r="Y32" s="1"/>
      <c r="Z32" s="5">
        <f t="shared" ref="Z32:Z38" si="27">IF(T32=0,0,X32/T32)</f>
        <v>-0.29038061329289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3076.94</v>
      </c>
      <c r="E33" s="2"/>
      <c r="F33" s="7">
        <f t="shared" si="20"/>
        <v>0.15805814310679434</v>
      </c>
      <c r="G33" s="2"/>
      <c r="H33" s="6">
        <v>13158.43</v>
      </c>
      <c r="I33" s="2"/>
      <c r="J33" s="7">
        <f t="shared" si="21"/>
        <v>0.14214764701910743</v>
      </c>
      <c r="K33" s="2"/>
      <c r="L33" s="6">
        <f t="shared" si="22"/>
        <v>-10081.49</v>
      </c>
      <c r="M33" s="2"/>
      <c r="N33" s="7">
        <f t="shared" si="23"/>
        <v>-0.76616207252688961</v>
      </c>
      <c r="O33" s="11"/>
      <c r="P33" s="6">
        <v>47207.07</v>
      </c>
      <c r="Q33" s="2"/>
      <c r="R33" s="7">
        <f t="shared" si="24"/>
        <v>0.15225405460844638</v>
      </c>
      <c r="S33" s="2"/>
      <c r="T33" s="6">
        <v>66506.909999999989</v>
      </c>
      <c r="U33" s="2"/>
      <c r="V33" s="7">
        <f t="shared" si="25"/>
        <v>0.13918374348753154</v>
      </c>
      <c r="W33" s="2"/>
      <c r="X33" s="6">
        <f t="shared" si="26"/>
        <v>-19299.839999999989</v>
      </c>
      <c r="Y33" s="2"/>
      <c r="Z33" s="7">
        <f t="shared" si="27"/>
        <v>-0.29019300400514764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4586.96</v>
      </c>
      <c r="E34" s="2"/>
      <c r="F34" s="7">
        <f t="shared" si="20"/>
        <v>0.23562577759239417</v>
      </c>
      <c r="G34" s="2"/>
      <c r="H34" s="6">
        <v>7752.07</v>
      </c>
      <c r="I34" s="2"/>
      <c r="J34" s="7">
        <f t="shared" si="21"/>
        <v>8.3743920059415292E-2</v>
      </c>
      <c r="K34" s="2"/>
      <c r="L34" s="6">
        <f t="shared" si="22"/>
        <v>-3165.1099999999997</v>
      </c>
      <c r="M34" s="2"/>
      <c r="N34" s="7">
        <f t="shared" si="23"/>
        <v>-0.40829223678320753</v>
      </c>
      <c r="O34" s="11"/>
      <c r="P34" s="6">
        <v>27276.75</v>
      </c>
      <c r="Q34" s="2"/>
      <c r="R34" s="7">
        <f t="shared" si="24"/>
        <v>8.7974021349788059E-2</v>
      </c>
      <c r="S34" s="2"/>
      <c r="T34" s="6">
        <v>35039.72</v>
      </c>
      <c r="U34" s="2"/>
      <c r="V34" s="7">
        <f t="shared" si="25"/>
        <v>7.3330115627908893E-2</v>
      </c>
      <c r="W34" s="2"/>
      <c r="X34" s="6">
        <f t="shared" si="26"/>
        <v>-7762.9700000000012</v>
      </c>
      <c r="Y34" s="2"/>
      <c r="Z34" s="7">
        <f t="shared" si="27"/>
        <v>-0.22154771784706045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3422.24</v>
      </c>
      <c r="E35" s="2"/>
      <c r="F35" s="7">
        <f t="shared" si="20"/>
        <v>0.17579572551489331</v>
      </c>
      <c r="G35" s="2"/>
      <c r="H35" s="6">
        <v>7450.9</v>
      </c>
      <c r="I35" s="2"/>
      <c r="J35" s="7">
        <f t="shared" si="21"/>
        <v>8.0490446289919651E-2</v>
      </c>
      <c r="K35" s="2"/>
      <c r="L35" s="6">
        <f t="shared" si="22"/>
        <v>-4028.66</v>
      </c>
      <c r="M35" s="2"/>
      <c r="N35" s="7">
        <f t="shared" si="23"/>
        <v>-0.540694412755506</v>
      </c>
      <c r="O35" s="11"/>
      <c r="P35" s="6">
        <v>29198.609999999997</v>
      </c>
      <c r="Q35" s="2"/>
      <c r="R35" s="7">
        <f t="shared" si="24"/>
        <v>9.4172478008711993E-2</v>
      </c>
      <c r="S35" s="2"/>
      <c r="T35" s="6">
        <v>49815.32</v>
      </c>
      <c r="U35" s="2"/>
      <c r="V35" s="7">
        <f t="shared" si="25"/>
        <v>0.10425206524599175</v>
      </c>
      <c r="W35" s="2"/>
      <c r="X35" s="6">
        <f t="shared" si="26"/>
        <v>-20616.710000000003</v>
      </c>
      <c r="Y35" s="2"/>
      <c r="Z35" s="7">
        <f t="shared" si="27"/>
        <v>-0.41386284379985921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>
        <v>121</v>
      </c>
      <c r="I36" s="2"/>
      <c r="J36" s="7">
        <f t="shared" si="21"/>
        <v>1.3071365876713254E-3</v>
      </c>
      <c r="K36" s="2"/>
      <c r="L36" s="6">
        <f t="shared" si="22"/>
        <v>-121</v>
      </c>
      <c r="M36" s="2"/>
      <c r="N36" s="7">
        <f t="shared" si="23"/>
        <v>-1</v>
      </c>
      <c r="O36" s="11"/>
      <c r="P36" s="6">
        <v>1299.6300000000001</v>
      </c>
      <c r="Q36" s="2"/>
      <c r="R36" s="7">
        <f t="shared" si="24"/>
        <v>4.1916165733390182E-3</v>
      </c>
      <c r="S36" s="2"/>
      <c r="T36" s="6">
        <v>189.75</v>
      </c>
      <c r="U36" s="2"/>
      <c r="V36" s="7">
        <f t="shared" si="25"/>
        <v>3.9710332846254796E-4</v>
      </c>
      <c r="W36" s="2"/>
      <c r="X36" s="6">
        <f t="shared" si="26"/>
        <v>1109.8800000000001</v>
      </c>
      <c r="Y36" s="2"/>
      <c r="Z36" s="7">
        <f t="shared" si="27"/>
        <v>5.8491699604743088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3186.57</v>
      </c>
      <c r="E37" s="2"/>
      <c r="F37" s="7">
        <f t="shared" si="20"/>
        <v>0.1636896842576773</v>
      </c>
      <c r="G37" s="2"/>
      <c r="H37" s="6">
        <v>5941.76</v>
      </c>
      <c r="I37" s="2"/>
      <c r="J37" s="7">
        <f t="shared" si="21"/>
        <v>6.4187536290594829E-2</v>
      </c>
      <c r="K37" s="2"/>
      <c r="L37" s="6">
        <f t="shared" si="22"/>
        <v>-2755.19</v>
      </c>
      <c r="M37" s="2"/>
      <c r="N37" s="7">
        <f t="shared" si="23"/>
        <v>-0.46369930794915981</v>
      </c>
      <c r="O37" s="11"/>
      <c r="P37" s="6">
        <v>25800.489999999998</v>
      </c>
      <c r="Q37" s="2"/>
      <c r="R37" s="7">
        <f t="shared" si="24"/>
        <v>8.3212730919005856E-2</v>
      </c>
      <c r="S37" s="2"/>
      <c r="T37" s="6">
        <v>27883.74</v>
      </c>
      <c r="U37" s="2"/>
      <c r="V37" s="7">
        <f t="shared" si="25"/>
        <v>5.8354287030220227E-2</v>
      </c>
      <c r="W37" s="2"/>
      <c r="X37" s="6">
        <f t="shared" si="26"/>
        <v>-2083.2500000000036</v>
      </c>
      <c r="Y37" s="2"/>
      <c r="Z37" s="7">
        <f t="shared" si="27"/>
        <v>-7.4712000613978022E-2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1464.13</v>
      </c>
      <c r="I38" s="2"/>
      <c r="J38" s="7">
        <f t="shared" si="21"/>
        <v>1.5816676794274526E-2</v>
      </c>
      <c r="K38" s="2"/>
      <c r="L38" s="6">
        <f t="shared" si="22"/>
        <v>-1464.13</v>
      </c>
      <c r="M38" s="2"/>
      <c r="N38" s="7">
        <f t="shared" si="23"/>
        <v>-1</v>
      </c>
      <c r="O38" s="11"/>
      <c r="P38" s="6">
        <v>3405.22</v>
      </c>
      <c r="Q38" s="2"/>
      <c r="R38" s="7">
        <f t="shared" si="24"/>
        <v>1.0982646282299955E-2</v>
      </c>
      <c r="S38" s="2"/>
      <c r="T38" s="6">
        <v>9662.7900000000009</v>
      </c>
      <c r="U38" s="2"/>
      <c r="V38" s="7">
        <f t="shared" si="25"/>
        <v>2.0222008280551377E-2</v>
      </c>
      <c r="W38" s="2"/>
      <c r="X38" s="6">
        <f t="shared" si="26"/>
        <v>-6257.5700000000015</v>
      </c>
      <c r="Y38" s="2"/>
      <c r="Z38" s="7">
        <f t="shared" si="27"/>
        <v>-0.64759453532571865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53" si="28">IF(D$12=0,0,D39/D$12)</f>
        <v>0</v>
      </c>
      <c r="G39" s="1"/>
      <c r="H39" s="1">
        <f>SUM(OSRRefH22_2x_0)</f>
        <v>12</v>
      </c>
      <c r="I39" s="1"/>
      <c r="J39" s="5">
        <f t="shared" ref="J39:J53" si="29">IF(H$12=0,0,H39/H$12)</f>
        <v>1.2963338059550334E-4</v>
      </c>
      <c r="K39" s="1"/>
      <c r="L39" s="1">
        <f t="shared" ref="L39:L53" si="30">+D39-H39</f>
        <v>-12</v>
      </c>
      <c r="M39" s="1"/>
      <c r="N39" s="5">
        <f t="shared" ref="N39:N53" si="31">IF(H39=0,0,L39/H39)</f>
        <v>-1</v>
      </c>
      <c r="O39" s="13"/>
      <c r="P39" s="1">
        <f>SUM(OSRRefP22_2x_0)</f>
        <v>339.52</v>
      </c>
      <c r="Q39" s="1"/>
      <c r="R39" s="5">
        <f t="shared" ref="R39:R53" si="32">IF(P$12=0,0,P39/P$12)</f>
        <v>1.0950329393597125E-3</v>
      </c>
      <c r="S39" s="1"/>
      <c r="T39" s="1">
        <f>SUM(OSRRefT22_2x_0)</f>
        <v>1078.49</v>
      </c>
      <c r="U39" s="1"/>
      <c r="V39" s="5">
        <f t="shared" ref="V39:V53" si="33">IF(T$12=0,0,T39/T$12)</f>
        <v>2.2570327731940626E-3</v>
      </c>
      <c r="W39" s="1"/>
      <c r="X39" s="1">
        <f t="shared" ref="X39:X53" si="34">+P39-T39</f>
        <v>-738.97</v>
      </c>
      <c r="Y39" s="1"/>
      <c r="Z39" s="5">
        <f t="shared" ref="Z39:Z53" si="35">IF(T39=0,0,X39/T39)</f>
        <v>-0.68518947788111162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28"/>
        <v>0</v>
      </c>
      <c r="G40" s="2"/>
      <c r="H40" s="6">
        <v>12</v>
      </c>
      <c r="I40" s="2"/>
      <c r="J40" s="7">
        <f t="shared" si="29"/>
        <v>1.2963338059550334E-4</v>
      </c>
      <c r="K40" s="2"/>
      <c r="L40" s="6">
        <f t="shared" si="30"/>
        <v>-12</v>
      </c>
      <c r="M40" s="2"/>
      <c r="N40" s="7">
        <f t="shared" si="31"/>
        <v>-1</v>
      </c>
      <c r="O40" s="11"/>
      <c r="P40" s="6">
        <v>339.52</v>
      </c>
      <c r="Q40" s="2"/>
      <c r="R40" s="7">
        <f t="shared" si="32"/>
        <v>1.0950329393597125E-3</v>
      </c>
      <c r="S40" s="2"/>
      <c r="T40" s="6">
        <v>1078.49</v>
      </c>
      <c r="U40" s="2"/>
      <c r="V40" s="7">
        <f t="shared" si="33"/>
        <v>2.2570327731940626E-3</v>
      </c>
      <c r="W40" s="2"/>
      <c r="X40" s="6">
        <f t="shared" si="34"/>
        <v>-738.97</v>
      </c>
      <c r="Y40" s="2"/>
      <c r="Z40" s="7">
        <f t="shared" si="35"/>
        <v>-0.68518947788111162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-0.51</v>
      </c>
      <c r="E41" s="1"/>
      <c r="F41" s="5">
        <f t="shared" si="28"/>
        <v>-2.6197993130988939E-5</v>
      </c>
      <c r="G41" s="1"/>
      <c r="H41" s="1">
        <f>SUM(OSRRefH22_3x_0)</f>
        <v>-6.31</v>
      </c>
      <c r="I41" s="1"/>
      <c r="J41" s="5">
        <f t="shared" si="29"/>
        <v>-6.8165552629802172E-5</v>
      </c>
      <c r="K41" s="1"/>
      <c r="L41" s="1">
        <f t="shared" si="30"/>
        <v>5.8</v>
      </c>
      <c r="M41" s="1"/>
      <c r="N41" s="5">
        <f t="shared" si="31"/>
        <v>-0.91917591125198106</v>
      </c>
      <c r="O41" s="13"/>
      <c r="P41" s="1">
        <f>SUM(OSRRefP22_3x_0)</f>
        <v>-0.34</v>
      </c>
      <c r="Q41" s="1"/>
      <c r="R41" s="5">
        <f t="shared" si="32"/>
        <v>-1.0965810537885906E-6</v>
      </c>
      <c r="S41" s="1"/>
      <c r="T41" s="1">
        <f>SUM(OSRRefT22_3x_0)</f>
        <v>-12.87</v>
      </c>
      <c r="U41" s="1"/>
      <c r="V41" s="5">
        <f t="shared" si="33"/>
        <v>-2.6933964887024989E-5</v>
      </c>
      <c r="W41" s="1"/>
      <c r="X41" s="1">
        <f t="shared" si="34"/>
        <v>12.53</v>
      </c>
      <c r="Y41" s="1"/>
      <c r="Z41" s="5">
        <f t="shared" si="35"/>
        <v>-0.97358197358197363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>
        <v>-0.51</v>
      </c>
      <c r="E42" s="2"/>
      <c r="F42" s="7">
        <f t="shared" si="28"/>
        <v>-2.6197993130988939E-5</v>
      </c>
      <c r="G42" s="2"/>
      <c r="H42" s="6">
        <v>-6.31</v>
      </c>
      <c r="I42" s="2"/>
      <c r="J42" s="7">
        <f t="shared" si="29"/>
        <v>-6.8165552629802172E-5</v>
      </c>
      <c r="K42" s="2"/>
      <c r="L42" s="6">
        <f t="shared" si="30"/>
        <v>5.8</v>
      </c>
      <c r="M42" s="2"/>
      <c r="N42" s="7">
        <f t="shared" si="31"/>
        <v>-0.91917591125198106</v>
      </c>
      <c r="O42" s="11"/>
      <c r="P42" s="6">
        <v>-0.34</v>
      </c>
      <c r="Q42" s="2"/>
      <c r="R42" s="7">
        <f t="shared" si="32"/>
        <v>-1.0965810537885906E-6</v>
      </c>
      <c r="S42" s="2"/>
      <c r="T42" s="6">
        <v>-12.87</v>
      </c>
      <c r="U42" s="2"/>
      <c r="V42" s="7">
        <f t="shared" si="33"/>
        <v>-2.6933964887024989E-5</v>
      </c>
      <c r="W42" s="2"/>
      <c r="X42" s="6">
        <f t="shared" si="34"/>
        <v>12.53</v>
      </c>
      <c r="Y42" s="2"/>
      <c r="Z42" s="7">
        <f t="shared" si="35"/>
        <v>-0.97358197358197363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577.13</v>
      </c>
      <c r="E43" s="1"/>
      <c r="F43" s="5">
        <f t="shared" si="28"/>
        <v>2.9646368187622837E-2</v>
      </c>
      <c r="G43" s="1"/>
      <c r="H43" s="1">
        <f>SUM(OSRRefH22_4x_0)</f>
        <v>1419.5</v>
      </c>
      <c r="I43" s="1"/>
      <c r="J43" s="5">
        <f t="shared" si="29"/>
        <v>1.5334548646276416E-2</v>
      </c>
      <c r="K43" s="1"/>
      <c r="L43" s="1">
        <f t="shared" si="30"/>
        <v>-842.37</v>
      </c>
      <c r="M43" s="1"/>
      <c r="N43" s="5">
        <f t="shared" si="31"/>
        <v>-0.59342726312081717</v>
      </c>
      <c r="O43" s="13"/>
      <c r="P43" s="1">
        <f>SUM(OSRRefP22_4x_0)</f>
        <v>4107.07</v>
      </c>
      <c r="Q43" s="1"/>
      <c r="R43" s="5">
        <f t="shared" si="32"/>
        <v>1.324627984877502E-2</v>
      </c>
      <c r="S43" s="1"/>
      <c r="T43" s="1">
        <f>SUM(OSRRefT22_4x_0)</f>
        <v>5670.57</v>
      </c>
      <c r="U43" s="1"/>
      <c r="V43" s="5">
        <f t="shared" si="33"/>
        <v>1.1867205382239107E-2</v>
      </c>
      <c r="W43" s="1"/>
      <c r="X43" s="1">
        <f t="shared" si="34"/>
        <v>-1563.5</v>
      </c>
      <c r="Y43" s="1"/>
      <c r="Z43" s="5">
        <f t="shared" si="35"/>
        <v>-0.27572184101421904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577.13</v>
      </c>
      <c r="E44" s="2"/>
      <c r="F44" s="7">
        <f t="shared" si="28"/>
        <v>2.9646368187622837E-2</v>
      </c>
      <c r="G44" s="2"/>
      <c r="H44" s="6">
        <v>1419.5</v>
      </c>
      <c r="I44" s="2"/>
      <c r="J44" s="7">
        <f t="shared" si="29"/>
        <v>1.5334548646276416E-2</v>
      </c>
      <c r="K44" s="2"/>
      <c r="L44" s="6">
        <f t="shared" si="30"/>
        <v>-842.37</v>
      </c>
      <c r="M44" s="2"/>
      <c r="N44" s="7">
        <f t="shared" si="31"/>
        <v>-0.59342726312081717</v>
      </c>
      <c r="O44" s="11"/>
      <c r="P44" s="6">
        <v>4107.07</v>
      </c>
      <c r="Q44" s="2"/>
      <c r="R44" s="7">
        <f t="shared" si="32"/>
        <v>1.324627984877502E-2</v>
      </c>
      <c r="S44" s="2"/>
      <c r="T44" s="6">
        <v>5670.57</v>
      </c>
      <c r="U44" s="2"/>
      <c r="V44" s="7">
        <f t="shared" si="33"/>
        <v>1.1867205382239107E-2</v>
      </c>
      <c r="W44" s="2"/>
      <c r="X44" s="6">
        <f t="shared" si="34"/>
        <v>-1563.5</v>
      </c>
      <c r="Y44" s="2"/>
      <c r="Z44" s="7">
        <f t="shared" si="35"/>
        <v>-0.27572184101421904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297.99</v>
      </c>
      <c r="E45" s="1"/>
      <c r="F45" s="5">
        <f t="shared" si="28"/>
        <v>1.530733328059489E-2</v>
      </c>
      <c r="G45" s="1"/>
      <c r="H45" s="1">
        <f>SUM(OSRRefH22_5x_0)</f>
        <v>696.82</v>
      </c>
      <c r="I45" s="1"/>
      <c r="J45" s="5">
        <f t="shared" si="29"/>
        <v>7.5275943555465534E-3</v>
      </c>
      <c r="K45" s="1"/>
      <c r="L45" s="1">
        <f t="shared" si="30"/>
        <v>-398.83000000000004</v>
      </c>
      <c r="M45" s="1"/>
      <c r="N45" s="5">
        <f t="shared" si="31"/>
        <v>-0.57235728021583765</v>
      </c>
      <c r="O45" s="13"/>
      <c r="P45" s="1">
        <f>SUM(OSRRefP22_5x_0)</f>
        <v>1489.95</v>
      </c>
      <c r="Q45" s="1"/>
      <c r="R45" s="5">
        <f t="shared" si="32"/>
        <v>4.8054439443891489E-3</v>
      </c>
      <c r="S45" s="1"/>
      <c r="T45" s="1">
        <f>SUM(OSRRefT22_5x_0)</f>
        <v>3484.1</v>
      </c>
      <c r="U45" s="1"/>
      <c r="V45" s="5">
        <f t="shared" si="33"/>
        <v>7.2914240142100831E-3</v>
      </c>
      <c r="W45" s="1"/>
      <c r="X45" s="1">
        <f t="shared" si="34"/>
        <v>-1994.1499999999999</v>
      </c>
      <c r="Y45" s="1"/>
      <c r="Z45" s="5">
        <f t="shared" si="35"/>
        <v>-0.57235728021583765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297.99</v>
      </c>
      <c r="E46" s="2"/>
      <c r="F46" s="7">
        <f t="shared" si="28"/>
        <v>1.530733328059489E-2</v>
      </c>
      <c r="G46" s="2"/>
      <c r="H46" s="6">
        <v>696.82</v>
      </c>
      <c r="I46" s="2"/>
      <c r="J46" s="7">
        <f t="shared" si="29"/>
        <v>7.5275943555465534E-3</v>
      </c>
      <c r="K46" s="2"/>
      <c r="L46" s="6">
        <f t="shared" si="30"/>
        <v>-398.83000000000004</v>
      </c>
      <c r="M46" s="2"/>
      <c r="N46" s="7">
        <f t="shared" si="31"/>
        <v>-0.57235728021583765</v>
      </c>
      <c r="O46" s="11"/>
      <c r="P46" s="6">
        <v>1489.95</v>
      </c>
      <c r="Q46" s="2"/>
      <c r="R46" s="7">
        <f t="shared" si="32"/>
        <v>4.8054439443891489E-3</v>
      </c>
      <c r="S46" s="2"/>
      <c r="T46" s="6">
        <v>3484.1</v>
      </c>
      <c r="U46" s="2"/>
      <c r="V46" s="7">
        <f t="shared" si="33"/>
        <v>7.2914240142100831E-3</v>
      </c>
      <c r="W46" s="2"/>
      <c r="X46" s="6">
        <f t="shared" si="34"/>
        <v>-1994.1499999999999</v>
      </c>
      <c r="Y46" s="2"/>
      <c r="Z46" s="7">
        <f t="shared" si="35"/>
        <v>-0.57235728021583765</v>
      </c>
    </row>
    <row r="47" spans="1:26" s="25" customFormat="1" outlineLevel="1" collapsed="1" x14ac:dyDescent="0.25">
      <c r="A47" s="27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SUM(OSRRefD22_6x_0)</f>
        <v>235.4</v>
      </c>
      <c r="E47" s="1"/>
      <c r="F47" s="5">
        <f t="shared" si="28"/>
        <v>1.2092171731440777E-2</v>
      </c>
      <c r="G47" s="1"/>
      <c r="H47" s="1">
        <f>SUM(OSRRefH22_6x_0)</f>
        <v>209.78</v>
      </c>
      <c r="I47" s="1"/>
      <c r="J47" s="5">
        <f t="shared" si="29"/>
        <v>2.2662075484437241E-3</v>
      </c>
      <c r="K47" s="1"/>
      <c r="L47" s="1">
        <f t="shared" si="30"/>
        <v>25.620000000000005</v>
      </c>
      <c r="M47" s="1"/>
      <c r="N47" s="5">
        <f t="shared" si="31"/>
        <v>0.12212794355991993</v>
      </c>
      <c r="O47" s="13"/>
      <c r="P47" s="1">
        <f>SUM(OSRRefP22_6x_0)</f>
        <v>473.47</v>
      </c>
      <c r="Q47" s="1"/>
      <c r="R47" s="5">
        <f t="shared" si="32"/>
        <v>1.5270536221684825E-3</v>
      </c>
      <c r="S47" s="1"/>
      <c r="T47" s="1">
        <f>SUM(OSRRefT22_6x_0)</f>
        <v>424.95</v>
      </c>
      <c r="U47" s="1"/>
      <c r="V47" s="5">
        <f t="shared" si="33"/>
        <v>8.89323106351303E-4</v>
      </c>
      <c r="W47" s="1"/>
      <c r="X47" s="1">
        <f t="shared" si="34"/>
        <v>48.520000000000039</v>
      </c>
      <c r="Y47" s="1"/>
      <c r="Z47" s="5">
        <f t="shared" si="35"/>
        <v>0.1141781386045418</v>
      </c>
    </row>
    <row r="48" spans="1:26" s="24" customFormat="1" hidden="1" outlineLevel="2" x14ac:dyDescent="0.25">
      <c r="A48" s="26"/>
      <c r="B48" s="11" t="str">
        <f>CONCATENATE("          ", "6351", " - ", "EQUIPMENT RENTAL")</f>
        <v xml:space="preserve">          6351 - EQUIPMENT RENTAL</v>
      </c>
      <c r="C48" s="11"/>
      <c r="D48" s="6">
        <v>235.4</v>
      </c>
      <c r="E48" s="2"/>
      <c r="F48" s="7">
        <f t="shared" si="28"/>
        <v>1.2092171731440777E-2</v>
      </c>
      <c r="G48" s="2"/>
      <c r="H48" s="6">
        <v>209.78</v>
      </c>
      <c r="I48" s="2"/>
      <c r="J48" s="7">
        <f t="shared" si="29"/>
        <v>2.2662075484437241E-3</v>
      </c>
      <c r="K48" s="2"/>
      <c r="L48" s="6">
        <f t="shared" si="30"/>
        <v>25.620000000000005</v>
      </c>
      <c r="M48" s="2"/>
      <c r="N48" s="7">
        <f t="shared" si="31"/>
        <v>0.12212794355991993</v>
      </c>
      <c r="O48" s="11"/>
      <c r="P48" s="6">
        <v>473.47</v>
      </c>
      <c r="Q48" s="2"/>
      <c r="R48" s="7">
        <f t="shared" si="32"/>
        <v>1.5270536221684825E-3</v>
      </c>
      <c r="S48" s="2"/>
      <c r="T48" s="6">
        <v>424.95</v>
      </c>
      <c r="U48" s="2"/>
      <c r="V48" s="7">
        <f t="shared" si="33"/>
        <v>8.89323106351303E-4</v>
      </c>
      <c r="W48" s="2"/>
      <c r="X48" s="6">
        <f t="shared" si="34"/>
        <v>48.520000000000039</v>
      </c>
      <c r="Y48" s="2"/>
      <c r="Z48" s="7">
        <f t="shared" si="35"/>
        <v>0.1141781386045418</v>
      </c>
    </row>
    <row r="49" spans="1:26" s="25" customFormat="1" outlineLevel="1" collapsed="1" x14ac:dyDescent="0.25">
      <c r="A49" s="27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SUM(OSRRefD22_7x_0)</f>
        <v>10</v>
      </c>
      <c r="E49" s="1"/>
      <c r="F49" s="5">
        <f t="shared" si="28"/>
        <v>5.136861398233125E-4</v>
      </c>
      <c r="G49" s="1"/>
      <c r="H49" s="1">
        <f>SUM(OSRRefH22_7x_0)</f>
        <v>21.2</v>
      </c>
      <c r="I49" s="1"/>
      <c r="J49" s="5">
        <f t="shared" si="29"/>
        <v>2.2901897238538922E-4</v>
      </c>
      <c r="K49" s="1"/>
      <c r="L49" s="1">
        <f t="shared" si="30"/>
        <v>-11.2</v>
      </c>
      <c r="M49" s="1"/>
      <c r="N49" s="5">
        <f t="shared" si="31"/>
        <v>-0.52830188679245282</v>
      </c>
      <c r="O49" s="13"/>
      <c r="P49" s="1">
        <f>SUM(OSRRefP22_7x_0)</f>
        <v>2457.08</v>
      </c>
      <c r="Q49" s="1"/>
      <c r="R49" s="5">
        <f t="shared" si="32"/>
        <v>7.9246687518907954E-3</v>
      </c>
      <c r="S49" s="1"/>
      <c r="T49" s="1">
        <f>SUM(OSRRefT22_7x_0)</f>
        <v>1390.4</v>
      </c>
      <c r="U49" s="1"/>
      <c r="V49" s="5">
        <f t="shared" si="33"/>
        <v>2.9097890271110763E-3</v>
      </c>
      <c r="W49" s="1"/>
      <c r="X49" s="1">
        <f t="shared" si="34"/>
        <v>1066.6799999999998</v>
      </c>
      <c r="Y49" s="1"/>
      <c r="Z49" s="5">
        <f t="shared" si="35"/>
        <v>0.7671749136939009</v>
      </c>
    </row>
    <row r="50" spans="1:26" s="24" customFormat="1" hidden="1" outlineLevel="2" x14ac:dyDescent="0.25">
      <c r="A50" s="26"/>
      <c r="B50" s="11" t="str">
        <f>CONCATENATE("          ", "6279", " - ", "GENERAL EXPENSE")</f>
        <v xml:space="preserve">          6279 - GENERAL EXPENSE</v>
      </c>
      <c r="C50" s="11"/>
      <c r="D50" s="6">
        <v>10</v>
      </c>
      <c r="E50" s="2"/>
      <c r="F50" s="7">
        <f t="shared" si="28"/>
        <v>5.136861398233125E-4</v>
      </c>
      <c r="G50" s="2"/>
      <c r="H50" s="6">
        <v>21.2</v>
      </c>
      <c r="I50" s="2"/>
      <c r="J50" s="7">
        <f t="shared" si="29"/>
        <v>2.2901897238538922E-4</v>
      </c>
      <c r="K50" s="2"/>
      <c r="L50" s="6">
        <f t="shared" si="30"/>
        <v>-11.2</v>
      </c>
      <c r="M50" s="2"/>
      <c r="N50" s="7">
        <f t="shared" si="31"/>
        <v>-0.52830188679245282</v>
      </c>
      <c r="O50" s="11"/>
      <c r="P50" s="6">
        <v>2457.08</v>
      </c>
      <c r="Q50" s="2"/>
      <c r="R50" s="7">
        <f t="shared" si="32"/>
        <v>7.9246687518907954E-3</v>
      </c>
      <c r="S50" s="2"/>
      <c r="T50" s="6">
        <v>1390.4</v>
      </c>
      <c r="U50" s="2"/>
      <c r="V50" s="7">
        <f t="shared" si="33"/>
        <v>2.9097890271110763E-3</v>
      </c>
      <c r="W50" s="2"/>
      <c r="X50" s="6">
        <f t="shared" si="34"/>
        <v>1066.6799999999998</v>
      </c>
      <c r="Y50" s="2"/>
      <c r="Z50" s="7">
        <f t="shared" si="35"/>
        <v>0.7671749136939009</v>
      </c>
    </row>
    <row r="51" spans="1:26" s="25" customFormat="1" outlineLevel="1" collapsed="1" x14ac:dyDescent="0.25">
      <c r="A51" s="27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SUM(OSRRefD22_8x_0)</f>
        <v>507.73</v>
      </c>
      <c r="E51" s="1"/>
      <c r="F51" s="5">
        <f t="shared" si="28"/>
        <v>2.608138637724905E-2</v>
      </c>
      <c r="G51" s="1"/>
      <c r="H51" s="1">
        <f>SUM(OSRRefH22_8x_0)</f>
        <v>0</v>
      </c>
      <c r="I51" s="1"/>
      <c r="J51" s="5">
        <f t="shared" si="29"/>
        <v>0</v>
      </c>
      <c r="K51" s="1"/>
      <c r="L51" s="1">
        <f t="shared" si="30"/>
        <v>507.73</v>
      </c>
      <c r="M51" s="1"/>
      <c r="N51" s="5">
        <f t="shared" si="31"/>
        <v>0</v>
      </c>
      <c r="O51" s="13"/>
      <c r="P51" s="1">
        <f>SUM(OSRRefP22_8x_0)</f>
        <v>3632.91</v>
      </c>
      <c r="Q51" s="1"/>
      <c r="R51" s="5">
        <f t="shared" si="32"/>
        <v>1.1717000812115026E-2</v>
      </c>
      <c r="S51" s="1"/>
      <c r="T51" s="1">
        <f>SUM(OSRRefT22_8x_0)</f>
        <v>8431.56</v>
      </c>
      <c r="U51" s="1"/>
      <c r="V51" s="5">
        <f t="shared" si="33"/>
        <v>1.7645325639692653E-2</v>
      </c>
      <c r="W51" s="1"/>
      <c r="X51" s="1">
        <f t="shared" si="34"/>
        <v>-4798.6499999999996</v>
      </c>
      <c r="Y51" s="1"/>
      <c r="Z51" s="5">
        <f t="shared" si="35"/>
        <v>-0.56912955609638072</v>
      </c>
    </row>
    <row r="52" spans="1:26" s="24" customFormat="1" hidden="1" outlineLevel="2" x14ac:dyDescent="0.25">
      <c r="A52" s="26"/>
      <c r="B52" s="11" t="str">
        <f>CONCATENATE("          ", "6373", " - ", "MAINTENANCE CONTRACTS")</f>
        <v xml:space="preserve">          6373 - MAINTENANCE CONTRACTS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76.02</v>
      </c>
      <c r="Q52" s="2"/>
      <c r="R52" s="7">
        <f t="shared" si="32"/>
        <v>2.451826226735549E-4</v>
      </c>
      <c r="S52" s="2"/>
      <c r="T52" s="6">
        <v>57.23</v>
      </c>
      <c r="U52" s="2"/>
      <c r="V52" s="7">
        <f t="shared" si="33"/>
        <v>1.1976929374393475E-4</v>
      </c>
      <c r="W52" s="2"/>
      <c r="X52" s="6">
        <f t="shared" si="34"/>
        <v>18.79</v>
      </c>
      <c r="Y52" s="2"/>
      <c r="Z52" s="7">
        <f t="shared" si="35"/>
        <v>0.32832430543421282</v>
      </c>
    </row>
    <row r="53" spans="1:26" s="24" customFormat="1" hidden="1" outlineLevel="2" x14ac:dyDescent="0.25">
      <c r="A53" s="26"/>
      <c r="B53" s="11" t="str">
        <f>CONCATENATE("          ", "6375", " - ", "OUTSIDE REPAIRS &amp; MAINTENANCE")</f>
        <v xml:space="preserve">          6375 - OUTSIDE REPAIRS &amp; MAINTENANCE</v>
      </c>
      <c r="C53" s="11"/>
      <c r="D53" s="6">
        <v>507.73</v>
      </c>
      <c r="E53" s="2"/>
      <c r="F53" s="7">
        <f t="shared" si="28"/>
        <v>2.608138637724905E-2</v>
      </c>
      <c r="G53" s="2"/>
      <c r="H53" s="6"/>
      <c r="I53" s="2"/>
      <c r="J53" s="7">
        <f t="shared" si="29"/>
        <v>0</v>
      </c>
      <c r="K53" s="2"/>
      <c r="L53" s="6">
        <f t="shared" si="30"/>
        <v>507.73</v>
      </c>
      <c r="M53" s="2"/>
      <c r="N53" s="7">
        <f t="shared" si="31"/>
        <v>0</v>
      </c>
      <c r="O53" s="11"/>
      <c r="P53" s="6">
        <v>3556.89</v>
      </c>
      <c r="Q53" s="2"/>
      <c r="R53" s="7">
        <f t="shared" si="32"/>
        <v>1.1471818189441471E-2</v>
      </c>
      <c r="S53" s="2"/>
      <c r="T53" s="6">
        <v>8374.33</v>
      </c>
      <c r="U53" s="2"/>
      <c r="V53" s="7">
        <f t="shared" si="33"/>
        <v>1.7525556345948719E-2</v>
      </c>
      <c r="W53" s="2"/>
      <c r="X53" s="6">
        <f t="shared" si="34"/>
        <v>-4817.4400000000005</v>
      </c>
      <c r="Y53" s="2"/>
      <c r="Z53" s="7">
        <f t="shared" si="35"/>
        <v>-0.57526273743690548</v>
      </c>
    </row>
    <row r="54" spans="1:26" s="25" customFormat="1" outlineLevel="1" collapsed="1" x14ac:dyDescent="0.25">
      <c r="A54" s="27"/>
      <c r="B54" s="13" t="str">
        <f>CONCATENATE("     ","Royalty &amp; Commissions                             ")</f>
        <v xml:space="preserve">     Royalty &amp; Commissions                             </v>
      </c>
      <c r="C54" s="13"/>
      <c r="D54" s="1">
        <f>SUM(OSRRefD22_9x_0)</f>
        <v>0</v>
      </c>
      <c r="E54" s="1"/>
      <c r="F54" s="5">
        <f t="shared" ref="F54:F59" si="36">IF(D$12=0,0,D54/D$12)</f>
        <v>0</v>
      </c>
      <c r="G54" s="1"/>
      <c r="H54" s="1">
        <f>SUM(OSRRefH22_9x_0)</f>
        <v>0</v>
      </c>
      <c r="I54" s="1"/>
      <c r="J54" s="5">
        <f t="shared" ref="J54:J59" si="37">IF(H$12=0,0,H54/H$12)</f>
        <v>0</v>
      </c>
      <c r="K54" s="1"/>
      <c r="L54" s="1">
        <f t="shared" ref="L54:L59" si="38">+D54-H54</f>
        <v>0</v>
      </c>
      <c r="M54" s="1"/>
      <c r="N54" s="5">
        <f t="shared" ref="N54:N59" si="39">IF(H54=0,0,L54/H54)</f>
        <v>0</v>
      </c>
      <c r="O54" s="13"/>
      <c r="P54" s="1">
        <f>SUM(OSRRefP22_9x_0)</f>
        <v>0</v>
      </c>
      <c r="Q54" s="1"/>
      <c r="R54" s="5">
        <f t="shared" ref="R54:R59" si="40">IF(P$12=0,0,P54/P$12)</f>
        <v>0</v>
      </c>
      <c r="S54" s="1"/>
      <c r="T54" s="1">
        <f>SUM(OSRRefT22_9x_0)</f>
        <v>2954.27</v>
      </c>
      <c r="U54" s="1"/>
      <c r="V54" s="5">
        <f t="shared" ref="V54:V59" si="41">IF(T$12=0,0,T54/T$12)</f>
        <v>6.1826110681267536E-3</v>
      </c>
      <c r="W54" s="1"/>
      <c r="X54" s="1">
        <f t="shared" ref="X54:X59" si="42">+P54-T54</f>
        <v>-2954.27</v>
      </c>
      <c r="Y54" s="1"/>
      <c r="Z54" s="5">
        <f t="shared" ref="Z54:Z59" si="43">IF(T54=0,0,X54/T54)</f>
        <v>-1</v>
      </c>
    </row>
    <row r="55" spans="1:26" s="24" customFormat="1" hidden="1" outlineLevel="2" x14ac:dyDescent="0.25">
      <c r="A55" s="26"/>
      <c r="B55" s="11" t="str">
        <f>CONCATENATE("          ", "6254", " - ", "ROYALTY &amp; COMMISSIONS")</f>
        <v xml:space="preserve">          6254 - ROYALTY &amp; COMMISSIONS</v>
      </c>
      <c r="C55" s="11"/>
      <c r="D55" s="6"/>
      <c r="E55" s="2"/>
      <c r="F55" s="7">
        <f t="shared" si="36"/>
        <v>0</v>
      </c>
      <c r="G55" s="2"/>
      <c r="H55" s="6"/>
      <c r="I55" s="2"/>
      <c r="J55" s="7">
        <f t="shared" si="37"/>
        <v>0</v>
      </c>
      <c r="K55" s="2"/>
      <c r="L55" s="6">
        <f t="shared" si="38"/>
        <v>0</v>
      </c>
      <c r="M55" s="2"/>
      <c r="N55" s="7">
        <f t="shared" si="39"/>
        <v>0</v>
      </c>
      <c r="O55" s="11"/>
      <c r="P55" s="6"/>
      <c r="Q55" s="2"/>
      <c r="R55" s="7">
        <f t="shared" si="40"/>
        <v>0</v>
      </c>
      <c r="S55" s="2"/>
      <c r="T55" s="6">
        <v>2954.27</v>
      </c>
      <c r="U55" s="2"/>
      <c r="V55" s="7">
        <f t="shared" si="41"/>
        <v>6.1826110681267536E-3</v>
      </c>
      <c r="W55" s="2"/>
      <c r="X55" s="6">
        <f t="shared" si="42"/>
        <v>-2954.27</v>
      </c>
      <c r="Y55" s="2"/>
      <c r="Z55" s="7">
        <f t="shared" si="43"/>
        <v>-1</v>
      </c>
    </row>
    <row r="56" spans="1:26" s="25" customFormat="1" outlineLevel="1" collapsed="1" x14ac:dyDescent="0.25">
      <c r="A56" s="27"/>
      <c r="B56" s="13" t="str">
        <f>CONCATENATE("     ","Services                                          ")</f>
        <v xml:space="preserve">     Services                                          </v>
      </c>
      <c r="C56" s="13"/>
      <c r="D56" s="1">
        <f>SUM(OSRRefD22_10x_0)</f>
        <v>1411.42</v>
      </c>
      <c r="E56" s="1"/>
      <c r="F56" s="5">
        <f t="shared" si="36"/>
        <v>7.2502689146941982E-2</v>
      </c>
      <c r="G56" s="1"/>
      <c r="H56" s="1">
        <f>SUM(OSRRefH22_10x_0)</f>
        <v>2397.94</v>
      </c>
      <c r="I56" s="1"/>
      <c r="J56" s="5">
        <f t="shared" si="37"/>
        <v>2.5904422388765107E-2</v>
      </c>
      <c r="K56" s="1"/>
      <c r="L56" s="1">
        <f t="shared" si="38"/>
        <v>-986.52</v>
      </c>
      <c r="M56" s="1"/>
      <c r="N56" s="5">
        <f t="shared" si="39"/>
        <v>-0.41140312101220211</v>
      </c>
      <c r="O56" s="13"/>
      <c r="P56" s="1">
        <f>SUM(OSRRefP22_10x_0)</f>
        <v>11963.21</v>
      </c>
      <c r="Q56" s="1"/>
      <c r="R56" s="5">
        <f t="shared" si="40"/>
        <v>3.8584204201453545E-2</v>
      </c>
      <c r="S56" s="1"/>
      <c r="T56" s="1">
        <f>SUM(OSRRefT22_10x_0)</f>
        <v>13106.720000000001</v>
      </c>
      <c r="U56" s="1"/>
      <c r="V56" s="5">
        <f t="shared" si="41"/>
        <v>2.7429365677083779E-2</v>
      </c>
      <c r="W56" s="1"/>
      <c r="X56" s="1">
        <f t="shared" si="42"/>
        <v>-1143.510000000002</v>
      </c>
      <c r="Y56" s="1"/>
      <c r="Z56" s="5">
        <f t="shared" si="43"/>
        <v>-8.724608445133504E-2</v>
      </c>
    </row>
    <row r="57" spans="1:26" s="24" customFormat="1" hidden="1" outlineLevel="2" x14ac:dyDescent="0.25">
      <c r="A57" s="26"/>
      <c r="B57" s="11" t="str">
        <f>CONCATENATE("          ", "6283", " - ", "PLANT SERVICE")</f>
        <v xml:space="preserve">          6283 - PLANT SERVICE</v>
      </c>
      <c r="C57" s="11"/>
      <c r="D57" s="6">
        <v>62.95</v>
      </c>
      <c r="E57" s="2"/>
      <c r="F57" s="7">
        <f t="shared" si="36"/>
        <v>3.2336542501877523E-3</v>
      </c>
      <c r="G57" s="2"/>
      <c r="H57" s="6">
        <v>57</v>
      </c>
      <c r="I57" s="2"/>
      <c r="J57" s="7">
        <f t="shared" si="37"/>
        <v>6.1575855782864091E-4</v>
      </c>
      <c r="K57" s="2"/>
      <c r="L57" s="6">
        <f t="shared" si="38"/>
        <v>5.9500000000000028</v>
      </c>
      <c r="M57" s="2"/>
      <c r="N57" s="7">
        <f t="shared" si="39"/>
        <v>0.10438596491228075</v>
      </c>
      <c r="O57" s="11"/>
      <c r="P57" s="6">
        <v>251.8</v>
      </c>
      <c r="Q57" s="2"/>
      <c r="R57" s="7">
        <f t="shared" si="40"/>
        <v>8.1211502748225624E-4</v>
      </c>
      <c r="S57" s="2"/>
      <c r="T57" s="6">
        <v>285</v>
      </c>
      <c r="U57" s="2"/>
      <c r="V57" s="7">
        <f t="shared" si="41"/>
        <v>5.9643978188050678E-4</v>
      </c>
      <c r="W57" s="2"/>
      <c r="X57" s="6">
        <f t="shared" si="42"/>
        <v>-33.199999999999989</v>
      </c>
      <c r="Y57" s="2"/>
      <c r="Z57" s="7">
        <f t="shared" si="43"/>
        <v>-0.1164912280701754</v>
      </c>
    </row>
    <row r="58" spans="1:26" s="24" customFormat="1" hidden="1" outlineLevel="2" x14ac:dyDescent="0.25">
      <c r="A58" s="26"/>
      <c r="B58" s="11" t="str">
        <f>CONCATENATE("          ", "6285", " - ", "JANITORIAL SERVICES")</f>
        <v xml:space="preserve">          6285 - JANITORIAL SERVICES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/>
      <c r="Q58" s="2"/>
      <c r="R58" s="7">
        <f t="shared" si="40"/>
        <v>0</v>
      </c>
      <c r="S58" s="2"/>
      <c r="T58" s="6">
        <v>246.12</v>
      </c>
      <c r="U58" s="2"/>
      <c r="V58" s="7">
        <f t="shared" si="41"/>
        <v>5.1507283900501877E-4</v>
      </c>
      <c r="W58" s="2"/>
      <c r="X58" s="6">
        <f t="shared" si="42"/>
        <v>-246.12</v>
      </c>
      <c r="Y58" s="2"/>
      <c r="Z58" s="7">
        <f t="shared" si="43"/>
        <v>-1</v>
      </c>
    </row>
    <row r="59" spans="1:26" s="24" customFormat="1" hidden="1" outlineLevel="2" x14ac:dyDescent="0.25">
      <c r="A59" s="26"/>
      <c r="B59" s="11" t="str">
        <f>CONCATENATE("          ", "6286", " - ", "LAUNDRY EXPENSE")</f>
        <v xml:space="preserve">          6286 - LAUNDRY EXPENSE</v>
      </c>
      <c r="C59" s="11"/>
      <c r="D59" s="6">
        <v>1348.47</v>
      </c>
      <c r="E59" s="2"/>
      <c r="F59" s="7">
        <f t="shared" si="36"/>
        <v>6.926903489675422E-2</v>
      </c>
      <c r="G59" s="2"/>
      <c r="H59" s="6">
        <v>2340.94</v>
      </c>
      <c r="I59" s="2"/>
      <c r="J59" s="7">
        <f t="shared" si="37"/>
        <v>2.5288663830936468E-2</v>
      </c>
      <c r="K59" s="2"/>
      <c r="L59" s="6">
        <f t="shared" si="38"/>
        <v>-992.47</v>
      </c>
      <c r="M59" s="2"/>
      <c r="N59" s="7">
        <f t="shared" si="39"/>
        <v>-0.42396216904320488</v>
      </c>
      <c r="O59" s="11"/>
      <c r="P59" s="6">
        <v>11711.41</v>
      </c>
      <c r="Q59" s="2"/>
      <c r="R59" s="7">
        <f t="shared" si="40"/>
        <v>3.7772089173971291E-2</v>
      </c>
      <c r="S59" s="2"/>
      <c r="T59" s="6">
        <v>12575.6</v>
      </c>
      <c r="U59" s="2"/>
      <c r="V59" s="7">
        <f t="shared" si="41"/>
        <v>2.631785305619825E-2</v>
      </c>
      <c r="W59" s="2"/>
      <c r="X59" s="6">
        <f t="shared" si="42"/>
        <v>-864.19000000000051</v>
      </c>
      <c r="Y59" s="2"/>
      <c r="Z59" s="7">
        <f t="shared" si="43"/>
        <v>-6.8719583956232747E-2</v>
      </c>
    </row>
    <row r="60" spans="1:26" s="25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SUM(OSRRefD22_11x_0)</f>
        <v>878.64999999999986</v>
      </c>
      <c r="E60" s="1"/>
      <c r="F60" s="5">
        <f t="shared" ref="F60:F67" si="44">IF(D$12=0,0,D60/D$12)</f>
        <v>4.5135032675575351E-2</v>
      </c>
      <c r="G60" s="1"/>
      <c r="H60" s="1">
        <f>SUM(OSRRefH22_11x_0)</f>
        <v>1819.2500000000002</v>
      </c>
      <c r="I60" s="1"/>
      <c r="J60" s="5">
        <f t="shared" ref="J60:J67" si="45">IF(H$12=0,0,H60/H$12)</f>
        <v>1.9652960637364124E-2</v>
      </c>
      <c r="K60" s="1"/>
      <c r="L60" s="1">
        <f t="shared" ref="L60:L67" si="46">+D60-H60</f>
        <v>-940.60000000000036</v>
      </c>
      <c r="M60" s="1"/>
      <c r="N60" s="5">
        <f t="shared" ref="N60:N67" si="47">IF(H60=0,0,L60/H60)</f>
        <v>-0.51702624707984068</v>
      </c>
      <c r="O60" s="13"/>
      <c r="P60" s="1">
        <f>SUM(OSRRefP22_11x_0)</f>
        <v>8434.0300000000007</v>
      </c>
      <c r="Q60" s="1"/>
      <c r="R60" s="5">
        <f t="shared" ref="R60:R67" si="48">IF(P$12=0,0,P60/P$12)</f>
        <v>2.7201757367895846E-2</v>
      </c>
      <c r="S60" s="1"/>
      <c r="T60" s="1">
        <f>SUM(OSRRefT22_11x_0)</f>
        <v>13000.460000000001</v>
      </c>
      <c r="U60" s="1"/>
      <c r="V60" s="5">
        <f t="shared" ref="V60:V67" si="49">IF(T$12=0,0,T60/T$12)</f>
        <v>2.7206987813144751E-2</v>
      </c>
      <c r="W60" s="1"/>
      <c r="X60" s="1">
        <f t="shared" ref="X60:X67" si="50">+P60-T60</f>
        <v>-4566.43</v>
      </c>
      <c r="Y60" s="1"/>
      <c r="Z60" s="5">
        <f t="shared" ref="Z60:Z67" si="51">IF(T60=0,0,X60/T60)</f>
        <v>-0.35125141725754322</v>
      </c>
    </row>
    <row r="61" spans="1:26" s="24" customFormat="1" hidden="1" outlineLevel="2" x14ac:dyDescent="0.25">
      <c r="A61" s="26"/>
      <c r="B61" s="11" t="str">
        <f>CONCATENATE("          ", "6234", " - ", "EXPENDABLE SUPPLIES &amp; EQUIPMEN")</f>
        <v xml:space="preserve">          6234 - EXPENDABLE SUPPLIES &amp; EQUIPMEN</v>
      </c>
      <c r="C61" s="11"/>
      <c r="D61" s="6">
        <v>66.95</v>
      </c>
      <c r="E61" s="2"/>
      <c r="F61" s="7">
        <f t="shared" si="44"/>
        <v>3.4391287061170776E-3</v>
      </c>
      <c r="G61" s="2"/>
      <c r="H61" s="6">
        <v>710.95</v>
      </c>
      <c r="I61" s="2"/>
      <c r="J61" s="7">
        <f t="shared" si="45"/>
        <v>7.6802376611977592E-3</v>
      </c>
      <c r="K61" s="2"/>
      <c r="L61" s="6">
        <f t="shared" si="46"/>
        <v>-644</v>
      </c>
      <c r="M61" s="2"/>
      <c r="N61" s="7">
        <f t="shared" si="47"/>
        <v>-0.90583022716084105</v>
      </c>
      <c r="O61" s="11"/>
      <c r="P61" s="6">
        <v>287.29000000000002</v>
      </c>
      <c r="Q61" s="2"/>
      <c r="R61" s="7">
        <f t="shared" si="48"/>
        <v>9.2657873806742419E-4</v>
      </c>
      <c r="S61" s="2"/>
      <c r="T61" s="6">
        <v>4965.99</v>
      </c>
      <c r="U61" s="2"/>
      <c r="V61" s="7">
        <f t="shared" si="49"/>
        <v>1.0392680675160625E-2</v>
      </c>
      <c r="W61" s="2"/>
      <c r="X61" s="6">
        <f t="shared" si="50"/>
        <v>-4678.7</v>
      </c>
      <c r="Y61" s="2"/>
      <c r="Z61" s="7">
        <f t="shared" si="51"/>
        <v>-0.94214849405657286</v>
      </c>
    </row>
    <row r="62" spans="1:26" s="24" customFormat="1" hidden="1" outlineLevel="2" x14ac:dyDescent="0.25">
      <c r="A62" s="26"/>
      <c r="B62" s="11" t="str">
        <f>CONCATENATE("          ", "6237", " - ", "JANITORIAL SUPPLIES")</f>
        <v xml:space="preserve">          6237 - JANITORIAL SUPPLIES</v>
      </c>
      <c r="C62" s="11"/>
      <c r="D62" s="6"/>
      <c r="E62" s="2"/>
      <c r="F62" s="7">
        <f t="shared" si="44"/>
        <v>0</v>
      </c>
      <c r="G62" s="2"/>
      <c r="H62" s="6"/>
      <c r="I62" s="2"/>
      <c r="J62" s="7">
        <f t="shared" si="45"/>
        <v>0</v>
      </c>
      <c r="K62" s="2"/>
      <c r="L62" s="6">
        <f t="shared" si="46"/>
        <v>0</v>
      </c>
      <c r="M62" s="2"/>
      <c r="N62" s="7">
        <f t="shared" si="47"/>
        <v>0</v>
      </c>
      <c r="O62" s="11"/>
      <c r="P62" s="6"/>
      <c r="Q62" s="2"/>
      <c r="R62" s="7">
        <f t="shared" si="48"/>
        <v>0</v>
      </c>
      <c r="S62" s="2"/>
      <c r="T62" s="6">
        <v>493.59</v>
      </c>
      <c r="U62" s="2"/>
      <c r="V62" s="7">
        <f t="shared" si="49"/>
        <v>1.032970919082103E-3</v>
      </c>
      <c r="W62" s="2"/>
      <c r="X62" s="6">
        <f t="shared" si="50"/>
        <v>-493.59</v>
      </c>
      <c r="Y62" s="2"/>
      <c r="Z62" s="7">
        <f t="shared" si="51"/>
        <v>-1</v>
      </c>
    </row>
    <row r="63" spans="1:26" s="24" customFormat="1" hidden="1" outlineLevel="2" x14ac:dyDescent="0.25">
      <c r="A63" s="26"/>
      <c r="B63" s="11" t="str">
        <f>CONCATENATE("          ", "6239", " - ", "KITCHEN SUPPLIES")</f>
        <v xml:space="preserve">          6239 - KITCHEN SUPPLIES</v>
      </c>
      <c r="C63" s="11"/>
      <c r="D63" s="6">
        <v>14.58</v>
      </c>
      <c r="E63" s="2"/>
      <c r="F63" s="7">
        <f t="shared" si="44"/>
        <v>7.4895439186238968E-4</v>
      </c>
      <c r="G63" s="2"/>
      <c r="H63" s="6">
        <v>102.95</v>
      </c>
      <c r="I63" s="2"/>
      <c r="J63" s="7">
        <f t="shared" si="45"/>
        <v>1.1121463776922558E-3</v>
      </c>
      <c r="K63" s="2"/>
      <c r="L63" s="6">
        <f t="shared" si="46"/>
        <v>-88.37</v>
      </c>
      <c r="M63" s="2"/>
      <c r="N63" s="7">
        <f t="shared" si="47"/>
        <v>-0.85837785332685768</v>
      </c>
      <c r="O63" s="11"/>
      <c r="P63" s="6">
        <v>3349.27</v>
      </c>
      <c r="Q63" s="2"/>
      <c r="R63" s="7">
        <f t="shared" si="48"/>
        <v>1.0802194194183861E-2</v>
      </c>
      <c r="S63" s="2"/>
      <c r="T63" s="6">
        <v>622.25</v>
      </c>
      <c r="U63" s="2"/>
      <c r="V63" s="7">
        <f t="shared" si="49"/>
        <v>1.3022268571057732E-3</v>
      </c>
      <c r="W63" s="2"/>
      <c r="X63" s="6">
        <f t="shared" si="50"/>
        <v>2727.02</v>
      </c>
      <c r="Y63" s="2"/>
      <c r="Z63" s="7">
        <f t="shared" si="51"/>
        <v>4.382515066291683</v>
      </c>
    </row>
    <row r="64" spans="1:26" s="24" customFormat="1" hidden="1" outlineLevel="2" x14ac:dyDescent="0.25">
      <c r="A64" s="26"/>
      <c r="B64" s="11" t="str">
        <f>CONCATENATE("          ", "6241", " - ", "OFFICE EXPENSE")</f>
        <v xml:space="preserve">          6241 - OFFICE EXPENSE</v>
      </c>
      <c r="C64" s="11"/>
      <c r="D64" s="6"/>
      <c r="E64" s="2"/>
      <c r="F64" s="7">
        <f t="shared" si="44"/>
        <v>0</v>
      </c>
      <c r="G64" s="2"/>
      <c r="H64" s="6">
        <v>55.13</v>
      </c>
      <c r="I64" s="2"/>
      <c r="J64" s="7">
        <f t="shared" si="45"/>
        <v>5.95557356019175E-4</v>
      </c>
      <c r="K64" s="2"/>
      <c r="L64" s="6">
        <f t="shared" si="46"/>
        <v>-55.13</v>
      </c>
      <c r="M64" s="2"/>
      <c r="N64" s="7">
        <f t="shared" si="47"/>
        <v>-1</v>
      </c>
      <c r="O64" s="11"/>
      <c r="P64" s="6">
        <v>618.12</v>
      </c>
      <c r="Q64" s="2"/>
      <c r="R64" s="7">
        <f t="shared" si="48"/>
        <v>1.9935843557876576E-3</v>
      </c>
      <c r="S64" s="2"/>
      <c r="T64" s="6">
        <v>1205.47</v>
      </c>
      <c r="U64" s="2"/>
      <c r="V64" s="7">
        <f t="shared" si="49"/>
        <v>2.5227728556613846E-3</v>
      </c>
      <c r="W64" s="2"/>
      <c r="X64" s="6">
        <f t="shared" si="50"/>
        <v>-587.35</v>
      </c>
      <c r="Y64" s="2"/>
      <c r="Z64" s="7">
        <f t="shared" si="51"/>
        <v>-0.48723734311098577</v>
      </c>
    </row>
    <row r="65" spans="1:26" s="24" customFormat="1" hidden="1" outlineLevel="2" x14ac:dyDescent="0.25">
      <c r="A65" s="26"/>
      <c r="B65" s="11" t="str">
        <f>CONCATENATE("          ", "6243", " - ", "PAPER SUPPLIES")</f>
        <v xml:space="preserve">          6243 - PAPER SUPPLIES</v>
      </c>
      <c r="C65" s="11"/>
      <c r="D65" s="6">
        <v>628.16999999999996</v>
      </c>
      <c r="E65" s="2"/>
      <c r="F65" s="7">
        <f t="shared" si="44"/>
        <v>3.2268222245281024E-2</v>
      </c>
      <c r="G65" s="2"/>
      <c r="H65" s="6">
        <v>699.52</v>
      </c>
      <c r="I65" s="2"/>
      <c r="J65" s="7">
        <f t="shared" si="45"/>
        <v>7.5567618661805409E-3</v>
      </c>
      <c r="K65" s="2"/>
      <c r="L65" s="6">
        <f t="shared" si="46"/>
        <v>-71.350000000000023</v>
      </c>
      <c r="M65" s="2"/>
      <c r="N65" s="7">
        <f t="shared" si="47"/>
        <v>-0.10199851326623974</v>
      </c>
      <c r="O65" s="11"/>
      <c r="P65" s="6">
        <v>3208.69</v>
      </c>
      <c r="Q65" s="2"/>
      <c r="R65" s="7">
        <f t="shared" si="48"/>
        <v>1.0348790180826215E-2</v>
      </c>
      <c r="S65" s="2"/>
      <c r="T65" s="6">
        <v>3975.92</v>
      </c>
      <c r="U65" s="2"/>
      <c r="V65" s="7">
        <f t="shared" si="49"/>
        <v>8.3206907283310347E-3</v>
      </c>
      <c r="W65" s="2"/>
      <c r="X65" s="6">
        <f t="shared" si="50"/>
        <v>-767.23</v>
      </c>
      <c r="Y65" s="2"/>
      <c r="Z65" s="7">
        <f t="shared" si="51"/>
        <v>-0.19296917443006903</v>
      </c>
    </row>
    <row r="66" spans="1:26" s="24" customFormat="1" hidden="1" outlineLevel="2" x14ac:dyDescent="0.25">
      <c r="A66" s="26"/>
      <c r="B66" s="11" t="str">
        <f>CONCATENATE("          ", "6247", " - ", "STORE SUPPLIES")</f>
        <v xml:space="preserve">          6247 - STORE SUPPLIES</v>
      </c>
      <c r="C66" s="11"/>
      <c r="D66" s="6"/>
      <c r="E66" s="2"/>
      <c r="F66" s="7">
        <f t="shared" si="44"/>
        <v>0</v>
      </c>
      <c r="G66" s="2"/>
      <c r="H66" s="6">
        <v>68.77</v>
      </c>
      <c r="I66" s="2"/>
      <c r="J66" s="7">
        <f t="shared" si="45"/>
        <v>7.4290729862939704E-4</v>
      </c>
      <c r="K66" s="2"/>
      <c r="L66" s="6">
        <f t="shared" si="46"/>
        <v>-68.77</v>
      </c>
      <c r="M66" s="2"/>
      <c r="N66" s="7">
        <f t="shared" si="47"/>
        <v>-1</v>
      </c>
      <c r="O66" s="11"/>
      <c r="P66" s="6">
        <v>366.09</v>
      </c>
      <c r="Q66" s="2"/>
      <c r="R66" s="7">
        <f t="shared" si="48"/>
        <v>1.1807275234748974E-3</v>
      </c>
      <c r="S66" s="2"/>
      <c r="T66" s="6">
        <v>963.89</v>
      </c>
      <c r="U66" s="2"/>
      <c r="V66" s="7">
        <f t="shared" si="49"/>
        <v>2.017201197743164E-3</v>
      </c>
      <c r="W66" s="2"/>
      <c r="X66" s="6">
        <f t="shared" si="50"/>
        <v>-597.79999999999995</v>
      </c>
      <c r="Y66" s="2"/>
      <c r="Z66" s="7">
        <f t="shared" si="51"/>
        <v>-0.62019525049538848</v>
      </c>
    </row>
    <row r="67" spans="1:26" s="24" customFormat="1" hidden="1" outlineLevel="2" x14ac:dyDescent="0.25">
      <c r="A67" s="26"/>
      <c r="B67" s="11" t="str">
        <f>CONCATENATE("          ", "6248", " - ", "UNIFORMS")</f>
        <v xml:space="preserve">          6248 - UNIFORMS</v>
      </c>
      <c r="C67" s="11"/>
      <c r="D67" s="6">
        <v>168.95</v>
      </c>
      <c r="E67" s="2"/>
      <c r="F67" s="7">
        <f t="shared" si="44"/>
        <v>8.6787273323148638E-3</v>
      </c>
      <c r="G67" s="2"/>
      <c r="H67" s="6">
        <v>181.93</v>
      </c>
      <c r="I67" s="2"/>
      <c r="J67" s="7">
        <f t="shared" si="45"/>
        <v>1.9653500776449936E-3</v>
      </c>
      <c r="K67" s="2"/>
      <c r="L67" s="6">
        <f t="shared" si="46"/>
        <v>-12.980000000000018</v>
      </c>
      <c r="M67" s="2"/>
      <c r="N67" s="7">
        <f t="shared" si="47"/>
        <v>-7.1346122134887141E-2</v>
      </c>
      <c r="O67" s="11"/>
      <c r="P67" s="6">
        <v>604.57000000000005</v>
      </c>
      <c r="Q67" s="2"/>
      <c r="R67" s="7">
        <f t="shared" si="48"/>
        <v>1.9498823755557892E-3</v>
      </c>
      <c r="S67" s="2"/>
      <c r="T67" s="6">
        <v>773.35</v>
      </c>
      <c r="U67" s="2"/>
      <c r="V67" s="7">
        <f t="shared" si="49"/>
        <v>1.6184445800606665E-3</v>
      </c>
      <c r="W67" s="2"/>
      <c r="X67" s="6">
        <f t="shared" si="50"/>
        <v>-168.77999999999997</v>
      </c>
      <c r="Y67" s="2"/>
      <c r="Z67" s="7">
        <f t="shared" si="51"/>
        <v>-0.21824529643757673</v>
      </c>
    </row>
    <row r="68" spans="1:26" s="25" customFormat="1" outlineLevel="1" collapsed="1" x14ac:dyDescent="0.25">
      <c r="A68" s="27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SUM(OSRRefD22_12x_0)</f>
        <v>192.28</v>
      </c>
      <c r="E68" s="1"/>
      <c r="F68" s="5">
        <f t="shared" ref="F68:F71" si="52">IF(D$12=0,0,D68/D$12)</f>
        <v>9.8771570965226537E-3</v>
      </c>
      <c r="G68" s="1"/>
      <c r="H68" s="1">
        <f>SUM(OSRRefH22_12x_0)</f>
        <v>191.78</v>
      </c>
      <c r="I68" s="1"/>
      <c r="J68" s="5">
        <f t="shared" ref="J68:J71" si="53">IF(H$12=0,0,H68/H$12)</f>
        <v>2.0717574775504692E-3</v>
      </c>
      <c r="K68" s="1"/>
      <c r="L68" s="1">
        <f t="shared" ref="L68:L71" si="54">+D68-H68</f>
        <v>0.5</v>
      </c>
      <c r="M68" s="1"/>
      <c r="N68" s="5">
        <f t="shared" ref="N68:N71" si="55">IF(H68=0,0,L68/H68)</f>
        <v>2.6071540306601315E-3</v>
      </c>
      <c r="O68" s="13"/>
      <c r="P68" s="1">
        <f>SUM(OSRRefP22_12x_0)</f>
        <v>956.31</v>
      </c>
      <c r="Q68" s="1"/>
      <c r="R68" s="5">
        <f t="shared" ref="R68:R71" si="56">IF(P$12=0,0,P68/P$12)</f>
        <v>3.084327728084021E-3</v>
      </c>
      <c r="S68" s="1"/>
      <c r="T68" s="1">
        <f>SUM(OSRRefT22_12x_0)</f>
        <v>1058.47</v>
      </c>
      <c r="U68" s="1"/>
      <c r="V68" s="5">
        <f t="shared" ref="V68:V71" si="57">IF(T$12=0,0,T68/T$12)</f>
        <v>2.2151354944809124E-3</v>
      </c>
      <c r="W68" s="1"/>
      <c r="X68" s="1">
        <f t="shared" ref="X68:X71" si="58">+P68-T68</f>
        <v>-102.16000000000008</v>
      </c>
      <c r="Y68" s="1"/>
      <c r="Z68" s="5">
        <f t="shared" ref="Z68:Z71" si="59">IF(T68=0,0,X68/T68)</f>
        <v>-9.6516670288246315E-2</v>
      </c>
    </row>
    <row r="69" spans="1:26" s="24" customFormat="1" hidden="1" outlineLevel="2" x14ac:dyDescent="0.25">
      <c r="A69" s="26"/>
      <c r="B69" s="11" t="str">
        <f>CONCATENATE("          ", "6309", " - ", "TELEPHONE")</f>
        <v xml:space="preserve">          6309 - TELEPHONE</v>
      </c>
      <c r="C69" s="11"/>
      <c r="D69" s="6">
        <v>192.28</v>
      </c>
      <c r="E69" s="2"/>
      <c r="F69" s="7">
        <f t="shared" si="52"/>
        <v>9.8771570965226537E-3</v>
      </c>
      <c r="G69" s="2"/>
      <c r="H69" s="6">
        <v>191.78</v>
      </c>
      <c r="I69" s="2"/>
      <c r="J69" s="7">
        <f t="shared" si="53"/>
        <v>2.0717574775504692E-3</v>
      </c>
      <c r="K69" s="2"/>
      <c r="L69" s="6">
        <f t="shared" si="54"/>
        <v>0.5</v>
      </c>
      <c r="M69" s="2"/>
      <c r="N69" s="7">
        <f t="shared" si="55"/>
        <v>2.6071540306601315E-3</v>
      </c>
      <c r="O69" s="11"/>
      <c r="P69" s="6">
        <v>956.31</v>
      </c>
      <c r="Q69" s="2"/>
      <c r="R69" s="7">
        <f t="shared" si="56"/>
        <v>3.084327728084021E-3</v>
      </c>
      <c r="S69" s="2"/>
      <c r="T69" s="6">
        <v>1058.47</v>
      </c>
      <c r="U69" s="2"/>
      <c r="V69" s="7">
        <f t="shared" si="57"/>
        <v>2.2151354944809124E-3</v>
      </c>
      <c r="W69" s="2"/>
      <c r="X69" s="6">
        <f t="shared" si="58"/>
        <v>-102.16000000000008</v>
      </c>
      <c r="Y69" s="2"/>
      <c r="Z69" s="7">
        <f t="shared" si="59"/>
        <v>-9.6516670288246315E-2</v>
      </c>
    </row>
    <row r="70" spans="1:26" s="25" customFormat="1" outlineLevel="1" collapsed="1" x14ac:dyDescent="0.25">
      <c r="A70" s="27"/>
      <c r="B70" s="13" t="str">
        <f>CONCATENATE("     ","Training                                          ")</f>
        <v xml:space="preserve">     Training                                          </v>
      </c>
      <c r="C70" s="13"/>
      <c r="D70" s="1">
        <f>SUM(OSRRefD22_13x_0)</f>
        <v>0</v>
      </c>
      <c r="E70" s="1"/>
      <c r="F70" s="5">
        <f t="shared" si="52"/>
        <v>0</v>
      </c>
      <c r="G70" s="1"/>
      <c r="H70" s="1">
        <f>SUM(OSRRefH22_13x_0)</f>
        <v>0</v>
      </c>
      <c r="I70" s="1"/>
      <c r="J70" s="5">
        <f t="shared" si="53"/>
        <v>0</v>
      </c>
      <c r="K70" s="1"/>
      <c r="L70" s="1">
        <f t="shared" si="54"/>
        <v>0</v>
      </c>
      <c r="M70" s="1"/>
      <c r="N70" s="5">
        <f t="shared" si="55"/>
        <v>0</v>
      </c>
      <c r="O70" s="13"/>
      <c r="P70" s="1">
        <f>SUM(OSRRefP22_13x_0)</f>
        <v>175</v>
      </c>
      <c r="Q70" s="1"/>
      <c r="R70" s="5">
        <f t="shared" si="56"/>
        <v>5.6441671886177456E-4</v>
      </c>
      <c r="S70" s="1"/>
      <c r="T70" s="1">
        <f>SUM(OSRRefT22_13x_0)</f>
        <v>112.5</v>
      </c>
      <c r="U70" s="1"/>
      <c r="V70" s="5">
        <f t="shared" si="57"/>
        <v>2.354367560054632E-4</v>
      </c>
      <c r="W70" s="1"/>
      <c r="X70" s="1">
        <f t="shared" si="58"/>
        <v>62.5</v>
      </c>
      <c r="Y70" s="1"/>
      <c r="Z70" s="5">
        <f t="shared" si="59"/>
        <v>0.55555555555555558</v>
      </c>
    </row>
    <row r="71" spans="1:26" s="24" customFormat="1" hidden="1" outlineLevel="2" x14ac:dyDescent="0.25">
      <c r="A71" s="26"/>
      <c r="B71" s="11" t="str">
        <f>CONCATENATE("          ", "6376", " - ", "TRAINING")</f>
        <v xml:space="preserve">          6376 - TRAINING</v>
      </c>
      <c r="C71" s="11"/>
      <c r="D71" s="6"/>
      <c r="E71" s="2"/>
      <c r="F71" s="7">
        <f t="shared" si="52"/>
        <v>0</v>
      </c>
      <c r="G71" s="2"/>
      <c r="H71" s="6"/>
      <c r="I71" s="2"/>
      <c r="J71" s="7">
        <f t="shared" si="53"/>
        <v>0</v>
      </c>
      <c r="K71" s="2"/>
      <c r="L71" s="6">
        <f t="shared" si="54"/>
        <v>0</v>
      </c>
      <c r="M71" s="2"/>
      <c r="N71" s="7">
        <f t="shared" si="55"/>
        <v>0</v>
      </c>
      <c r="O71" s="11"/>
      <c r="P71" s="6">
        <v>175</v>
      </c>
      <c r="Q71" s="2"/>
      <c r="R71" s="7">
        <f t="shared" si="56"/>
        <v>5.6441671886177456E-4</v>
      </c>
      <c r="S71" s="2"/>
      <c r="T71" s="6">
        <v>112.5</v>
      </c>
      <c r="U71" s="2"/>
      <c r="V71" s="7">
        <f t="shared" si="57"/>
        <v>2.354367560054632E-4</v>
      </c>
      <c r="W71" s="2"/>
      <c r="X71" s="6">
        <f t="shared" si="58"/>
        <v>62.5</v>
      </c>
      <c r="Y71" s="2"/>
      <c r="Z71" s="7">
        <f t="shared" si="59"/>
        <v>0.55555555555555558</v>
      </c>
    </row>
    <row r="72" spans="1:26" s="53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x14ac:dyDescent="0.25">
      <c r="A73" s="10"/>
      <c r="B73" s="28" t="s">
        <v>0</v>
      </c>
      <c r="C73" s="10"/>
      <c r="D73" s="4">
        <f>SUM(0)</f>
        <v>0</v>
      </c>
      <c r="E73" s="4"/>
      <c r="F73" s="12">
        <f>IF(D$12=0,0,D73/D$12)</f>
        <v>0</v>
      </c>
      <c r="G73" s="4"/>
      <c r="H73" s="4">
        <f>SUM(0)</f>
        <v>0</v>
      </c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>
        <f>SUM(0)</f>
        <v>0</v>
      </c>
      <c r="Q73" s="4"/>
      <c r="R73" s="12">
        <f>IF(P$12=0,0,P73/P$12)</f>
        <v>0</v>
      </c>
      <c r="S73" s="4"/>
      <c r="T73" s="4">
        <f>SUM(0)</f>
        <v>0</v>
      </c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9" t="s">
        <v>3</v>
      </c>
      <c r="C75" s="29"/>
      <c r="D75" s="21">
        <f>+D20-D22+D73</f>
        <v>-31416.450000000004</v>
      </c>
      <c r="E75" s="14"/>
      <c r="F75" s="20">
        <f>IF(D$12=0,0,D75/D$12)</f>
        <v>-1.613819492745211</v>
      </c>
      <c r="G75" s="14"/>
      <c r="H75" s="21">
        <f>+H20-H22+H73</f>
        <v>8132.0000000000146</v>
      </c>
      <c r="I75" s="14"/>
      <c r="J75" s="20">
        <f>IF(H$12=0,0,H75/H$12)</f>
        <v>8.7848220916886252E-2</v>
      </c>
      <c r="K75" s="15"/>
      <c r="L75" s="21">
        <f>+D75-H75</f>
        <v>-39548.450000000019</v>
      </c>
      <c r="M75" s="15"/>
      <c r="N75" s="20">
        <f>IF(H75=0,0,L75/H75)</f>
        <v>-4.8633116084603971</v>
      </c>
      <c r="O75" s="28"/>
      <c r="P75" s="21">
        <f>+P20-P22+P73</f>
        <v>-36511.209999999963</v>
      </c>
      <c r="Q75" s="14"/>
      <c r="R75" s="20">
        <f>IF(P$12=0,0,P75/P$12)</f>
        <v>-0.11775735628498968</v>
      </c>
      <c r="S75" s="14"/>
      <c r="T75" s="21">
        <f>+T20-T22+T73</f>
        <v>32130.70000000007</v>
      </c>
      <c r="U75" s="14"/>
      <c r="V75" s="20">
        <f>IF(T$12=0,0,T75/T$12)</f>
        <v>6.7242202454975586E-2</v>
      </c>
      <c r="W75" s="15"/>
      <c r="X75" s="21">
        <f>+P75-T75</f>
        <v>-68641.910000000033</v>
      </c>
      <c r="Y75" s="15"/>
      <c r="Z75" s="20">
        <f>IF(T75=0,0,X75/T75)</f>
        <v>-2.1363340979188092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1"/>
      <c r="B77" s="10" t="s">
        <v>13</v>
      </c>
      <c r="C77" s="10"/>
      <c r="D77" s="4">
        <v>3581.4</v>
      </c>
      <c r="E77" s="4"/>
      <c r="F77" s="12">
        <f>IF(D$12=0,0,D77/D$12)</f>
        <v>0.18397155411632116</v>
      </c>
      <c r="G77" s="4"/>
      <c r="H77" s="4">
        <v>14896.18</v>
      </c>
      <c r="I77" s="4"/>
      <c r="J77" s="12">
        <f>IF(H$12=0,0,H77/H$12)</f>
        <v>0.16092018094659374</v>
      </c>
      <c r="K77" s="4"/>
      <c r="L77" s="4">
        <f>+D77-H77</f>
        <v>-11314.78</v>
      </c>
      <c r="M77" s="4"/>
      <c r="N77" s="12">
        <f>IF(H77=0,0,L77/H77)</f>
        <v>-0.75957594497381209</v>
      </c>
      <c r="O77" s="10"/>
      <c r="P77" s="4">
        <v>32832.68</v>
      </c>
      <c r="Q77" s="4"/>
      <c r="R77" s="12">
        <f>IF(P$12=0,0,P77/P$12)</f>
        <v>0.10589322009736349</v>
      </c>
      <c r="S77" s="4"/>
      <c r="T77" s="4">
        <v>50278.979999999996</v>
      </c>
      <c r="U77" s="4"/>
      <c r="V77" s="12">
        <f>IF(T$12=0,0,T77/T$12)</f>
        <v>0.10522239952412056</v>
      </c>
      <c r="W77" s="4"/>
      <c r="X77" s="4">
        <f>+P77-T77</f>
        <v>-17446.299999999996</v>
      </c>
      <c r="Y77" s="4"/>
      <c r="Z77" s="12">
        <f>IF(T77=0,0,X77/T77)</f>
        <v>-0.34698993495890323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9" t="s">
        <v>4</v>
      </c>
      <c r="C79" s="29"/>
      <c r="D79" s="31">
        <f>+D75-D77</f>
        <v>-34997.850000000006</v>
      </c>
      <c r="E79" s="14"/>
      <c r="F79" s="32">
        <f>IF(D$12=0,0,D79/D$12)</f>
        <v>-1.7977910468615321</v>
      </c>
      <c r="G79" s="14"/>
      <c r="H79" s="31">
        <f>+H75-H77</f>
        <v>-6764.1799999999857</v>
      </c>
      <c r="I79" s="14"/>
      <c r="J79" s="32">
        <f>IF(H$12=0,0,H79/H$12)</f>
        <v>-7.3071960029707492E-2</v>
      </c>
      <c r="K79" s="15"/>
      <c r="L79" s="31">
        <f>D79-H79</f>
        <v>-28233.67000000002</v>
      </c>
      <c r="M79" s="15"/>
      <c r="N79" s="32">
        <f>IF(H79=0,0,L79/H79)</f>
        <v>4.1739974394531307</v>
      </c>
      <c r="O79" s="28"/>
      <c r="P79" s="31">
        <f>+P75-P77</f>
        <v>-69343.889999999956</v>
      </c>
      <c r="Q79" s="14"/>
      <c r="R79" s="32">
        <f>IF(P$12=0,0,P79/P$12)</f>
        <v>-0.22365057638235314</v>
      </c>
      <c r="S79" s="14"/>
      <c r="T79" s="31">
        <f>+T75-T77</f>
        <v>-18148.279999999926</v>
      </c>
      <c r="U79" s="14"/>
      <c r="V79" s="32">
        <f>IF(T$12=0,0,T79/T$12)</f>
        <v>-3.7980197069144982E-2</v>
      </c>
      <c r="W79" s="15"/>
      <c r="X79" s="31">
        <f>P79-T79</f>
        <v>-51195.61000000003</v>
      </c>
      <c r="Y79" s="15"/>
      <c r="Z79" s="32">
        <f>IF(T79=0,0,X79/T79)</f>
        <v>2.8209620966835556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5</v>
      </c>
      <c r="C82" s="29"/>
      <c r="D82" s="34">
        <f>SUM(D79:D81)</f>
        <v>-34997.850000000006</v>
      </c>
      <c r="E82" s="14"/>
      <c r="F82" s="30">
        <f>IF(D$12=0,0,D82/D$12)</f>
        <v>-1.7977910468615321</v>
      </c>
      <c r="G82" s="14"/>
      <c r="H82" s="34">
        <f>SUM(H79:H81)</f>
        <v>-6764.1799999999857</v>
      </c>
      <c r="I82" s="14"/>
      <c r="J82" s="30">
        <f>IF(H$12=0,0,H82/H$12)</f>
        <v>-7.3071960029707492E-2</v>
      </c>
      <c r="K82" s="15"/>
      <c r="L82" s="34">
        <f>+D82-H82</f>
        <v>-28233.67000000002</v>
      </c>
      <c r="M82" s="15"/>
      <c r="N82" s="30">
        <f>IF(H82=0,0,L82/H82)</f>
        <v>4.1739974394531307</v>
      </c>
      <c r="O82" s="28"/>
      <c r="P82" s="34">
        <f>SUM(P79:P81)</f>
        <v>-69343.889999999956</v>
      </c>
      <c r="Q82" s="14"/>
      <c r="R82" s="30">
        <f>IF(P$12=0,0,P82/P$12)</f>
        <v>-0.22365057638235314</v>
      </c>
      <c r="S82" s="14"/>
      <c r="T82" s="34">
        <f>SUM(T79:T81)</f>
        <v>-18148.279999999926</v>
      </c>
      <c r="U82" s="14"/>
      <c r="V82" s="30">
        <f>IF(T$12=0,0,T82/T$12)</f>
        <v>-3.7980197069144982E-2</v>
      </c>
      <c r="W82" s="15"/>
      <c r="X82" s="34">
        <f>+P82-T82</f>
        <v>-51195.61000000003</v>
      </c>
      <c r="Y82" s="15"/>
      <c r="Z82" s="30">
        <f>IF(T82=0,0,X82/T82)</f>
        <v>2.8209620966835556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9">
        <v>43815.492079282405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62" t="s">
        <v>313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61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","420", " - ", "Catering")</f>
        <v>Department 420 - Catering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48537.78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48537.78</v>
      </c>
      <c r="M12" s="4"/>
      <c r="N12" s="12">
        <f t="shared" ref="N12:N14" si="1">IF(H12=0,0,L12/H12)</f>
        <v>0</v>
      </c>
      <c r="O12" s="10"/>
      <c r="P12" s="4">
        <f>SUM(OSRRefP13x_0)</f>
        <v>58608.259999999995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58608.259999999995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--48404.79</f>
        <v>48404.79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48404.79</v>
      </c>
      <c r="M13" s="2"/>
      <c r="N13" s="19">
        <f t="shared" si="1"/>
        <v>0</v>
      </c>
      <c r="O13" s="11"/>
      <c r="P13" s="2">
        <f>--58475.52</f>
        <v>58475.519999999997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58475.519999999997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--132.99</f>
        <v>132.99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132.99</v>
      </c>
      <c r="M14" s="2"/>
      <c r="N14" s="19">
        <f t="shared" si="1"/>
        <v>0</v>
      </c>
      <c r="O14" s="11"/>
      <c r="P14" s="2">
        <f>--132.74</f>
        <v>132.74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132.74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8</v>
      </c>
      <c r="C16" s="10"/>
      <c r="D16" s="4">
        <f>SUM(0)</f>
        <v>0</v>
      </c>
      <c r="E16" s="4"/>
      <c r="F16" s="12">
        <f>IF(D$12=0,0,D16/D$12)</f>
        <v>0</v>
      </c>
      <c r="G16" s="4"/>
      <c r="H16" s="4">
        <f>SUM(0)</f>
        <v>0</v>
      </c>
      <c r="I16" s="4"/>
      <c r="J16" s="12">
        <f>IF(H$12=0,0,H16/H$12)</f>
        <v>0</v>
      </c>
      <c r="K16" s="4"/>
      <c r="L16" s="4">
        <f>+D16-H16</f>
        <v>0</v>
      </c>
      <c r="M16" s="4"/>
      <c r="N16" s="12">
        <f>IF(H16=0,0,L16/H16)</f>
        <v>0</v>
      </c>
      <c r="O16" s="10"/>
      <c r="P16" s="4">
        <f>SUM(0)</f>
        <v>0</v>
      </c>
      <c r="Q16" s="4"/>
      <c r="R16" s="12">
        <f>IF(P$12=0,0,P16/P$12)</f>
        <v>0</v>
      </c>
      <c r="S16" s="4"/>
      <c r="T16" s="4">
        <f>SUM(0)</f>
        <v>0</v>
      </c>
      <c r="U16" s="4"/>
      <c r="V16" s="12">
        <f>IF(T$12=0,0,T16/T$12)</f>
        <v>0</v>
      </c>
      <c r="W16" s="4"/>
      <c r="X16" s="4">
        <f>+P16-T16</f>
        <v>0</v>
      </c>
      <c r="Y16" s="4"/>
      <c r="Z16" s="12">
        <f>IF(T16=0,0,X16/T16)</f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>
        <f>D12-D16</f>
        <v>48537.78</v>
      </c>
      <c r="E18" s="14"/>
      <c r="F18" s="20">
        <f>IF(D$12=0,0,D18/D$12)</f>
        <v>1</v>
      </c>
      <c r="G18" s="14"/>
      <c r="H18" s="21">
        <f>H12-H16</f>
        <v>0</v>
      </c>
      <c r="I18" s="14"/>
      <c r="J18" s="20">
        <f>IF(H$12=0,0,H18/H$12)</f>
        <v>0</v>
      </c>
      <c r="K18" s="15"/>
      <c r="L18" s="21">
        <f>+D18-H18</f>
        <v>48537.78</v>
      </c>
      <c r="M18" s="15"/>
      <c r="N18" s="20">
        <f>IF(H18=0,0,L18/H18)</f>
        <v>0</v>
      </c>
      <c r="O18" s="28"/>
      <c r="P18" s="21">
        <f>P12-P16</f>
        <v>58608.259999999995</v>
      </c>
      <c r="Q18" s="14"/>
      <c r="R18" s="20">
        <f>IF(P$12=0,0,P18/P$12)</f>
        <v>1</v>
      </c>
      <c r="S18" s="14"/>
      <c r="T18" s="21">
        <f>T12-T16</f>
        <v>0</v>
      </c>
      <c r="U18" s="14"/>
      <c r="V18" s="20">
        <f>IF(T$12=0,0,T18/T$12)</f>
        <v>0</v>
      </c>
      <c r="W18" s="15"/>
      <c r="X18" s="21">
        <f>+P18-T18</f>
        <v>58608.259999999995</v>
      </c>
      <c r="Y18" s="15"/>
      <c r="Z18" s="20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>
        <f>SUM(OSRRefD22x_0)</f>
        <v>30666.220000000005</v>
      </c>
      <c r="E20" s="22"/>
      <c r="F20" s="33">
        <f t="shared" ref="F20:F28" si="6">IF(D$12=0,0,D20/D$12)</f>
        <v>0.63180104240449408</v>
      </c>
      <c r="G20" s="22"/>
      <c r="H20" s="22">
        <f>SUM(OSRRefH22x_0)</f>
        <v>0</v>
      </c>
      <c r="I20" s="22"/>
      <c r="J20" s="33">
        <f t="shared" ref="J20:J28" si="7">IF(H$12=0,0,H20/H$12)</f>
        <v>0</v>
      </c>
      <c r="K20" s="4"/>
      <c r="L20" s="22">
        <f t="shared" ref="L20:L28" si="8">+D20-H20</f>
        <v>30666.220000000005</v>
      </c>
      <c r="M20" s="4"/>
      <c r="N20" s="33">
        <f t="shared" ref="N20:N28" si="9">IF(H20=0,0,L20/H20)</f>
        <v>0</v>
      </c>
      <c r="O20" s="10"/>
      <c r="P20" s="22">
        <f>SUM(OSRRefP22x_0)</f>
        <v>80268.94</v>
      </c>
      <c r="Q20" s="22"/>
      <c r="R20" s="33">
        <f t="shared" ref="R20:R28" si="10">IF(P$12=0,0,P20/P$12)</f>
        <v>1.3695840825166967</v>
      </c>
      <c r="S20" s="22"/>
      <c r="T20" s="22">
        <f>SUM(OSRRefT22x_0)</f>
        <v>0</v>
      </c>
      <c r="U20" s="22"/>
      <c r="V20" s="33">
        <f t="shared" ref="V20:V28" si="11">IF(T$12=0,0,T20/T$12)</f>
        <v>0</v>
      </c>
      <c r="W20" s="4"/>
      <c r="X20" s="22">
        <f t="shared" ref="X20:X28" si="12">+P20-T20</f>
        <v>80268.94</v>
      </c>
      <c r="Y20" s="4"/>
      <c r="Z20" s="33">
        <f t="shared" ref="Z20:Z28" si="13">IF(T20=0,0,X20/T20)</f>
        <v>0</v>
      </c>
    </row>
    <row r="21" spans="1:26" s="25" customFormat="1" outlineLevel="1" collapsed="1" x14ac:dyDescent="0.25">
      <c r="A21" s="27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6287.56</v>
      </c>
      <c r="E21" s="1"/>
      <c r="F21" s="5">
        <f t="shared" si="6"/>
        <v>0.12953950510303522</v>
      </c>
      <c r="G21" s="1"/>
      <c r="H21" s="1">
        <f>SUM(OSRRefH22_0x_0)</f>
        <v>0</v>
      </c>
      <c r="I21" s="1"/>
      <c r="J21" s="5">
        <f t="shared" si="7"/>
        <v>0</v>
      </c>
      <c r="K21" s="1"/>
      <c r="L21" s="1">
        <f t="shared" si="8"/>
        <v>6287.56</v>
      </c>
      <c r="M21" s="1"/>
      <c r="N21" s="5">
        <f t="shared" si="9"/>
        <v>0</v>
      </c>
      <c r="O21" s="13"/>
      <c r="P21" s="1">
        <f>SUM(OSRRefP22_0x_0)</f>
        <v>15057.520000000002</v>
      </c>
      <c r="Q21" s="1"/>
      <c r="R21" s="5">
        <f t="shared" si="10"/>
        <v>0.2569180521653433</v>
      </c>
      <c r="S21" s="1"/>
      <c r="T21" s="1">
        <f>SUM(OSRRefT22_0x_0)</f>
        <v>0</v>
      </c>
      <c r="U21" s="1"/>
      <c r="V21" s="5">
        <f t="shared" si="11"/>
        <v>0</v>
      </c>
      <c r="W21" s="1"/>
      <c r="X21" s="1">
        <f t="shared" si="12"/>
        <v>15057.520000000002</v>
      </c>
      <c r="Y21" s="1"/>
      <c r="Z21" s="5">
        <f t="shared" si="13"/>
        <v>0</v>
      </c>
    </row>
    <row r="22" spans="1:26" s="24" customFormat="1" hidden="1" outlineLevel="2" x14ac:dyDescent="0.25">
      <c r="A22" s="26"/>
      <c r="B22" s="11" t="str">
        <f>CONCATENATE("          ", "6111", " - ", "F.I.C.A.")</f>
        <v xml:space="preserve">          6111 - F.I.C.A.</v>
      </c>
      <c r="C22" s="11"/>
      <c r="D22" s="6">
        <v>1678</v>
      </c>
      <c r="E22" s="2"/>
      <c r="F22" s="7">
        <f t="shared" si="6"/>
        <v>3.4571008397994304E-2</v>
      </c>
      <c r="G22" s="2"/>
      <c r="H22" s="6"/>
      <c r="I22" s="2"/>
      <c r="J22" s="7">
        <f t="shared" si="7"/>
        <v>0</v>
      </c>
      <c r="K22" s="2"/>
      <c r="L22" s="6">
        <f t="shared" si="8"/>
        <v>1678</v>
      </c>
      <c r="M22" s="2"/>
      <c r="N22" s="7">
        <f t="shared" si="9"/>
        <v>0</v>
      </c>
      <c r="O22" s="11"/>
      <c r="P22" s="6">
        <v>5016.8500000000004</v>
      </c>
      <c r="Q22" s="2"/>
      <c r="R22" s="7">
        <f t="shared" si="10"/>
        <v>8.5599708983000025E-2</v>
      </c>
      <c r="S22" s="2"/>
      <c r="T22" s="6"/>
      <c r="U22" s="2"/>
      <c r="V22" s="7">
        <f t="shared" si="11"/>
        <v>0</v>
      </c>
      <c r="W22" s="2"/>
      <c r="X22" s="6">
        <f t="shared" si="12"/>
        <v>5016.8500000000004</v>
      </c>
      <c r="Y22" s="2"/>
      <c r="Z22" s="7">
        <f t="shared" si="13"/>
        <v>0</v>
      </c>
    </row>
    <row r="23" spans="1:26" s="24" customFormat="1" hidden="1" outlineLevel="2" x14ac:dyDescent="0.25">
      <c r="A23" s="26"/>
      <c r="B23" s="11" t="str">
        <f>CONCATENATE("          ", "6112", " - ", "COMPENSATION INSURANCE")</f>
        <v xml:space="preserve">          6112 - COMPENSATION INSURANCE</v>
      </c>
      <c r="C23" s="11"/>
      <c r="D23" s="6">
        <v>1054.42</v>
      </c>
      <c r="E23" s="2"/>
      <c r="F23" s="7">
        <f t="shared" si="6"/>
        <v>2.1723696469018568E-2</v>
      </c>
      <c r="G23" s="2"/>
      <c r="H23" s="6"/>
      <c r="I23" s="2"/>
      <c r="J23" s="7">
        <f t="shared" si="7"/>
        <v>0</v>
      </c>
      <c r="K23" s="2"/>
      <c r="L23" s="6">
        <f t="shared" si="8"/>
        <v>1054.42</v>
      </c>
      <c r="M23" s="2"/>
      <c r="N23" s="7">
        <f t="shared" si="9"/>
        <v>0</v>
      </c>
      <c r="O23" s="11"/>
      <c r="P23" s="6">
        <v>2597.27</v>
      </c>
      <c r="Q23" s="2"/>
      <c r="R23" s="7">
        <f t="shared" si="10"/>
        <v>4.4315767094945321E-2</v>
      </c>
      <c r="S23" s="2"/>
      <c r="T23" s="6"/>
      <c r="U23" s="2"/>
      <c r="V23" s="7">
        <f t="shared" si="11"/>
        <v>0</v>
      </c>
      <c r="W23" s="2"/>
      <c r="X23" s="6">
        <f t="shared" si="12"/>
        <v>2597.27</v>
      </c>
      <c r="Y23" s="2"/>
      <c r="Z23" s="7">
        <f t="shared" si="13"/>
        <v>0</v>
      </c>
    </row>
    <row r="24" spans="1:26" s="24" customFormat="1" hidden="1" outlineLevel="2" x14ac:dyDescent="0.25">
      <c r="A24" s="26"/>
      <c r="B24" s="11" t="str">
        <f>CONCATENATE("          ", "6113", " - ", "GROUP INSURANCE")</f>
        <v xml:space="preserve">          6113 - GROUP INSURANCE</v>
      </c>
      <c r="C24" s="11"/>
      <c r="D24" s="6">
        <v>134.30000000000001</v>
      </c>
      <c r="E24" s="2"/>
      <c r="F24" s="7">
        <f t="shared" si="6"/>
        <v>2.7669168223186146E-3</v>
      </c>
      <c r="G24" s="2"/>
      <c r="H24" s="6"/>
      <c r="I24" s="2"/>
      <c r="J24" s="7">
        <f t="shared" si="7"/>
        <v>0</v>
      </c>
      <c r="K24" s="2"/>
      <c r="L24" s="6">
        <f t="shared" si="8"/>
        <v>134.30000000000001</v>
      </c>
      <c r="M24" s="2"/>
      <c r="N24" s="7">
        <f t="shared" si="9"/>
        <v>0</v>
      </c>
      <c r="O24" s="11"/>
      <c r="P24" s="6">
        <v>268.60000000000002</v>
      </c>
      <c r="Q24" s="2"/>
      <c r="R24" s="7">
        <f t="shared" si="10"/>
        <v>4.5829717517633191E-3</v>
      </c>
      <c r="S24" s="2"/>
      <c r="T24" s="6"/>
      <c r="U24" s="2"/>
      <c r="V24" s="7">
        <f t="shared" si="11"/>
        <v>0</v>
      </c>
      <c r="W24" s="2"/>
      <c r="X24" s="6">
        <f t="shared" si="12"/>
        <v>268.60000000000002</v>
      </c>
      <c r="Y24" s="2"/>
      <c r="Z24" s="7">
        <f t="shared" si="13"/>
        <v>0</v>
      </c>
    </row>
    <row r="25" spans="1:26" s="24" customFormat="1" hidden="1" outlineLevel="2" x14ac:dyDescent="0.25">
      <c r="A25" s="26"/>
      <c r="B25" s="11" t="str">
        <f>CONCATENATE("          ", "6114", " - ", "STATE UNEMPLOYMENT INSURANCE")</f>
        <v xml:space="preserve">          6114 - STATE UNEMPLOYMENT INSURANCE</v>
      </c>
      <c r="C25" s="11"/>
      <c r="D25" s="6">
        <v>70.66</v>
      </c>
      <c r="E25" s="2"/>
      <c r="F25" s="7">
        <f t="shared" si="6"/>
        <v>1.4557732141849092E-3</v>
      </c>
      <c r="G25" s="2"/>
      <c r="H25" s="6"/>
      <c r="I25" s="2"/>
      <c r="J25" s="7">
        <f t="shared" si="7"/>
        <v>0</v>
      </c>
      <c r="K25" s="2"/>
      <c r="L25" s="6">
        <f t="shared" si="8"/>
        <v>70.66</v>
      </c>
      <c r="M25" s="2"/>
      <c r="N25" s="7">
        <f t="shared" si="9"/>
        <v>0</v>
      </c>
      <c r="O25" s="11"/>
      <c r="P25" s="6">
        <v>174.05</v>
      </c>
      <c r="Q25" s="2"/>
      <c r="R25" s="7">
        <f t="shared" si="10"/>
        <v>2.9697179203067967E-3</v>
      </c>
      <c r="S25" s="2"/>
      <c r="T25" s="6"/>
      <c r="U25" s="2"/>
      <c r="V25" s="7">
        <f t="shared" si="11"/>
        <v>0</v>
      </c>
      <c r="W25" s="2"/>
      <c r="X25" s="6">
        <f t="shared" si="12"/>
        <v>174.05</v>
      </c>
      <c r="Y25" s="2"/>
      <c r="Z25" s="7">
        <f t="shared" si="13"/>
        <v>0</v>
      </c>
    </row>
    <row r="26" spans="1:26" s="24" customFormat="1" hidden="1" outlineLevel="2" x14ac:dyDescent="0.25">
      <c r="A26" s="26"/>
      <c r="B26" s="11" t="str">
        <f>CONCATENATE("          ", "6115", " - ", "P.E.R.S.")</f>
        <v xml:space="preserve">          6115 - P.E.R.S.</v>
      </c>
      <c r="C26" s="11"/>
      <c r="D26" s="6">
        <v>1491.42</v>
      </c>
      <c r="E26" s="2"/>
      <c r="F26" s="7">
        <f t="shared" si="6"/>
        <v>3.0726992458245929E-2</v>
      </c>
      <c r="G26" s="2"/>
      <c r="H26" s="6"/>
      <c r="I26" s="2"/>
      <c r="J26" s="7">
        <f t="shared" si="7"/>
        <v>0</v>
      </c>
      <c r="K26" s="2"/>
      <c r="L26" s="6">
        <f t="shared" si="8"/>
        <v>1491.42</v>
      </c>
      <c r="M26" s="2"/>
      <c r="N26" s="7">
        <f t="shared" si="9"/>
        <v>0</v>
      </c>
      <c r="O26" s="11"/>
      <c r="P26" s="6">
        <v>2353.85</v>
      </c>
      <c r="Q26" s="2"/>
      <c r="R26" s="7">
        <f t="shared" si="10"/>
        <v>4.0162427616858107E-2</v>
      </c>
      <c r="S26" s="2"/>
      <c r="T26" s="6"/>
      <c r="U26" s="2"/>
      <c r="V26" s="7">
        <f t="shared" si="11"/>
        <v>0</v>
      </c>
      <c r="W26" s="2"/>
      <c r="X26" s="6">
        <f t="shared" si="12"/>
        <v>2353.85</v>
      </c>
      <c r="Y26" s="2"/>
      <c r="Z26" s="7">
        <f t="shared" si="13"/>
        <v>0</v>
      </c>
    </row>
    <row r="27" spans="1:26" s="24" customFormat="1" hidden="1" outlineLevel="2" x14ac:dyDescent="0.25">
      <c r="A27" s="26"/>
      <c r="B27" s="11" t="str">
        <f>CONCATENATE("          ", "6118", " - ", "VACATION")</f>
        <v xml:space="preserve">          6118 - VACATION</v>
      </c>
      <c r="C27" s="11"/>
      <c r="D27" s="6">
        <v>1005.42</v>
      </c>
      <c r="E27" s="2"/>
      <c r="F27" s="7">
        <f t="shared" si="6"/>
        <v>2.071417357777797E-2</v>
      </c>
      <c r="G27" s="2"/>
      <c r="H27" s="6"/>
      <c r="I27" s="2"/>
      <c r="J27" s="7">
        <f t="shared" si="7"/>
        <v>0</v>
      </c>
      <c r="K27" s="2"/>
      <c r="L27" s="6">
        <f t="shared" si="8"/>
        <v>1005.42</v>
      </c>
      <c r="M27" s="2"/>
      <c r="N27" s="7">
        <f t="shared" si="9"/>
        <v>0</v>
      </c>
      <c r="O27" s="11"/>
      <c r="P27" s="6">
        <v>2513.5500000000002</v>
      </c>
      <c r="Q27" s="2"/>
      <c r="R27" s="7">
        <f t="shared" si="10"/>
        <v>4.2887299503517086E-2</v>
      </c>
      <c r="S27" s="2"/>
      <c r="T27" s="6"/>
      <c r="U27" s="2"/>
      <c r="V27" s="7">
        <f t="shared" si="11"/>
        <v>0</v>
      </c>
      <c r="W27" s="2"/>
      <c r="X27" s="6">
        <f t="shared" si="12"/>
        <v>2513.5500000000002</v>
      </c>
      <c r="Y27" s="2"/>
      <c r="Z27" s="7">
        <f t="shared" si="13"/>
        <v>0</v>
      </c>
    </row>
    <row r="28" spans="1:26" s="24" customFormat="1" hidden="1" outlineLevel="2" x14ac:dyDescent="0.25">
      <c r="A28" s="26"/>
      <c r="B28" s="11" t="str">
        <f>CONCATENATE("          ", "6119", " - ", "SICK LEAVE")</f>
        <v xml:space="preserve">          6119 - SICK LEAVE</v>
      </c>
      <c r="C28" s="11"/>
      <c r="D28" s="6">
        <v>853.34</v>
      </c>
      <c r="E28" s="2"/>
      <c r="F28" s="7">
        <f t="shared" si="6"/>
        <v>1.7580944163494913E-2</v>
      </c>
      <c r="G28" s="2"/>
      <c r="H28" s="6"/>
      <c r="I28" s="2"/>
      <c r="J28" s="7">
        <f t="shared" si="7"/>
        <v>0</v>
      </c>
      <c r="K28" s="2"/>
      <c r="L28" s="6">
        <f t="shared" si="8"/>
        <v>853.34</v>
      </c>
      <c r="M28" s="2"/>
      <c r="N28" s="7">
        <f t="shared" si="9"/>
        <v>0</v>
      </c>
      <c r="O28" s="11"/>
      <c r="P28" s="6">
        <v>2133.35</v>
      </c>
      <c r="Q28" s="2"/>
      <c r="R28" s="7">
        <f t="shared" si="10"/>
        <v>3.6400159294952626E-2</v>
      </c>
      <c r="S28" s="2"/>
      <c r="T28" s="6"/>
      <c r="U28" s="2"/>
      <c r="V28" s="7">
        <f t="shared" si="11"/>
        <v>0</v>
      </c>
      <c r="W28" s="2"/>
      <c r="X28" s="6">
        <f t="shared" si="12"/>
        <v>2133.35</v>
      </c>
      <c r="Y28" s="2"/>
      <c r="Z28" s="7">
        <f t="shared" si="13"/>
        <v>0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24176.070000000003</v>
      </c>
      <c r="E29" s="1"/>
      <c r="F29" s="5">
        <f t="shared" ref="F29:F33" si="14">IF(D$12=0,0,D29/D$12)</f>
        <v>0.49808767520887859</v>
      </c>
      <c r="G29" s="1"/>
      <c r="H29" s="1">
        <f>SUM(OSRRefH22_1x_0)</f>
        <v>0</v>
      </c>
      <c r="I29" s="1"/>
      <c r="J29" s="5">
        <f t="shared" ref="J29:J33" si="15">IF(H$12=0,0,H29/H$12)</f>
        <v>0</v>
      </c>
      <c r="K29" s="1"/>
      <c r="L29" s="1">
        <f t="shared" ref="L29:L33" si="16">+D29-H29</f>
        <v>24176.070000000003</v>
      </c>
      <c r="M29" s="1"/>
      <c r="N29" s="5">
        <f t="shared" ref="N29:N33" si="17">IF(H29=0,0,L29/H29)</f>
        <v>0</v>
      </c>
      <c r="O29" s="13"/>
      <c r="P29" s="1">
        <f>SUM(OSRRefP22_1x_0)</f>
        <v>63277.640000000007</v>
      </c>
      <c r="Q29" s="1"/>
      <c r="R29" s="5">
        <f t="shared" ref="R29:R33" si="18">IF(P$12=0,0,P29/P$12)</f>
        <v>1.0796710224804491</v>
      </c>
      <c r="S29" s="1"/>
      <c r="T29" s="1">
        <f>SUM(OSRRefT22_1x_0)</f>
        <v>0</v>
      </c>
      <c r="U29" s="1"/>
      <c r="V29" s="5">
        <f t="shared" ref="V29:V33" si="19">IF(T$12=0,0,T29/T$12)</f>
        <v>0</v>
      </c>
      <c r="W29" s="1"/>
      <c r="X29" s="1">
        <f t="shared" ref="X29:X33" si="20">+P29-T29</f>
        <v>63277.640000000007</v>
      </c>
      <c r="Y29" s="1"/>
      <c r="Z29" s="5">
        <f t="shared" ref="Z29:Z33" si="21">IF(T29=0,0,X29/T29)</f>
        <v>0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17087.63</v>
      </c>
      <c r="E30" s="2"/>
      <c r="F30" s="7">
        <f t="shared" si="14"/>
        <v>0.35204803351121544</v>
      </c>
      <c r="G30" s="2"/>
      <c r="H30" s="6"/>
      <c r="I30" s="2"/>
      <c r="J30" s="7">
        <f t="shared" si="15"/>
        <v>0</v>
      </c>
      <c r="K30" s="2"/>
      <c r="L30" s="6">
        <f t="shared" si="16"/>
        <v>17087.63</v>
      </c>
      <c r="M30" s="2"/>
      <c r="N30" s="7">
        <f t="shared" si="17"/>
        <v>0</v>
      </c>
      <c r="O30" s="11"/>
      <c r="P30" s="6">
        <v>43420.270000000004</v>
      </c>
      <c r="Q30" s="2"/>
      <c r="R30" s="7">
        <f t="shared" si="18"/>
        <v>0.74085581110921916</v>
      </c>
      <c r="S30" s="2"/>
      <c r="T30" s="6"/>
      <c r="U30" s="2"/>
      <c r="V30" s="7">
        <f t="shared" si="19"/>
        <v>0</v>
      </c>
      <c r="W30" s="2"/>
      <c r="X30" s="6">
        <f t="shared" si="20"/>
        <v>43420.270000000004</v>
      </c>
      <c r="Y30" s="2"/>
      <c r="Z30" s="7">
        <f t="shared" si="21"/>
        <v>0</v>
      </c>
    </row>
    <row r="31" spans="1:26" s="24" customFormat="1" hidden="1" outlineLevel="2" x14ac:dyDescent="0.25">
      <c r="A31" s="26"/>
      <c r="B31" s="11" t="str">
        <f>CONCATENATE("          ", "6005", " - ", "TEMPORARY WAGES-HOURLY")</f>
        <v xml:space="preserve">          6005 - TEMPORARY WAGES-HOURLY</v>
      </c>
      <c r="C31" s="11"/>
      <c r="D31" s="6">
        <v>3164.2</v>
      </c>
      <c r="E31" s="2"/>
      <c r="F31" s="7">
        <f t="shared" si="14"/>
        <v>6.5190455764561131E-2</v>
      </c>
      <c r="G31" s="2"/>
      <c r="H31" s="6"/>
      <c r="I31" s="2"/>
      <c r="J31" s="7">
        <f t="shared" si="15"/>
        <v>0</v>
      </c>
      <c r="K31" s="2"/>
      <c r="L31" s="6">
        <f t="shared" si="16"/>
        <v>3164.2</v>
      </c>
      <c r="M31" s="2"/>
      <c r="N31" s="7">
        <f t="shared" si="17"/>
        <v>0</v>
      </c>
      <c r="O31" s="11"/>
      <c r="P31" s="6">
        <v>6565.79</v>
      </c>
      <c r="Q31" s="2"/>
      <c r="R31" s="7">
        <f t="shared" si="18"/>
        <v>0.11202840691738673</v>
      </c>
      <c r="S31" s="2"/>
      <c r="T31" s="6"/>
      <c r="U31" s="2"/>
      <c r="V31" s="7">
        <f t="shared" si="19"/>
        <v>0</v>
      </c>
      <c r="W31" s="2"/>
      <c r="X31" s="6">
        <f t="shared" si="20"/>
        <v>6565.79</v>
      </c>
      <c r="Y31" s="2"/>
      <c r="Z31" s="7">
        <f t="shared" si="21"/>
        <v>0</v>
      </c>
    </row>
    <row r="32" spans="1:26" s="24" customFormat="1" hidden="1" outlineLevel="2" x14ac:dyDescent="0.25">
      <c r="A32" s="26"/>
      <c r="B32" s="11" t="str">
        <f>CONCATENATE("          ", "6007", " - ", "STUDENT HOURLY")</f>
        <v xml:space="preserve">          6007 - STUDENT HOURLY</v>
      </c>
      <c r="C32" s="11"/>
      <c r="D32" s="6">
        <v>3200.95</v>
      </c>
      <c r="E32" s="2"/>
      <c r="F32" s="7">
        <f t="shared" si="14"/>
        <v>6.5947597932991583E-2</v>
      </c>
      <c r="G32" s="2"/>
      <c r="H32" s="6"/>
      <c r="I32" s="2"/>
      <c r="J32" s="7">
        <f t="shared" si="15"/>
        <v>0</v>
      </c>
      <c r="K32" s="2"/>
      <c r="L32" s="6">
        <f t="shared" si="16"/>
        <v>3200.95</v>
      </c>
      <c r="M32" s="2"/>
      <c r="N32" s="7">
        <f t="shared" si="17"/>
        <v>0</v>
      </c>
      <c r="O32" s="11"/>
      <c r="P32" s="6">
        <v>10764.54</v>
      </c>
      <c r="Q32" s="2"/>
      <c r="R32" s="7">
        <f t="shared" si="18"/>
        <v>0.18366933261625581</v>
      </c>
      <c r="S32" s="2"/>
      <c r="T32" s="6"/>
      <c r="U32" s="2"/>
      <c r="V32" s="7">
        <f t="shared" si="19"/>
        <v>0</v>
      </c>
      <c r="W32" s="2"/>
      <c r="X32" s="6">
        <f t="shared" si="20"/>
        <v>10764.54</v>
      </c>
      <c r="Y32" s="2"/>
      <c r="Z32" s="7">
        <f t="shared" si="21"/>
        <v>0</v>
      </c>
    </row>
    <row r="33" spans="1:26" s="24" customFormat="1" hidden="1" outlineLevel="2" x14ac:dyDescent="0.25">
      <c r="A33" s="26"/>
      <c r="B33" s="11" t="str">
        <f>CONCATENATE("          ", "6008", " - ", "STUDENT HOURLY-FICA EXEMPT")</f>
        <v xml:space="preserve">          6008 - STUDENT HOURLY-FICA EXEMPT</v>
      </c>
      <c r="C33" s="11"/>
      <c r="D33" s="6">
        <v>723.29</v>
      </c>
      <c r="E33" s="2"/>
      <c r="F33" s="7">
        <f t="shared" si="14"/>
        <v>1.4901588000110429E-2</v>
      </c>
      <c r="G33" s="2"/>
      <c r="H33" s="6"/>
      <c r="I33" s="2"/>
      <c r="J33" s="7">
        <f t="shared" si="15"/>
        <v>0</v>
      </c>
      <c r="K33" s="2"/>
      <c r="L33" s="6">
        <f t="shared" si="16"/>
        <v>723.29</v>
      </c>
      <c r="M33" s="2"/>
      <c r="N33" s="7">
        <f t="shared" si="17"/>
        <v>0</v>
      </c>
      <c r="O33" s="11"/>
      <c r="P33" s="6">
        <v>2527.04</v>
      </c>
      <c r="Q33" s="2"/>
      <c r="R33" s="7">
        <f t="shared" si="18"/>
        <v>4.31174718375874E-2</v>
      </c>
      <c r="S33" s="2"/>
      <c r="T33" s="6"/>
      <c r="U33" s="2"/>
      <c r="V33" s="7">
        <f t="shared" si="19"/>
        <v>0</v>
      </c>
      <c r="W33" s="2"/>
      <c r="X33" s="6">
        <f t="shared" si="20"/>
        <v>2527.04</v>
      </c>
      <c r="Y33" s="2"/>
      <c r="Z33" s="7">
        <f t="shared" si="21"/>
        <v>0</v>
      </c>
    </row>
    <row r="34" spans="1:26" s="25" customFormat="1" outlineLevel="1" collapsed="1" x14ac:dyDescent="0.25">
      <c r="A34" s="27"/>
      <c r="B34" s="13" t="str">
        <f>CONCATENATE("     ","Bank/card Fees                                    ")</f>
        <v xml:space="preserve">     Bank/card Fees                                    </v>
      </c>
      <c r="C34" s="13"/>
      <c r="D34" s="1">
        <f>SUM(OSRRefD22_2x_0)</f>
        <v>202.59</v>
      </c>
      <c r="E34" s="1"/>
      <c r="F34" s="5">
        <f t="shared" ref="F34:F39" si="22">IF(D$12=0,0,D34/D$12)</f>
        <v>4.1738620925802538E-3</v>
      </c>
      <c r="G34" s="1"/>
      <c r="H34" s="1">
        <f>SUM(OSRRefH22_2x_0)</f>
        <v>0</v>
      </c>
      <c r="I34" s="1"/>
      <c r="J34" s="5">
        <f t="shared" ref="J34:J39" si="23">IF(H$12=0,0,H34/H$12)</f>
        <v>0</v>
      </c>
      <c r="K34" s="1"/>
      <c r="L34" s="1">
        <f t="shared" ref="L34:L39" si="24">+D34-H34</f>
        <v>202.59</v>
      </c>
      <c r="M34" s="1"/>
      <c r="N34" s="5">
        <f t="shared" ref="N34:N39" si="25">IF(H34=0,0,L34/H34)</f>
        <v>0</v>
      </c>
      <c r="O34" s="13"/>
      <c r="P34" s="1">
        <f>SUM(OSRRefP22_2x_0)</f>
        <v>202.59</v>
      </c>
      <c r="Q34" s="1"/>
      <c r="R34" s="5">
        <f t="shared" ref="R34:R39" si="26">IF(P$12=0,0,P34/P$12)</f>
        <v>3.4566799969833607E-3</v>
      </c>
      <c r="S34" s="1"/>
      <c r="T34" s="1">
        <f>SUM(OSRRefT22_2x_0)</f>
        <v>0</v>
      </c>
      <c r="U34" s="1"/>
      <c r="V34" s="5">
        <f t="shared" ref="V34:V39" si="27">IF(T$12=0,0,T34/T$12)</f>
        <v>0</v>
      </c>
      <c r="W34" s="1"/>
      <c r="X34" s="1">
        <f t="shared" ref="X34:X39" si="28">+P34-T34</f>
        <v>202.59</v>
      </c>
      <c r="Y34" s="1"/>
      <c r="Z34" s="5">
        <f t="shared" ref="Z34:Z39" si="29">IF(T34=0,0,X34/T34)</f>
        <v>0</v>
      </c>
    </row>
    <row r="35" spans="1:26" s="24" customFormat="1" hidden="1" outlineLevel="2" x14ac:dyDescent="0.25">
      <c r="A35" s="26"/>
      <c r="B35" s="11" t="str">
        <f>CONCATENATE("          ", "6381", " - ", "BANK/CREDIT CARD FEES")</f>
        <v xml:space="preserve">          6381 - BANK/CREDIT CARD FEES</v>
      </c>
      <c r="C35" s="11"/>
      <c r="D35" s="6">
        <v>202.59</v>
      </c>
      <c r="E35" s="2"/>
      <c r="F35" s="7">
        <f t="shared" si="22"/>
        <v>4.1738620925802538E-3</v>
      </c>
      <c r="G35" s="2"/>
      <c r="H35" s="6"/>
      <c r="I35" s="2"/>
      <c r="J35" s="7">
        <f t="shared" si="23"/>
        <v>0</v>
      </c>
      <c r="K35" s="2"/>
      <c r="L35" s="6">
        <f t="shared" si="24"/>
        <v>202.59</v>
      </c>
      <c r="M35" s="2"/>
      <c r="N35" s="7">
        <f t="shared" si="25"/>
        <v>0</v>
      </c>
      <c r="O35" s="11"/>
      <c r="P35" s="6">
        <v>202.59</v>
      </c>
      <c r="Q35" s="2"/>
      <c r="R35" s="7">
        <f t="shared" si="26"/>
        <v>3.4566799969833607E-3</v>
      </c>
      <c r="S35" s="2"/>
      <c r="T35" s="6"/>
      <c r="U35" s="2"/>
      <c r="V35" s="7">
        <f t="shared" si="27"/>
        <v>0</v>
      </c>
      <c r="W35" s="2"/>
      <c r="X35" s="6">
        <f t="shared" si="28"/>
        <v>202.59</v>
      </c>
      <c r="Y35" s="2"/>
      <c r="Z35" s="7">
        <f t="shared" si="29"/>
        <v>0</v>
      </c>
    </row>
    <row r="36" spans="1:26" s="25" customFormat="1" outlineLevel="1" collapsed="1" x14ac:dyDescent="0.25">
      <c r="A36" s="27"/>
      <c r="B36" s="13" t="str">
        <f>CONCATENATE("     ","Repair and Maintenance                            ")</f>
        <v xml:space="preserve">     Repair and Maintenance                            </v>
      </c>
      <c r="C36" s="13"/>
      <c r="D36" s="1">
        <f>SUM(OSRRefD22_3x_0)</f>
        <v>0</v>
      </c>
      <c r="E36" s="1"/>
      <c r="F36" s="5">
        <f t="shared" si="22"/>
        <v>0</v>
      </c>
      <c r="G36" s="1"/>
      <c r="H36" s="1">
        <f>SUM(OSRRefH22_3x_0)</f>
        <v>0</v>
      </c>
      <c r="I36" s="1"/>
      <c r="J36" s="5">
        <f t="shared" si="23"/>
        <v>0</v>
      </c>
      <c r="K36" s="1"/>
      <c r="L36" s="1">
        <f t="shared" si="24"/>
        <v>0</v>
      </c>
      <c r="M36" s="1"/>
      <c r="N36" s="5">
        <f t="shared" si="25"/>
        <v>0</v>
      </c>
      <c r="O36" s="13"/>
      <c r="P36" s="1">
        <f>SUM(OSRRefP22_3x_0)</f>
        <v>1151.21</v>
      </c>
      <c r="Q36" s="1"/>
      <c r="R36" s="5">
        <f t="shared" si="26"/>
        <v>1.9642453128620438E-2</v>
      </c>
      <c r="S36" s="1"/>
      <c r="T36" s="1">
        <f>SUM(OSRRefT22_3x_0)</f>
        <v>0</v>
      </c>
      <c r="U36" s="1"/>
      <c r="V36" s="5">
        <f t="shared" si="27"/>
        <v>0</v>
      </c>
      <c r="W36" s="1"/>
      <c r="X36" s="1">
        <f t="shared" si="28"/>
        <v>1151.21</v>
      </c>
      <c r="Y36" s="1"/>
      <c r="Z36" s="5">
        <f t="shared" si="29"/>
        <v>0</v>
      </c>
    </row>
    <row r="37" spans="1:26" s="24" customFormat="1" hidden="1" outlineLevel="2" x14ac:dyDescent="0.25">
      <c r="A37" s="26"/>
      <c r="B37" s="11" t="str">
        <f>CONCATENATE("          ", "6375", " - ", "OUTSIDE REPAIRS &amp; MAINTENANCE")</f>
        <v xml:space="preserve">          6375 - OUTSIDE REPAIRS &amp; MAINTENANCE</v>
      </c>
      <c r="C37" s="11"/>
      <c r="D37" s="6"/>
      <c r="E37" s="2"/>
      <c r="F37" s="7">
        <f t="shared" si="22"/>
        <v>0</v>
      </c>
      <c r="G37" s="2"/>
      <c r="H37" s="6"/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>
        <v>1151.21</v>
      </c>
      <c r="Q37" s="2"/>
      <c r="R37" s="7">
        <f t="shared" si="26"/>
        <v>1.9642453128620438E-2</v>
      </c>
      <c r="S37" s="2"/>
      <c r="T37" s="6"/>
      <c r="U37" s="2"/>
      <c r="V37" s="7">
        <f t="shared" si="27"/>
        <v>0</v>
      </c>
      <c r="W37" s="2"/>
      <c r="X37" s="6">
        <f t="shared" si="28"/>
        <v>1151.21</v>
      </c>
      <c r="Y37" s="2"/>
      <c r="Z37" s="7">
        <f t="shared" si="29"/>
        <v>0</v>
      </c>
    </row>
    <row r="38" spans="1:26" s="25" customFormat="1" outlineLevel="1" collapsed="1" x14ac:dyDescent="0.25">
      <c r="A38" s="27"/>
      <c r="B38" s="13" t="str">
        <f>CONCATENATE("     ","Supplies                                          ")</f>
        <v xml:space="preserve">     Supplies                                          </v>
      </c>
      <c r="C38" s="13"/>
      <c r="D38" s="1">
        <f>SUM(OSRRefD22_4x_0)</f>
        <v>0</v>
      </c>
      <c r="E38" s="1"/>
      <c r="F38" s="5">
        <f t="shared" si="22"/>
        <v>0</v>
      </c>
      <c r="G38" s="1"/>
      <c r="H38" s="1">
        <f>SUM(OSRRefH22_4x_0)</f>
        <v>0</v>
      </c>
      <c r="I38" s="1"/>
      <c r="J38" s="5">
        <f t="shared" si="23"/>
        <v>0</v>
      </c>
      <c r="K38" s="1"/>
      <c r="L38" s="1">
        <f t="shared" si="24"/>
        <v>0</v>
      </c>
      <c r="M38" s="1"/>
      <c r="N38" s="5">
        <f t="shared" si="25"/>
        <v>0</v>
      </c>
      <c r="O38" s="13"/>
      <c r="P38" s="1">
        <f>SUM(OSRRefP22_4x_0)</f>
        <v>579.98</v>
      </c>
      <c r="Q38" s="1"/>
      <c r="R38" s="5">
        <f t="shared" si="26"/>
        <v>9.8958747453004071E-3</v>
      </c>
      <c r="S38" s="1"/>
      <c r="T38" s="1">
        <f>SUM(OSRRefT22_4x_0)</f>
        <v>0</v>
      </c>
      <c r="U38" s="1"/>
      <c r="V38" s="5">
        <f t="shared" si="27"/>
        <v>0</v>
      </c>
      <c r="W38" s="1"/>
      <c r="X38" s="1">
        <f t="shared" si="28"/>
        <v>579.98</v>
      </c>
      <c r="Y38" s="1"/>
      <c r="Z38" s="5">
        <f t="shared" si="29"/>
        <v>0</v>
      </c>
    </row>
    <row r="39" spans="1:26" s="24" customFormat="1" hidden="1" outlineLevel="2" x14ac:dyDescent="0.25">
      <c r="A39" s="26"/>
      <c r="B39" s="11" t="str">
        <f>CONCATENATE("          ", "6241", " - ", "OFFICE EXPENSE")</f>
        <v xml:space="preserve">          6241 - OFFICE EXPENSE</v>
      </c>
      <c r="C39" s="11"/>
      <c r="D39" s="6"/>
      <c r="E39" s="2"/>
      <c r="F39" s="7">
        <f t="shared" si="22"/>
        <v>0</v>
      </c>
      <c r="G39" s="2"/>
      <c r="H39" s="6"/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>
        <v>579.98</v>
      </c>
      <c r="Q39" s="2"/>
      <c r="R39" s="7">
        <f t="shared" si="26"/>
        <v>9.8958747453004071E-3</v>
      </c>
      <c r="S39" s="2"/>
      <c r="T39" s="6"/>
      <c r="U39" s="2"/>
      <c r="V39" s="7">
        <f t="shared" si="27"/>
        <v>0</v>
      </c>
      <c r="W39" s="2"/>
      <c r="X39" s="6">
        <f t="shared" si="28"/>
        <v>579.98</v>
      </c>
      <c r="Y39" s="2"/>
      <c r="Z39" s="7">
        <f t="shared" si="29"/>
        <v>0</v>
      </c>
    </row>
    <row r="40" spans="1:26" s="53" customFormat="1" x14ac:dyDescent="0.25">
      <c r="A40" s="37"/>
      <c r="B40" s="37"/>
      <c r="C40" s="37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7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25">
      <c r="A41" s="10"/>
      <c r="B41" s="28" t="s">
        <v>0</v>
      </c>
      <c r="C41" s="10"/>
      <c r="D41" s="4">
        <f>SUM(0)</f>
        <v>0</v>
      </c>
      <c r="E41" s="4"/>
      <c r="F41" s="12">
        <f>IF(D$12=0,0,D41/D$12)</f>
        <v>0</v>
      </c>
      <c r="G41" s="4"/>
      <c r="H41" s="4">
        <f>SUM(0)</f>
        <v>0</v>
      </c>
      <c r="I41" s="4"/>
      <c r="J41" s="12">
        <f>IF(H$12=0,0,H41/H$12)</f>
        <v>0</v>
      </c>
      <c r="K41" s="4"/>
      <c r="L41" s="4">
        <f>+D41-H41</f>
        <v>0</v>
      </c>
      <c r="M41" s="4"/>
      <c r="N41" s="12">
        <f>IF(H41=0,0,L41/H41)</f>
        <v>0</v>
      </c>
      <c r="O41" s="10"/>
      <c r="P41" s="4">
        <f>SUM(0)</f>
        <v>0</v>
      </c>
      <c r="Q41" s="4"/>
      <c r="R41" s="12">
        <f>IF(P$12=0,0,P41/P$12)</f>
        <v>0</v>
      </c>
      <c r="S41" s="4"/>
      <c r="T41" s="4">
        <f>SUM(0)</f>
        <v>0</v>
      </c>
      <c r="U41" s="4"/>
      <c r="V41" s="12">
        <f>IF(T$12=0,0,T41/T$12)</f>
        <v>0</v>
      </c>
      <c r="W41" s="4"/>
      <c r="X41" s="4">
        <f>+P41-T41</f>
        <v>0</v>
      </c>
      <c r="Y41" s="4"/>
      <c r="Z41" s="12">
        <f>IF(T41=0,0,X41/T41)</f>
        <v>0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9" t="s">
        <v>3</v>
      </c>
      <c r="C43" s="29"/>
      <c r="D43" s="21">
        <f>+D18-D20+D41</f>
        <v>17871.559999999994</v>
      </c>
      <c r="E43" s="14"/>
      <c r="F43" s="20">
        <f>IF(D$12=0,0,D43/D$12)</f>
        <v>0.36819895759550592</v>
      </c>
      <c r="G43" s="14"/>
      <c r="H43" s="21">
        <f>+H18-H20+H41</f>
        <v>0</v>
      </c>
      <c r="I43" s="14"/>
      <c r="J43" s="20">
        <f>IF(H$12=0,0,H43/H$12)</f>
        <v>0</v>
      </c>
      <c r="K43" s="15"/>
      <c r="L43" s="21">
        <f>+D43-H43</f>
        <v>17871.559999999994</v>
      </c>
      <c r="M43" s="15"/>
      <c r="N43" s="20">
        <f>IF(H43=0,0,L43/H43)</f>
        <v>0</v>
      </c>
      <c r="O43" s="28"/>
      <c r="P43" s="21">
        <f>+P18-P20+P41</f>
        <v>-21660.680000000008</v>
      </c>
      <c r="Q43" s="14"/>
      <c r="R43" s="20">
        <f>IF(P$12=0,0,P43/P$12)</f>
        <v>-0.36958408251669661</v>
      </c>
      <c r="S43" s="14"/>
      <c r="T43" s="21">
        <f>+T18-T20+T41</f>
        <v>0</v>
      </c>
      <c r="U43" s="14"/>
      <c r="V43" s="20">
        <f>IF(T$12=0,0,T43/T$12)</f>
        <v>0</v>
      </c>
      <c r="W43" s="15"/>
      <c r="X43" s="21">
        <f>+P43-T43</f>
        <v>-21660.680000000008</v>
      </c>
      <c r="Y43" s="15"/>
      <c r="Z43" s="20">
        <f>IF(T43=0,0,X43/T43)</f>
        <v>0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13</v>
      </c>
      <c r="C45" s="10"/>
      <c r="D45" s="4">
        <v>5192.5</v>
      </c>
      <c r="E45" s="4"/>
      <c r="F45" s="12">
        <f>IF(D$12=0,0,D45/D$12)</f>
        <v>0.10697852270952647</v>
      </c>
      <c r="G45" s="4"/>
      <c r="H45" s="4"/>
      <c r="I45" s="4"/>
      <c r="J45" s="12">
        <f>IF(H$12=0,0,H45/H$12)</f>
        <v>0</v>
      </c>
      <c r="K45" s="4"/>
      <c r="L45" s="4">
        <f>+D45-H45</f>
        <v>5192.5</v>
      </c>
      <c r="M45" s="4"/>
      <c r="N45" s="12">
        <f>IF(H45=0,0,L45/H45)</f>
        <v>0</v>
      </c>
      <c r="O45" s="10"/>
      <c r="P45" s="4">
        <v>6206.22</v>
      </c>
      <c r="Q45" s="4"/>
      <c r="R45" s="12">
        <f>IF(P$12=0,0,P45/P$12)</f>
        <v>0.10589326487426859</v>
      </c>
      <c r="S45" s="4"/>
      <c r="T45" s="4"/>
      <c r="U45" s="4"/>
      <c r="V45" s="12">
        <f>IF(T$12=0,0,T45/T$12)</f>
        <v>0</v>
      </c>
      <c r="W45" s="4"/>
      <c r="X45" s="4">
        <f>+P45-T45</f>
        <v>6206.22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9" t="s">
        <v>4</v>
      </c>
      <c r="C47" s="29"/>
      <c r="D47" s="31">
        <f>+D43-D45</f>
        <v>12679.059999999994</v>
      </c>
      <c r="E47" s="14"/>
      <c r="F47" s="32">
        <f>IF(D$12=0,0,D47/D$12)</f>
        <v>0.2612204348859794</v>
      </c>
      <c r="G47" s="14"/>
      <c r="H47" s="31">
        <f>+H43-H45</f>
        <v>0</v>
      </c>
      <c r="I47" s="14"/>
      <c r="J47" s="32">
        <f>IF(H$12=0,0,H47/H$12)</f>
        <v>0</v>
      </c>
      <c r="K47" s="15"/>
      <c r="L47" s="31">
        <f>D47-H47</f>
        <v>12679.059999999994</v>
      </c>
      <c r="M47" s="15"/>
      <c r="N47" s="32">
        <f>IF(H47=0,0,L47/H47)</f>
        <v>0</v>
      </c>
      <c r="O47" s="28"/>
      <c r="P47" s="31">
        <f>+P43-P45</f>
        <v>-27866.900000000009</v>
      </c>
      <c r="Q47" s="14"/>
      <c r="R47" s="32">
        <f>IF(P$12=0,0,P47/P$12)</f>
        <v>-0.4754773473909652</v>
      </c>
      <c r="S47" s="14"/>
      <c r="T47" s="31">
        <f>+T43-T45</f>
        <v>0</v>
      </c>
      <c r="U47" s="14"/>
      <c r="V47" s="32">
        <f>IF(T$12=0,0,T47/T$12)</f>
        <v>0</v>
      </c>
      <c r="W47" s="15"/>
      <c r="X47" s="31">
        <f>P47-T47</f>
        <v>-27866.900000000009</v>
      </c>
      <c r="Y47" s="15"/>
      <c r="Z47" s="32">
        <f>IF(T47=0,0,X47/T47)</f>
        <v>0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9" t="s">
        <v>5</v>
      </c>
      <c r="C50" s="29"/>
      <c r="D50" s="34">
        <f>SUM(D47:D49)</f>
        <v>12679.059999999994</v>
      </c>
      <c r="E50" s="14"/>
      <c r="F50" s="30">
        <f>IF(D$12=0,0,D50/D$12)</f>
        <v>0.2612204348859794</v>
      </c>
      <c r="G50" s="14"/>
      <c r="H50" s="34">
        <f>SUM(H47:H49)</f>
        <v>0</v>
      </c>
      <c r="I50" s="14"/>
      <c r="J50" s="30">
        <f>IF(H$12=0,0,H50/H$12)</f>
        <v>0</v>
      </c>
      <c r="K50" s="15"/>
      <c r="L50" s="34">
        <f>+D50-H50</f>
        <v>12679.059999999994</v>
      </c>
      <c r="M50" s="15"/>
      <c r="N50" s="30">
        <f>IF(H50=0,0,L50/H50)</f>
        <v>0</v>
      </c>
      <c r="O50" s="28"/>
      <c r="P50" s="34">
        <f>SUM(P47:P49)</f>
        <v>-27866.900000000009</v>
      </c>
      <c r="Q50" s="14"/>
      <c r="R50" s="30">
        <f>IF(P$12=0,0,P50/P$12)</f>
        <v>-0.4754773473909652</v>
      </c>
      <c r="S50" s="14"/>
      <c r="T50" s="34">
        <f>SUM(T47:T49)</f>
        <v>0</v>
      </c>
      <c r="U50" s="14"/>
      <c r="V50" s="30">
        <f>IF(T$12=0,0,T50/T$12)</f>
        <v>0</v>
      </c>
      <c r="W50" s="15"/>
      <c r="X50" s="34">
        <f>+P50-T50</f>
        <v>-27866.900000000009</v>
      </c>
      <c r="Y50" s="15"/>
      <c r="Z50" s="30">
        <f>IF(T50=0,0,X50/T50)</f>
        <v>0</v>
      </c>
    </row>
    <row r="51" spans="1:26" ht="15.75" thickTop="1" x14ac:dyDescent="0.25">
      <c r="A51" s="9"/>
      <c r="C51" s="9"/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  <row r="52" spans="1:26" x14ac:dyDescent="0.25">
      <c r="A52" s="9"/>
      <c r="B52" s="59">
        <v>43815.492180752313</v>
      </c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  <row r="53" spans="1:26" x14ac:dyDescent="0.25">
      <c r="A53" s="9"/>
      <c r="B53" s="62" t="s">
        <v>313</v>
      </c>
      <c r="D53" s="18"/>
      <c r="E53" s="18"/>
      <c r="G53" s="18"/>
      <c r="H53" s="18"/>
      <c r="I53" s="18"/>
      <c r="J53" s="43"/>
      <c r="K53" s="18"/>
      <c r="L53" s="18"/>
      <c r="M53" s="18"/>
      <c r="P53" s="18"/>
      <c r="Q53" s="18"/>
      <c r="R53" s="43"/>
      <c r="S53" s="18"/>
      <c r="T53" s="18"/>
      <c r="U53" s="18"/>
      <c r="V53" s="43"/>
      <c r="W53" s="18"/>
      <c r="X53" s="18"/>
    </row>
    <row r="54" spans="1:26" x14ac:dyDescent="0.25">
      <c r="A54" s="9"/>
      <c r="B54" s="61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","413", " - ", "Beach Walk")</f>
        <v>Department 413 - Beach Walk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32220.039999999997</v>
      </c>
      <c r="E12" s="4"/>
      <c r="F12" s="12"/>
      <c r="G12" s="4"/>
      <c r="H12" s="4">
        <f>SUM(OSRRefH13x_0)</f>
        <v>31469.879999999997</v>
      </c>
      <c r="I12" s="4"/>
      <c r="J12" s="12"/>
      <c r="K12" s="4"/>
      <c r="L12" s="4">
        <f t="shared" ref="L12:L14" si="0">+D12-H12</f>
        <v>750.15999999999985</v>
      </c>
      <c r="M12" s="4"/>
      <c r="N12" s="12">
        <f t="shared" ref="N12:N14" si="1">IF(H12=0,0,L12/H12)</f>
        <v>2.3837396265889793E-2</v>
      </c>
      <c r="O12" s="10"/>
      <c r="P12" s="4">
        <f>SUM(OSRRefP13x_0)</f>
        <v>162103.64000000001</v>
      </c>
      <c r="Q12" s="4"/>
      <c r="R12" s="12"/>
      <c r="S12" s="4"/>
      <c r="T12" s="4">
        <f>SUM(OSRRefT13x_0)</f>
        <v>168812.27</v>
      </c>
      <c r="U12" s="4"/>
      <c r="V12" s="12"/>
      <c r="W12" s="4"/>
      <c r="X12" s="4">
        <f t="shared" ref="X12:X14" si="2">+P12-T12</f>
        <v>-6708.6299999999756</v>
      </c>
      <c r="Y12" s="4"/>
      <c r="Z12" s="12">
        <f t="shared" ref="Z12:Z14" si="3">IF(T12=0,0,X12/T12)</f>
        <v>-3.9740180023643872E-2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--7347.44</f>
        <v>7347.44</v>
      </c>
      <c r="E13" s="2"/>
      <c r="F13" s="19"/>
      <c r="G13" s="2"/>
      <c r="H13" s="2">
        <f>--8593.17</f>
        <v>8593.17</v>
      </c>
      <c r="I13" s="2"/>
      <c r="J13" s="19"/>
      <c r="K13" s="2"/>
      <c r="L13" s="2">
        <f t="shared" si="0"/>
        <v>-1245.7300000000005</v>
      </c>
      <c r="M13" s="2"/>
      <c r="N13" s="19">
        <f t="shared" si="1"/>
        <v>-0.14496745671271491</v>
      </c>
      <c r="O13" s="11"/>
      <c r="P13" s="2">
        <f>--39088.7</f>
        <v>39088.699999999997</v>
      </c>
      <c r="Q13" s="2"/>
      <c r="R13" s="19"/>
      <c r="S13" s="2"/>
      <c r="T13" s="2">
        <f>--49403.87</f>
        <v>49403.87</v>
      </c>
      <c r="U13" s="2"/>
      <c r="V13" s="19"/>
      <c r="W13" s="2"/>
      <c r="X13" s="2">
        <f t="shared" si="2"/>
        <v>-10315.170000000006</v>
      </c>
      <c r="Y13" s="2"/>
      <c r="Z13" s="19">
        <f t="shared" si="3"/>
        <v>-0.20879275247060614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--24872.6</f>
        <v>24872.6</v>
      </c>
      <c r="E14" s="2"/>
      <c r="F14" s="19"/>
      <c r="G14" s="2"/>
      <c r="H14" s="2">
        <f>--22876.71</f>
        <v>22876.71</v>
      </c>
      <c r="I14" s="2"/>
      <c r="J14" s="19"/>
      <c r="K14" s="2"/>
      <c r="L14" s="2">
        <f t="shared" si="0"/>
        <v>1995.8899999999994</v>
      </c>
      <c r="M14" s="2"/>
      <c r="N14" s="19">
        <f t="shared" si="1"/>
        <v>8.7245499899242476E-2</v>
      </c>
      <c r="O14" s="11"/>
      <c r="P14" s="2">
        <f>--123014.94</f>
        <v>123014.94</v>
      </c>
      <c r="Q14" s="2"/>
      <c r="R14" s="19"/>
      <c r="S14" s="2"/>
      <c r="T14" s="2">
        <f>--119408.4</f>
        <v>119408.4</v>
      </c>
      <c r="U14" s="2"/>
      <c r="V14" s="19"/>
      <c r="W14" s="2"/>
      <c r="X14" s="2">
        <f t="shared" si="2"/>
        <v>3606.5400000000081</v>
      </c>
      <c r="Y14" s="2"/>
      <c r="Z14" s="19">
        <f t="shared" si="3"/>
        <v>3.0203402775684191E-2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10812.21</v>
      </c>
      <c r="E16" s="4"/>
      <c r="F16" s="12">
        <f t="shared" ref="F16:F18" si="4">IF(D$12=0,0,D16/D$12)</f>
        <v>0.33557407129227651</v>
      </c>
      <c r="G16" s="4"/>
      <c r="H16" s="4">
        <f>SUM(OSRRefH16x_0)</f>
        <v>9441.11</v>
      </c>
      <c r="I16" s="4"/>
      <c r="J16" s="12">
        <f t="shared" ref="J16:J18" si="5">IF(H$12=0,0,H16/H$12)</f>
        <v>0.30000463935674371</v>
      </c>
      <c r="K16" s="4"/>
      <c r="L16" s="4">
        <f t="shared" ref="L16:L18" si="6">+D16-H16</f>
        <v>1371.0999999999985</v>
      </c>
      <c r="M16" s="4"/>
      <c r="N16" s="12">
        <f t="shared" ref="N16:N18" si="7">IF(H16=0,0,L16/H16)</f>
        <v>0.14522656763876265</v>
      </c>
      <c r="O16" s="10"/>
      <c r="P16" s="4">
        <f>SUM(OSRRefP16x_0)</f>
        <v>49268.49</v>
      </c>
      <c r="Q16" s="4"/>
      <c r="R16" s="12">
        <f t="shared" ref="R16:R18" si="8">IF(P$12=0,0,P16/P$12)</f>
        <v>0.30393204002081625</v>
      </c>
      <c r="S16" s="4"/>
      <c r="T16" s="4">
        <f>SUM(OSRRefT16x_0)</f>
        <v>51123.399999999994</v>
      </c>
      <c r="U16" s="4"/>
      <c r="V16" s="12">
        <f t="shared" ref="V16:V18" si="9">IF(T$12=0,0,T16/T$12)</f>
        <v>0.30284173063960335</v>
      </c>
      <c r="W16" s="4"/>
      <c r="X16" s="4">
        <f t="shared" ref="X16:X18" si="10">+P16-T16</f>
        <v>-1854.9099999999962</v>
      </c>
      <c r="Y16" s="4"/>
      <c r="Z16" s="12">
        <f t="shared" ref="Z16:Z18" si="11">IF(T16=0,0,X16/T16)</f>
        <v>-3.6282993697602205E-2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10315.129999999999</v>
      </c>
      <c r="E17" s="2"/>
      <c r="F17" s="19">
        <f t="shared" si="4"/>
        <v>0.32014640577727405</v>
      </c>
      <c r="G17" s="2"/>
      <c r="H17" s="2">
        <v>9845.11</v>
      </c>
      <c r="I17" s="2"/>
      <c r="J17" s="19">
        <f t="shared" si="5"/>
        <v>0.31284231144192481</v>
      </c>
      <c r="K17" s="2"/>
      <c r="L17" s="2">
        <f t="shared" si="6"/>
        <v>470.01999999999862</v>
      </c>
      <c r="M17" s="2"/>
      <c r="N17" s="19">
        <f t="shared" si="7"/>
        <v>4.7741467591524991E-2</v>
      </c>
      <c r="O17" s="11"/>
      <c r="P17" s="2">
        <v>53765.56</v>
      </c>
      <c r="Q17" s="2"/>
      <c r="R17" s="19">
        <f t="shared" si="8"/>
        <v>0.33167398338495047</v>
      </c>
      <c r="S17" s="2"/>
      <c r="T17" s="2">
        <v>58534.689999999995</v>
      </c>
      <c r="U17" s="2"/>
      <c r="V17" s="19">
        <f t="shared" si="9"/>
        <v>0.34674428582709066</v>
      </c>
      <c r="W17" s="2"/>
      <c r="X17" s="2">
        <f t="shared" si="10"/>
        <v>-4769.1299999999974</v>
      </c>
      <c r="Y17" s="2"/>
      <c r="Z17" s="19">
        <f t="shared" si="11"/>
        <v>-8.1475275601527883E-2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497.08</v>
      </c>
      <c r="E18" s="2"/>
      <c r="F18" s="19">
        <f t="shared" si="4"/>
        <v>1.5427665515002464E-2</v>
      </c>
      <c r="G18" s="2"/>
      <c r="H18" s="2">
        <v>-404</v>
      </c>
      <c r="I18" s="2"/>
      <c r="J18" s="19">
        <f t="shared" si="5"/>
        <v>-1.2837672085181133E-2</v>
      </c>
      <c r="K18" s="2"/>
      <c r="L18" s="2">
        <f t="shared" si="6"/>
        <v>901.07999999999993</v>
      </c>
      <c r="M18" s="2"/>
      <c r="N18" s="19">
        <f t="shared" si="7"/>
        <v>-2.2303960396039604</v>
      </c>
      <c r="O18" s="11"/>
      <c r="P18" s="2">
        <v>-4497.07</v>
      </c>
      <c r="Q18" s="2"/>
      <c r="R18" s="19">
        <f t="shared" si="8"/>
        <v>-2.77419433641342E-2</v>
      </c>
      <c r="S18" s="2"/>
      <c r="T18" s="2">
        <v>-7411.29</v>
      </c>
      <c r="U18" s="2"/>
      <c r="V18" s="19">
        <f t="shared" si="9"/>
        <v>-4.3902555187487265E-2</v>
      </c>
      <c r="W18" s="2"/>
      <c r="X18" s="2">
        <f t="shared" si="10"/>
        <v>2914.2200000000003</v>
      </c>
      <c r="Y18" s="2"/>
      <c r="Z18" s="19">
        <f t="shared" si="11"/>
        <v>-0.39321359709308368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21407.829999999998</v>
      </c>
      <c r="E20" s="14"/>
      <c r="F20" s="20">
        <f>IF(D$12=0,0,D20/D$12)</f>
        <v>0.66442592870772355</v>
      </c>
      <c r="G20" s="14"/>
      <c r="H20" s="21">
        <f>H12-H16</f>
        <v>22028.769999999997</v>
      </c>
      <c r="I20" s="14"/>
      <c r="J20" s="20">
        <f>IF(H$12=0,0,H20/H$12)</f>
        <v>0.69999536064325629</v>
      </c>
      <c r="K20" s="15"/>
      <c r="L20" s="21">
        <f>+D20-H20</f>
        <v>-620.93999999999869</v>
      </c>
      <c r="M20" s="15"/>
      <c r="N20" s="20">
        <f>IF(H20=0,0,L20/H20)</f>
        <v>-2.8187683651878827E-2</v>
      </c>
      <c r="O20" s="28"/>
      <c r="P20" s="21">
        <f>P12-P16</f>
        <v>112835.15000000002</v>
      </c>
      <c r="Q20" s="14"/>
      <c r="R20" s="20">
        <f>IF(P$12=0,0,P20/P$12)</f>
        <v>0.6960679599791838</v>
      </c>
      <c r="S20" s="14"/>
      <c r="T20" s="21">
        <f>T12-T16</f>
        <v>117688.87</v>
      </c>
      <c r="U20" s="14"/>
      <c r="V20" s="20">
        <f>IF(T$12=0,0,T20/T$12)</f>
        <v>0.6971582693603966</v>
      </c>
      <c r="W20" s="15"/>
      <c r="X20" s="21">
        <f>+P20-T20</f>
        <v>-4853.7199999999721</v>
      </c>
      <c r="Y20" s="15"/>
      <c r="Z20" s="20">
        <f>IF(T20=0,0,X20/T20)</f>
        <v>-4.1241962812625974E-2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18447.080000000002</v>
      </c>
      <c r="E22" s="22"/>
      <c r="F22" s="33">
        <f t="shared" ref="F22:F31" si="12">IF(D$12=0,0,D22/D$12)</f>
        <v>0.57253436060290441</v>
      </c>
      <c r="G22" s="22"/>
      <c r="H22" s="22">
        <f>SUM(OSRRefH22x_0)</f>
        <v>16613.830000000002</v>
      </c>
      <c r="I22" s="22"/>
      <c r="J22" s="33">
        <f t="shared" ref="J22:J31" si="13">IF(H$12=0,0,H22/H$12)</f>
        <v>0.52792797430431904</v>
      </c>
      <c r="K22" s="4"/>
      <c r="L22" s="22">
        <f t="shared" ref="L22:L31" si="14">+D22-H22</f>
        <v>1833.25</v>
      </c>
      <c r="M22" s="4"/>
      <c r="N22" s="33">
        <f t="shared" ref="N22:N31" si="15">IF(H22=0,0,L22/H22)</f>
        <v>0.11034481513293441</v>
      </c>
      <c r="O22" s="10"/>
      <c r="P22" s="22">
        <f>SUM(OSRRefP22x_0)</f>
        <v>105647.4</v>
      </c>
      <c r="Q22" s="22"/>
      <c r="R22" s="33">
        <f t="shared" ref="R22:R31" si="16">IF(P$12=0,0,P22/P$12)</f>
        <v>0.65172749976496513</v>
      </c>
      <c r="S22" s="22"/>
      <c r="T22" s="22">
        <f>SUM(OSRRefT22x_0)</f>
        <v>96056.459999999992</v>
      </c>
      <c r="U22" s="22"/>
      <c r="V22" s="33">
        <f t="shared" ref="V22:V31" si="17">IF(T$12=0,0,T22/T$12)</f>
        <v>0.56901349647155386</v>
      </c>
      <c r="W22" s="4"/>
      <c r="X22" s="22">
        <f t="shared" ref="X22:X31" si="18">+P22-T22</f>
        <v>9590.9400000000023</v>
      </c>
      <c r="Y22" s="4"/>
      <c r="Z22" s="33">
        <f t="shared" ref="Z22:Z31" si="19">IF(T22=0,0,X22/T22)</f>
        <v>9.9846902540443441E-2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3451.63</v>
      </c>
      <c r="E23" s="1"/>
      <c r="F23" s="5">
        <f t="shared" si="12"/>
        <v>0.10712680679477743</v>
      </c>
      <c r="G23" s="1"/>
      <c r="H23" s="1">
        <f>SUM(OSRRefH22_0x_0)</f>
        <v>3394.61</v>
      </c>
      <c r="I23" s="1"/>
      <c r="J23" s="5">
        <f t="shared" si="13"/>
        <v>0.10786853969573447</v>
      </c>
      <c r="K23" s="1"/>
      <c r="L23" s="1">
        <f t="shared" si="14"/>
        <v>57.019999999999982</v>
      </c>
      <c r="M23" s="1"/>
      <c r="N23" s="5">
        <f t="shared" si="15"/>
        <v>1.6797216764223279E-2</v>
      </c>
      <c r="O23" s="13"/>
      <c r="P23" s="1">
        <f>SUM(OSRRefP22_0x_0)</f>
        <v>17548.02</v>
      </c>
      <c r="Q23" s="1"/>
      <c r="R23" s="5">
        <f t="shared" si="16"/>
        <v>0.1082518566517075</v>
      </c>
      <c r="S23" s="1"/>
      <c r="T23" s="1">
        <f>SUM(OSRRefT22_0x_0)</f>
        <v>17865.89</v>
      </c>
      <c r="U23" s="1"/>
      <c r="V23" s="5">
        <f t="shared" si="17"/>
        <v>0.10583288762126118</v>
      </c>
      <c r="W23" s="1"/>
      <c r="X23" s="1">
        <f t="shared" si="18"/>
        <v>-317.86999999999898</v>
      </c>
      <c r="Y23" s="1"/>
      <c r="Z23" s="5">
        <f t="shared" si="19"/>
        <v>-1.7792004764386155E-2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628.29</v>
      </c>
      <c r="E24" s="2"/>
      <c r="F24" s="7">
        <f t="shared" si="12"/>
        <v>1.9499975791463946E-2</v>
      </c>
      <c r="G24" s="2"/>
      <c r="H24" s="6">
        <v>538.75</v>
      </c>
      <c r="I24" s="2"/>
      <c r="J24" s="7">
        <f t="shared" si="13"/>
        <v>1.7119544148245881E-2</v>
      </c>
      <c r="K24" s="2"/>
      <c r="L24" s="6">
        <f t="shared" si="14"/>
        <v>89.539999999999964</v>
      </c>
      <c r="M24" s="2"/>
      <c r="N24" s="7">
        <f t="shared" si="15"/>
        <v>0.16619953596287695</v>
      </c>
      <c r="O24" s="11"/>
      <c r="P24" s="6">
        <v>3801.94</v>
      </c>
      <c r="Q24" s="2"/>
      <c r="R24" s="7">
        <f t="shared" si="16"/>
        <v>2.3453760816228433E-2</v>
      </c>
      <c r="S24" s="2"/>
      <c r="T24" s="6">
        <v>3460.39</v>
      </c>
      <c r="U24" s="2"/>
      <c r="V24" s="7">
        <f t="shared" si="17"/>
        <v>2.0498450734653353E-2</v>
      </c>
      <c r="W24" s="2"/>
      <c r="X24" s="6">
        <f t="shared" si="18"/>
        <v>341.55000000000018</v>
      </c>
      <c r="Y24" s="2"/>
      <c r="Z24" s="7">
        <f t="shared" si="19"/>
        <v>9.8702747378185754E-2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554.91999999999996</v>
      </c>
      <c r="E25" s="2"/>
      <c r="F25" s="7">
        <f t="shared" si="12"/>
        <v>1.7222821573157576E-2</v>
      </c>
      <c r="G25" s="2"/>
      <c r="H25" s="6">
        <v>474.53</v>
      </c>
      <c r="I25" s="2"/>
      <c r="J25" s="7">
        <f t="shared" si="13"/>
        <v>1.5078862709358917E-2</v>
      </c>
      <c r="K25" s="2"/>
      <c r="L25" s="6">
        <f t="shared" si="14"/>
        <v>80.389999999999986</v>
      </c>
      <c r="M25" s="2"/>
      <c r="N25" s="7">
        <f t="shared" si="15"/>
        <v>0.16940973173455839</v>
      </c>
      <c r="O25" s="11"/>
      <c r="P25" s="6">
        <v>1747.32</v>
      </c>
      <c r="Q25" s="2"/>
      <c r="R25" s="7">
        <f t="shared" si="16"/>
        <v>1.0779030008209562E-2</v>
      </c>
      <c r="S25" s="2"/>
      <c r="T25" s="6">
        <v>2190.46</v>
      </c>
      <c r="U25" s="2"/>
      <c r="V25" s="7">
        <f t="shared" si="17"/>
        <v>1.2975715568542502E-2</v>
      </c>
      <c r="W25" s="2"/>
      <c r="X25" s="6">
        <f t="shared" si="18"/>
        <v>-443.1400000000001</v>
      </c>
      <c r="Y25" s="2"/>
      <c r="Z25" s="7">
        <f t="shared" si="19"/>
        <v>-0.20230453877267793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1290.46</v>
      </c>
      <c r="E26" s="2"/>
      <c r="F26" s="7">
        <f t="shared" si="12"/>
        <v>4.0051471072040885E-2</v>
      </c>
      <c r="G26" s="2"/>
      <c r="H26" s="6">
        <v>1415.02</v>
      </c>
      <c r="I26" s="2"/>
      <c r="J26" s="7">
        <f t="shared" si="13"/>
        <v>4.4964264242507442E-2</v>
      </c>
      <c r="K26" s="2"/>
      <c r="L26" s="6">
        <f t="shared" si="14"/>
        <v>-124.55999999999995</v>
      </c>
      <c r="M26" s="2"/>
      <c r="N26" s="7">
        <f t="shared" si="15"/>
        <v>-8.8027024353012642E-2</v>
      </c>
      <c r="O26" s="11"/>
      <c r="P26" s="6">
        <v>6440.72</v>
      </c>
      <c r="Q26" s="2"/>
      <c r="R26" s="7">
        <f t="shared" si="16"/>
        <v>3.973211212283697E-2</v>
      </c>
      <c r="S26" s="2"/>
      <c r="T26" s="6">
        <v>6187.1</v>
      </c>
      <c r="U26" s="2"/>
      <c r="V26" s="7">
        <f t="shared" si="17"/>
        <v>3.6650771889981698E-2</v>
      </c>
      <c r="W26" s="2"/>
      <c r="X26" s="6">
        <f t="shared" si="18"/>
        <v>253.61999999999989</v>
      </c>
      <c r="Y26" s="2"/>
      <c r="Z26" s="7">
        <f t="shared" si="19"/>
        <v>4.0991740880218501E-2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37.19</v>
      </c>
      <c r="E27" s="2"/>
      <c r="F27" s="7">
        <f t="shared" si="12"/>
        <v>1.1542505844188897E-3</v>
      </c>
      <c r="G27" s="2"/>
      <c r="H27" s="6">
        <v>35.25</v>
      </c>
      <c r="I27" s="2"/>
      <c r="J27" s="7">
        <f t="shared" si="13"/>
        <v>1.1201186658481063E-3</v>
      </c>
      <c r="K27" s="2"/>
      <c r="L27" s="6">
        <f t="shared" si="14"/>
        <v>1.9399999999999977</v>
      </c>
      <c r="M27" s="2"/>
      <c r="N27" s="7">
        <f t="shared" si="15"/>
        <v>5.5035460992907737E-2</v>
      </c>
      <c r="O27" s="11"/>
      <c r="P27" s="6">
        <v>166.92</v>
      </c>
      <c r="Q27" s="2"/>
      <c r="R27" s="7">
        <f t="shared" si="16"/>
        <v>1.0297116091902685E-3</v>
      </c>
      <c r="S27" s="2"/>
      <c r="T27" s="6">
        <v>162.72</v>
      </c>
      <c r="U27" s="2"/>
      <c r="V27" s="7">
        <f t="shared" si="17"/>
        <v>9.6391097637630251E-4</v>
      </c>
      <c r="W27" s="2"/>
      <c r="X27" s="6">
        <f t="shared" si="18"/>
        <v>4.1999999999999886</v>
      </c>
      <c r="Y27" s="2"/>
      <c r="Z27" s="7">
        <f t="shared" si="19"/>
        <v>2.5811209439527954E-2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326.52</v>
      </c>
      <c r="E28" s="2"/>
      <c r="F28" s="7">
        <f t="shared" si="12"/>
        <v>1.0134065631203438E-2</v>
      </c>
      <c r="G28" s="2"/>
      <c r="H28" s="6">
        <v>310.52</v>
      </c>
      <c r="I28" s="2"/>
      <c r="J28" s="7">
        <f t="shared" si="13"/>
        <v>9.8672127126001111E-3</v>
      </c>
      <c r="K28" s="2"/>
      <c r="L28" s="6">
        <f t="shared" si="14"/>
        <v>16</v>
      </c>
      <c r="M28" s="2"/>
      <c r="N28" s="7">
        <f t="shared" si="15"/>
        <v>5.1526471724848644E-2</v>
      </c>
      <c r="O28" s="11"/>
      <c r="P28" s="6">
        <v>1632.6</v>
      </c>
      <c r="Q28" s="2"/>
      <c r="R28" s="7">
        <f t="shared" si="16"/>
        <v>1.0071334610376423E-2</v>
      </c>
      <c r="S28" s="2"/>
      <c r="T28" s="6">
        <v>1611.71</v>
      </c>
      <c r="U28" s="2"/>
      <c r="V28" s="7">
        <f t="shared" si="17"/>
        <v>9.5473510308225831E-3</v>
      </c>
      <c r="W28" s="2"/>
      <c r="X28" s="6">
        <f t="shared" si="18"/>
        <v>20.889999999999873</v>
      </c>
      <c r="Y28" s="2"/>
      <c r="Z28" s="7">
        <f t="shared" si="19"/>
        <v>1.2961388835460394E-2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269.38</v>
      </c>
      <c r="E29" s="2"/>
      <c r="F29" s="7">
        <f t="shared" si="12"/>
        <v>8.3606351823275211E-3</v>
      </c>
      <c r="G29" s="2"/>
      <c r="H29" s="6">
        <v>261.52</v>
      </c>
      <c r="I29" s="2"/>
      <c r="J29" s="7">
        <f t="shared" si="13"/>
        <v>8.3101683260311133E-3</v>
      </c>
      <c r="K29" s="2"/>
      <c r="L29" s="6">
        <f t="shared" si="14"/>
        <v>7.8600000000000136</v>
      </c>
      <c r="M29" s="2"/>
      <c r="N29" s="7">
        <f t="shared" si="15"/>
        <v>3.0055062710309017E-2</v>
      </c>
      <c r="O29" s="11"/>
      <c r="P29" s="6">
        <v>1565.68</v>
      </c>
      <c r="Q29" s="2"/>
      <c r="R29" s="7">
        <f t="shared" si="16"/>
        <v>9.6585122949737583E-3</v>
      </c>
      <c r="S29" s="2"/>
      <c r="T29" s="6">
        <v>1587.48</v>
      </c>
      <c r="U29" s="2"/>
      <c r="V29" s="7">
        <f t="shared" si="17"/>
        <v>9.4038188100900484E-3</v>
      </c>
      <c r="W29" s="2"/>
      <c r="X29" s="6">
        <f t="shared" si="18"/>
        <v>-21.799999999999955</v>
      </c>
      <c r="Y29" s="2"/>
      <c r="Z29" s="7">
        <f t="shared" si="19"/>
        <v>-1.3732456471892531E-2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215.62</v>
      </c>
      <c r="E30" s="2"/>
      <c r="F30" s="7">
        <f t="shared" si="12"/>
        <v>6.6921083896854267E-3</v>
      </c>
      <c r="G30" s="2"/>
      <c r="H30" s="6">
        <v>209.34</v>
      </c>
      <c r="I30" s="2"/>
      <c r="J30" s="7">
        <f t="shared" si="13"/>
        <v>6.6520749364153923E-3</v>
      </c>
      <c r="K30" s="2"/>
      <c r="L30" s="6">
        <f t="shared" si="14"/>
        <v>6.2800000000000011</v>
      </c>
      <c r="M30" s="2"/>
      <c r="N30" s="7">
        <f t="shared" si="15"/>
        <v>2.9999044616413496E-2</v>
      </c>
      <c r="O30" s="11"/>
      <c r="P30" s="6">
        <v>1519.8</v>
      </c>
      <c r="Q30" s="2"/>
      <c r="R30" s="7">
        <f t="shared" si="16"/>
        <v>9.3754834869840056E-3</v>
      </c>
      <c r="S30" s="2"/>
      <c r="T30" s="6">
        <v>2006.82</v>
      </c>
      <c r="U30" s="2"/>
      <c r="V30" s="7">
        <f t="shared" si="17"/>
        <v>1.1887879950906413E-2</v>
      </c>
      <c r="W30" s="2"/>
      <c r="X30" s="6">
        <f t="shared" si="18"/>
        <v>-487.02</v>
      </c>
      <c r="Y30" s="2"/>
      <c r="Z30" s="7">
        <f t="shared" si="19"/>
        <v>-0.24268245283582981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129.25</v>
      </c>
      <c r="E31" s="2"/>
      <c r="F31" s="7">
        <f t="shared" si="12"/>
        <v>4.0114785704797387E-3</v>
      </c>
      <c r="G31" s="2"/>
      <c r="H31" s="6">
        <v>149.68</v>
      </c>
      <c r="I31" s="2"/>
      <c r="J31" s="7">
        <f t="shared" si="13"/>
        <v>4.7562939547275054E-3</v>
      </c>
      <c r="K31" s="2"/>
      <c r="L31" s="6">
        <f t="shared" si="14"/>
        <v>-20.430000000000007</v>
      </c>
      <c r="M31" s="2"/>
      <c r="N31" s="7">
        <f t="shared" si="15"/>
        <v>-0.13649118118653131</v>
      </c>
      <c r="O31" s="11"/>
      <c r="P31" s="6">
        <v>673.04</v>
      </c>
      <c r="Q31" s="2"/>
      <c r="R31" s="7">
        <f t="shared" si="16"/>
        <v>4.1519117029080897E-3</v>
      </c>
      <c r="S31" s="2"/>
      <c r="T31" s="6">
        <v>659.21</v>
      </c>
      <c r="U31" s="2"/>
      <c r="V31" s="7">
        <f t="shared" si="17"/>
        <v>3.9049886598882893E-3</v>
      </c>
      <c r="W31" s="2"/>
      <c r="X31" s="6">
        <f t="shared" si="18"/>
        <v>13.829999999999927</v>
      </c>
      <c r="Y31" s="2"/>
      <c r="Z31" s="7">
        <f t="shared" si="19"/>
        <v>2.0979657468788288E-2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12494.59</v>
      </c>
      <c r="E32" s="1"/>
      <c r="F32" s="5">
        <f t="shared" ref="F32:F37" si="20">IF(D$12=0,0,D32/D$12)</f>
        <v>0.38778940063389122</v>
      </c>
      <c r="G32" s="1"/>
      <c r="H32" s="1">
        <f>SUM(OSRRefH22_1x_0)</f>
        <v>11128.04</v>
      </c>
      <c r="I32" s="1"/>
      <c r="J32" s="5">
        <f t="shared" ref="J32:J37" si="21">IF(H$12=0,0,H32/H$12)</f>
        <v>0.35360922888806701</v>
      </c>
      <c r="K32" s="1"/>
      <c r="L32" s="1">
        <f t="shared" ref="L32:L37" si="22">+D32-H32</f>
        <v>1366.5499999999993</v>
      </c>
      <c r="M32" s="1"/>
      <c r="N32" s="5">
        <f t="shared" ref="N32:N37" si="23">IF(H32=0,0,L32/H32)</f>
        <v>0.12280239826600184</v>
      </c>
      <c r="O32" s="13"/>
      <c r="P32" s="1">
        <f>SUM(OSRRefP22_1x_0)</f>
        <v>65675.009999999995</v>
      </c>
      <c r="Q32" s="1"/>
      <c r="R32" s="5">
        <f t="shared" ref="R32:R37" si="24">IF(P$12=0,0,P32/P$12)</f>
        <v>0.40514210538393824</v>
      </c>
      <c r="S32" s="1"/>
      <c r="T32" s="1">
        <f>SUM(OSRRefT22_1x_0)</f>
        <v>61307.770000000004</v>
      </c>
      <c r="U32" s="1"/>
      <c r="V32" s="5">
        <f t="shared" ref="V32:V37" si="25">IF(T$12=0,0,T32/T$12)</f>
        <v>0.36317129080723815</v>
      </c>
      <c r="W32" s="1"/>
      <c r="X32" s="1">
        <f t="shared" ref="X32:X37" si="26">+P32-T32</f>
        <v>4367.2399999999907</v>
      </c>
      <c r="Y32" s="1"/>
      <c r="Z32" s="5">
        <f t="shared" ref="Z32:Z37" si="27">IF(T32=0,0,X32/T32)</f>
        <v>7.1234690154282077E-2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4440.8900000000003</v>
      </c>
      <c r="E33" s="2"/>
      <c r="F33" s="7">
        <f t="shared" si="20"/>
        <v>0.13783005855982799</v>
      </c>
      <c r="G33" s="2"/>
      <c r="H33" s="6">
        <v>4538.46</v>
      </c>
      <c r="I33" s="2"/>
      <c r="J33" s="7">
        <f t="shared" si="21"/>
        <v>0.14421599319730485</v>
      </c>
      <c r="K33" s="2"/>
      <c r="L33" s="6">
        <f t="shared" si="22"/>
        <v>-97.569999999999709</v>
      </c>
      <c r="M33" s="2"/>
      <c r="N33" s="7">
        <f t="shared" si="23"/>
        <v>-2.1498481863892093E-2</v>
      </c>
      <c r="O33" s="11"/>
      <c r="P33" s="6">
        <v>24541.759999999998</v>
      </c>
      <c r="Q33" s="2"/>
      <c r="R33" s="7">
        <f t="shared" si="24"/>
        <v>0.15139548994704866</v>
      </c>
      <c r="S33" s="2"/>
      <c r="T33" s="6">
        <v>21440.390000000003</v>
      </c>
      <c r="U33" s="2"/>
      <c r="V33" s="7">
        <f t="shared" si="25"/>
        <v>0.12700729632982249</v>
      </c>
      <c r="W33" s="2"/>
      <c r="X33" s="6">
        <f t="shared" si="26"/>
        <v>3101.3699999999953</v>
      </c>
      <c r="Y33" s="2"/>
      <c r="Z33" s="7">
        <f t="shared" si="27"/>
        <v>0.14465082025093737</v>
      </c>
    </row>
    <row r="34" spans="1:26" s="24" customFormat="1" hidden="1" outlineLevel="2" x14ac:dyDescent="0.25">
      <c r="A34" s="26"/>
      <c r="B34" s="11" t="str">
        <f>CONCATENATE("          ", "6005", " - ", "TEMPORARY WAGES-HOURLY")</f>
        <v xml:space="preserve">          6005 - TEMPORARY WAGES-HOURLY</v>
      </c>
      <c r="C34" s="11"/>
      <c r="D34" s="6">
        <v>3538.7</v>
      </c>
      <c r="E34" s="2"/>
      <c r="F34" s="7">
        <f t="shared" si="20"/>
        <v>0.10982916222326229</v>
      </c>
      <c r="G34" s="2"/>
      <c r="H34" s="6">
        <v>1893.95</v>
      </c>
      <c r="I34" s="2"/>
      <c r="J34" s="7">
        <f t="shared" si="21"/>
        <v>6.0182943182497048E-2</v>
      </c>
      <c r="K34" s="2"/>
      <c r="L34" s="6">
        <f t="shared" si="22"/>
        <v>1644.7499999999998</v>
      </c>
      <c r="M34" s="2"/>
      <c r="N34" s="7">
        <f t="shared" si="23"/>
        <v>0.8684231368304336</v>
      </c>
      <c r="O34" s="11"/>
      <c r="P34" s="6">
        <v>17893.939999999999</v>
      </c>
      <c r="Q34" s="2"/>
      <c r="R34" s="7">
        <f t="shared" si="24"/>
        <v>0.11038580009677758</v>
      </c>
      <c r="S34" s="2"/>
      <c r="T34" s="6">
        <v>11685.49</v>
      </c>
      <c r="U34" s="2"/>
      <c r="V34" s="7">
        <f t="shared" si="25"/>
        <v>6.9221804789426744E-2</v>
      </c>
      <c r="W34" s="2"/>
      <c r="X34" s="6">
        <f t="shared" si="26"/>
        <v>6208.4499999999989</v>
      </c>
      <c r="Y34" s="2"/>
      <c r="Z34" s="7">
        <f t="shared" si="27"/>
        <v>0.53129564956197806</v>
      </c>
    </row>
    <row r="35" spans="1:26" s="24" customFormat="1" hidden="1" outlineLevel="2" x14ac:dyDescent="0.25">
      <c r="A35" s="26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20"/>
        <v>0</v>
      </c>
      <c r="G35" s="2"/>
      <c r="H35" s="6">
        <v>599.25</v>
      </c>
      <c r="I35" s="2"/>
      <c r="J35" s="7">
        <f t="shared" si="21"/>
        <v>1.9042017319417806E-2</v>
      </c>
      <c r="K35" s="2"/>
      <c r="L35" s="6">
        <f t="shared" si="22"/>
        <v>-599.25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3490.62</v>
      </c>
      <c r="U35" s="2"/>
      <c r="V35" s="7">
        <f t="shared" si="25"/>
        <v>2.0677525395517756E-2</v>
      </c>
      <c r="W35" s="2"/>
      <c r="X35" s="6">
        <f t="shared" si="26"/>
        <v>-3490.62</v>
      </c>
      <c r="Y35" s="2"/>
      <c r="Z35" s="7">
        <f t="shared" si="27"/>
        <v>-1</v>
      </c>
    </row>
    <row r="36" spans="1:26" s="24" customFormat="1" hidden="1" outlineLevel="2" x14ac:dyDescent="0.25">
      <c r="A36" s="26"/>
      <c r="B36" s="11" t="str">
        <f>CONCATENATE("          ", "6007", " - ", "STUDENT HOURLY")</f>
        <v xml:space="preserve">          6007 - STUDENT HOURLY</v>
      </c>
      <c r="C36" s="11"/>
      <c r="D36" s="6">
        <v>3969</v>
      </c>
      <c r="E36" s="2"/>
      <c r="F36" s="7">
        <f t="shared" si="20"/>
        <v>0.12318420461302966</v>
      </c>
      <c r="G36" s="2"/>
      <c r="H36" s="6">
        <v>3029.38</v>
      </c>
      <c r="I36" s="2"/>
      <c r="J36" s="7">
        <f t="shared" si="21"/>
        <v>9.6262839260905994E-2</v>
      </c>
      <c r="K36" s="2"/>
      <c r="L36" s="6">
        <f t="shared" si="22"/>
        <v>939.61999999999989</v>
      </c>
      <c r="M36" s="2"/>
      <c r="N36" s="7">
        <f t="shared" si="23"/>
        <v>0.31016907750100675</v>
      </c>
      <c r="O36" s="11"/>
      <c r="P36" s="6">
        <v>20935.310000000001</v>
      </c>
      <c r="Q36" s="2"/>
      <c r="R36" s="7">
        <f t="shared" si="24"/>
        <v>0.12914768601124565</v>
      </c>
      <c r="S36" s="2"/>
      <c r="T36" s="6">
        <v>19436.02</v>
      </c>
      <c r="U36" s="2"/>
      <c r="V36" s="7">
        <f t="shared" si="25"/>
        <v>0.11513392954196991</v>
      </c>
      <c r="W36" s="2"/>
      <c r="X36" s="6">
        <f t="shared" si="26"/>
        <v>1499.2900000000009</v>
      </c>
      <c r="Y36" s="2"/>
      <c r="Z36" s="7">
        <f t="shared" si="27"/>
        <v>7.7139764210985631E-2</v>
      </c>
    </row>
    <row r="37" spans="1:26" s="24" customFormat="1" hidden="1" outlineLevel="2" x14ac:dyDescent="0.25">
      <c r="A37" s="26"/>
      <c r="B37" s="11" t="str">
        <f>CONCATENATE("          ", "6008", " - ", "STUDENT HOURLY-FICA EXEMPT")</f>
        <v xml:space="preserve">          6008 - STUDENT HOURLY-FICA EXEMPT</v>
      </c>
      <c r="C37" s="11"/>
      <c r="D37" s="6">
        <v>546</v>
      </c>
      <c r="E37" s="2"/>
      <c r="F37" s="7">
        <f t="shared" si="20"/>
        <v>1.6945975237771277E-2</v>
      </c>
      <c r="G37" s="2"/>
      <c r="H37" s="6">
        <v>1067</v>
      </c>
      <c r="I37" s="2"/>
      <c r="J37" s="7">
        <f t="shared" si="21"/>
        <v>3.3905435927941256E-2</v>
      </c>
      <c r="K37" s="2"/>
      <c r="L37" s="6">
        <f t="shared" si="22"/>
        <v>-521</v>
      </c>
      <c r="M37" s="2"/>
      <c r="N37" s="7">
        <f t="shared" si="23"/>
        <v>-0.48828491096532334</v>
      </c>
      <c r="O37" s="11"/>
      <c r="P37" s="6">
        <v>2304</v>
      </c>
      <c r="Q37" s="2"/>
      <c r="R37" s="7">
        <f t="shared" si="24"/>
        <v>1.4213129328866396E-2</v>
      </c>
      <c r="S37" s="2"/>
      <c r="T37" s="6">
        <v>5255.25</v>
      </c>
      <c r="U37" s="2"/>
      <c r="V37" s="7">
        <f t="shared" si="25"/>
        <v>3.1130734750501255E-2</v>
      </c>
      <c r="W37" s="2"/>
      <c r="X37" s="6">
        <f t="shared" si="26"/>
        <v>-2951.25</v>
      </c>
      <c r="Y37" s="2"/>
      <c r="Z37" s="7">
        <f t="shared" si="27"/>
        <v>-0.56158127586699014</v>
      </c>
    </row>
    <row r="38" spans="1:26" s="25" customFormat="1" outlineLevel="1" collapsed="1" x14ac:dyDescent="0.25">
      <c r="A38" s="27"/>
      <c r="B38" s="13" t="str">
        <f>CONCATENATE("     ","Advertising/Promo                                 ")</f>
        <v xml:space="preserve">     Advertising/Promo                                 </v>
      </c>
      <c r="C38" s="13"/>
      <c r="D38" s="1">
        <f>SUM(OSRRefD22_2x_0)</f>
        <v>135.28</v>
      </c>
      <c r="E38" s="1"/>
      <c r="F38" s="5">
        <f t="shared" ref="F38:F51" si="28">IF(D$12=0,0,D38/D$12)</f>
        <v>4.198629176127653E-3</v>
      </c>
      <c r="G38" s="1"/>
      <c r="H38" s="1">
        <f>SUM(OSRRefH22_2x_0)</f>
        <v>45.94</v>
      </c>
      <c r="I38" s="1"/>
      <c r="J38" s="5">
        <f t="shared" ref="J38:J51" si="29">IF(H$12=0,0,H38/H$12)</f>
        <v>1.4598085534485673E-3</v>
      </c>
      <c r="K38" s="1"/>
      <c r="L38" s="1">
        <f t="shared" ref="L38:L51" si="30">+D38-H38</f>
        <v>89.34</v>
      </c>
      <c r="M38" s="1"/>
      <c r="N38" s="5">
        <f t="shared" ref="N38:N51" si="31">IF(H38=0,0,L38/H38)</f>
        <v>1.9447104919460168</v>
      </c>
      <c r="O38" s="13"/>
      <c r="P38" s="1">
        <f>SUM(OSRRefP22_2x_0)</f>
        <v>1465</v>
      </c>
      <c r="Q38" s="1"/>
      <c r="R38" s="5">
        <f t="shared" ref="R38:R51" si="32">IF(P$12=0,0,P38/P$12)</f>
        <v>9.0374281539883985E-3</v>
      </c>
      <c r="S38" s="1"/>
      <c r="T38" s="1">
        <f>SUM(OSRRefT22_2x_0)</f>
        <v>1196.7</v>
      </c>
      <c r="U38" s="1"/>
      <c r="V38" s="5">
        <f t="shared" ref="V38:V51" si="33">IF(T$12=0,0,T38/T$12)</f>
        <v>7.0889396843013845E-3</v>
      </c>
      <c r="W38" s="1"/>
      <c r="X38" s="1">
        <f t="shared" ref="X38:X51" si="34">+P38-T38</f>
        <v>268.29999999999995</v>
      </c>
      <c r="Y38" s="1"/>
      <c r="Z38" s="5">
        <f t="shared" ref="Z38:Z51" si="35">IF(T38=0,0,X38/T38)</f>
        <v>0.22419988301161523</v>
      </c>
    </row>
    <row r="39" spans="1:26" s="24" customFormat="1" hidden="1" outlineLevel="2" x14ac:dyDescent="0.25">
      <c r="A39" s="26"/>
      <c r="B39" s="11" t="str">
        <f>CONCATENATE("          ", "6362", " - ", "ADVERTISING EXPENSE")</f>
        <v xml:space="preserve">          6362 - ADVERTISING EXPENSE</v>
      </c>
      <c r="C39" s="11"/>
      <c r="D39" s="6">
        <v>135.28</v>
      </c>
      <c r="E39" s="2"/>
      <c r="F39" s="7">
        <f t="shared" si="28"/>
        <v>4.198629176127653E-3</v>
      </c>
      <c r="G39" s="2"/>
      <c r="H39" s="6">
        <v>45.94</v>
      </c>
      <c r="I39" s="2"/>
      <c r="J39" s="7">
        <f t="shared" si="29"/>
        <v>1.4598085534485673E-3</v>
      </c>
      <c r="K39" s="2"/>
      <c r="L39" s="6">
        <f t="shared" si="30"/>
        <v>89.34</v>
      </c>
      <c r="M39" s="2"/>
      <c r="N39" s="7">
        <f t="shared" si="31"/>
        <v>1.9447104919460168</v>
      </c>
      <c r="O39" s="11"/>
      <c r="P39" s="6">
        <v>1465</v>
      </c>
      <c r="Q39" s="2"/>
      <c r="R39" s="7">
        <f t="shared" si="32"/>
        <v>9.0374281539883985E-3</v>
      </c>
      <c r="S39" s="2"/>
      <c r="T39" s="6">
        <v>1196.7</v>
      </c>
      <c r="U39" s="2"/>
      <c r="V39" s="7">
        <f t="shared" si="33"/>
        <v>7.0889396843013845E-3</v>
      </c>
      <c r="W39" s="2"/>
      <c r="X39" s="6">
        <f t="shared" si="34"/>
        <v>268.29999999999995</v>
      </c>
      <c r="Y39" s="2"/>
      <c r="Z39" s="7">
        <f t="shared" si="35"/>
        <v>0.22419988301161523</v>
      </c>
    </row>
    <row r="40" spans="1:26" s="25" customFormat="1" outlineLevel="1" collapsed="1" x14ac:dyDescent="0.25">
      <c r="A40" s="27"/>
      <c r="B40" s="13" t="str">
        <f>CONCATENATE("     ","Bad Debts/Over/Short                              ")</f>
        <v xml:space="preserve">     Bad Debts/Over/Short                              </v>
      </c>
      <c r="C40" s="13"/>
      <c r="D40" s="1">
        <f>SUM(OSRRefD22_3x_0)</f>
        <v>2.04</v>
      </c>
      <c r="E40" s="1"/>
      <c r="F40" s="5">
        <f t="shared" si="28"/>
        <v>6.3314632756508062E-5</v>
      </c>
      <c r="G40" s="1"/>
      <c r="H40" s="1">
        <f>SUM(OSRRefH22_3x_0)</f>
        <v>-2.85</v>
      </c>
      <c r="I40" s="1"/>
      <c r="J40" s="5">
        <f t="shared" si="29"/>
        <v>-9.0562785749421357E-5</v>
      </c>
      <c r="K40" s="1"/>
      <c r="L40" s="1">
        <f t="shared" si="30"/>
        <v>4.8900000000000006</v>
      </c>
      <c r="M40" s="1"/>
      <c r="N40" s="5">
        <f t="shared" si="31"/>
        <v>-1.7157894736842108</v>
      </c>
      <c r="O40" s="13"/>
      <c r="P40" s="1">
        <f>SUM(OSRRefP22_3x_0)</f>
        <v>-24.52</v>
      </c>
      <c r="Q40" s="1"/>
      <c r="R40" s="5">
        <f t="shared" si="32"/>
        <v>-1.5126125483672049E-4</v>
      </c>
      <c r="S40" s="1"/>
      <c r="T40" s="1">
        <f>SUM(OSRRefT22_3x_0)</f>
        <v>45.7</v>
      </c>
      <c r="U40" s="1"/>
      <c r="V40" s="5">
        <f t="shared" si="33"/>
        <v>2.7071491900440651E-4</v>
      </c>
      <c r="W40" s="1"/>
      <c r="X40" s="1">
        <f t="shared" si="34"/>
        <v>-70.22</v>
      </c>
      <c r="Y40" s="1"/>
      <c r="Z40" s="5">
        <f t="shared" si="35"/>
        <v>-1.536542669584245</v>
      </c>
    </row>
    <row r="41" spans="1:26" s="24" customFormat="1" hidden="1" outlineLevel="2" x14ac:dyDescent="0.25">
      <c r="A41" s="26"/>
      <c r="B41" s="11" t="str">
        <f>CONCATENATE("          ", "6272", " - ", "CASH (OVER/SHORT)")</f>
        <v xml:space="preserve">          6272 - CASH (OVER/SHORT)</v>
      </c>
      <c r="C41" s="11"/>
      <c r="D41" s="6">
        <v>2.04</v>
      </c>
      <c r="E41" s="2"/>
      <c r="F41" s="7">
        <f t="shared" si="28"/>
        <v>6.3314632756508062E-5</v>
      </c>
      <c r="G41" s="2"/>
      <c r="H41" s="6">
        <v>-2.85</v>
      </c>
      <c r="I41" s="2"/>
      <c r="J41" s="7">
        <f t="shared" si="29"/>
        <v>-9.0562785749421357E-5</v>
      </c>
      <c r="K41" s="2"/>
      <c r="L41" s="6">
        <f t="shared" si="30"/>
        <v>4.8900000000000006</v>
      </c>
      <c r="M41" s="2"/>
      <c r="N41" s="7">
        <f t="shared" si="31"/>
        <v>-1.7157894736842108</v>
      </c>
      <c r="O41" s="11"/>
      <c r="P41" s="6">
        <v>-24.52</v>
      </c>
      <c r="Q41" s="2"/>
      <c r="R41" s="7">
        <f t="shared" si="32"/>
        <v>-1.5126125483672049E-4</v>
      </c>
      <c r="S41" s="2"/>
      <c r="T41" s="6">
        <v>45.7</v>
      </c>
      <c r="U41" s="2"/>
      <c r="V41" s="7">
        <f t="shared" si="33"/>
        <v>2.7071491900440651E-4</v>
      </c>
      <c r="W41" s="2"/>
      <c r="X41" s="6">
        <f t="shared" si="34"/>
        <v>-70.22</v>
      </c>
      <c r="Y41" s="2"/>
      <c r="Z41" s="7">
        <f t="shared" si="35"/>
        <v>-1.536542669584245</v>
      </c>
    </row>
    <row r="42" spans="1:26" s="25" customFormat="1" outlineLevel="1" collapsed="1" x14ac:dyDescent="0.25">
      <c r="A42" s="27"/>
      <c r="B42" s="13" t="str">
        <f>CONCATENATE("     ","Bank/card Fees                                    ")</f>
        <v xml:space="preserve">     Bank/card Fees                                    </v>
      </c>
      <c r="C42" s="13"/>
      <c r="D42" s="1">
        <f>SUM(OSRRefD22_4x_0)</f>
        <v>1040.6099999999999</v>
      </c>
      <c r="E42" s="1"/>
      <c r="F42" s="5">
        <f t="shared" si="28"/>
        <v>3.2296980388602868E-2</v>
      </c>
      <c r="G42" s="1"/>
      <c r="H42" s="1">
        <f>SUM(OSRRefH22_4x_0)</f>
        <v>1047.96</v>
      </c>
      <c r="I42" s="1"/>
      <c r="J42" s="5">
        <f t="shared" si="29"/>
        <v>3.3300412966303018E-2</v>
      </c>
      <c r="K42" s="1"/>
      <c r="L42" s="1">
        <f t="shared" si="30"/>
        <v>-7.3500000000001364</v>
      </c>
      <c r="M42" s="1"/>
      <c r="N42" s="5">
        <f t="shared" si="31"/>
        <v>-7.0136264742930417E-3</v>
      </c>
      <c r="O42" s="13"/>
      <c r="P42" s="1">
        <f>SUM(OSRRefP22_4x_0)</f>
        <v>5663.37</v>
      </c>
      <c r="Q42" s="1"/>
      <c r="R42" s="5">
        <f t="shared" si="32"/>
        <v>3.4936723197579025E-2</v>
      </c>
      <c r="S42" s="1"/>
      <c r="T42" s="1">
        <f>SUM(OSRRefT22_4x_0)</f>
        <v>5584.36</v>
      </c>
      <c r="U42" s="1"/>
      <c r="V42" s="5">
        <f t="shared" si="33"/>
        <v>3.308029682913452E-2</v>
      </c>
      <c r="W42" s="1"/>
      <c r="X42" s="1">
        <f t="shared" si="34"/>
        <v>79.010000000000218</v>
      </c>
      <c r="Y42" s="1"/>
      <c r="Z42" s="5">
        <f t="shared" si="35"/>
        <v>1.4148443151945831E-2</v>
      </c>
    </row>
    <row r="43" spans="1:26" s="24" customFormat="1" hidden="1" outlineLevel="2" x14ac:dyDescent="0.25">
      <c r="A43" s="26"/>
      <c r="B43" s="11" t="str">
        <f>CONCATENATE("          ", "6381", " - ", "BANK/CREDIT CARD FEES")</f>
        <v xml:space="preserve">          6381 - BANK/CREDIT CARD FEES</v>
      </c>
      <c r="C43" s="11"/>
      <c r="D43" s="6">
        <v>1040.6099999999999</v>
      </c>
      <c r="E43" s="2"/>
      <c r="F43" s="7">
        <f t="shared" si="28"/>
        <v>3.2296980388602868E-2</v>
      </c>
      <c r="G43" s="2"/>
      <c r="H43" s="6">
        <v>1047.96</v>
      </c>
      <c r="I43" s="2"/>
      <c r="J43" s="7">
        <f t="shared" si="29"/>
        <v>3.3300412966303018E-2</v>
      </c>
      <c r="K43" s="2"/>
      <c r="L43" s="6">
        <f t="shared" si="30"/>
        <v>-7.3500000000001364</v>
      </c>
      <c r="M43" s="2"/>
      <c r="N43" s="7">
        <f t="shared" si="31"/>
        <v>-7.0136264742930417E-3</v>
      </c>
      <c r="O43" s="11"/>
      <c r="P43" s="6">
        <v>5663.37</v>
      </c>
      <c r="Q43" s="2"/>
      <c r="R43" s="7">
        <f t="shared" si="32"/>
        <v>3.4936723197579025E-2</v>
      </c>
      <c r="S43" s="2"/>
      <c r="T43" s="6">
        <v>5584.36</v>
      </c>
      <c r="U43" s="2"/>
      <c r="V43" s="7">
        <f t="shared" si="33"/>
        <v>3.308029682913452E-2</v>
      </c>
      <c r="W43" s="2"/>
      <c r="X43" s="6">
        <f t="shared" si="34"/>
        <v>79.010000000000218</v>
      </c>
      <c r="Y43" s="2"/>
      <c r="Z43" s="7">
        <f t="shared" si="35"/>
        <v>1.4148443151945831E-2</v>
      </c>
    </row>
    <row r="44" spans="1:26" s="25" customFormat="1" outlineLevel="1" collapsed="1" x14ac:dyDescent="0.25">
      <c r="A44" s="27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SUM(OSRRefD22_5x_0)</f>
        <v>630.21</v>
      </c>
      <c r="E44" s="1"/>
      <c r="F44" s="5">
        <f t="shared" si="28"/>
        <v>1.9559566034058309E-2</v>
      </c>
      <c r="G44" s="1"/>
      <c r="H44" s="1">
        <f>SUM(OSRRefH22_5x_0)</f>
        <v>635.67999999999995</v>
      </c>
      <c r="I44" s="1"/>
      <c r="J44" s="5">
        <f t="shared" si="29"/>
        <v>2.0199632156207778E-2</v>
      </c>
      <c r="K44" s="1"/>
      <c r="L44" s="1">
        <f t="shared" si="30"/>
        <v>-5.4699999999999136</v>
      </c>
      <c r="M44" s="1"/>
      <c r="N44" s="5">
        <f t="shared" si="31"/>
        <v>-8.6049584696701389E-3</v>
      </c>
      <c r="O44" s="13"/>
      <c r="P44" s="1">
        <f>SUM(OSRRefP22_5x_0)</f>
        <v>3151.05</v>
      </c>
      <c r="Q44" s="1"/>
      <c r="R44" s="5">
        <f t="shared" si="32"/>
        <v>1.9438490091894297E-2</v>
      </c>
      <c r="S44" s="1"/>
      <c r="T44" s="1">
        <f>SUM(OSRRefT22_5x_0)</f>
        <v>3178.4</v>
      </c>
      <c r="U44" s="1"/>
      <c r="V44" s="5">
        <f t="shared" si="33"/>
        <v>1.8828015285855704E-2</v>
      </c>
      <c r="W44" s="1"/>
      <c r="X44" s="1">
        <f t="shared" si="34"/>
        <v>-27.349999999999909</v>
      </c>
      <c r="Y44" s="1"/>
      <c r="Z44" s="5">
        <f t="shared" si="35"/>
        <v>-8.6049584696702448E-3</v>
      </c>
    </row>
    <row r="45" spans="1:26" s="24" customFormat="1" hidden="1" outlineLevel="2" x14ac:dyDescent="0.25">
      <c r="A45" s="26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630.21</v>
      </c>
      <c r="E45" s="2"/>
      <c r="F45" s="7">
        <f t="shared" si="28"/>
        <v>1.9559566034058309E-2</v>
      </c>
      <c r="G45" s="2"/>
      <c r="H45" s="6">
        <v>635.67999999999995</v>
      </c>
      <c r="I45" s="2"/>
      <c r="J45" s="7">
        <f t="shared" si="29"/>
        <v>2.0199632156207778E-2</v>
      </c>
      <c r="K45" s="2"/>
      <c r="L45" s="6">
        <f t="shared" si="30"/>
        <v>-5.4699999999999136</v>
      </c>
      <c r="M45" s="2"/>
      <c r="N45" s="7">
        <f t="shared" si="31"/>
        <v>-8.6049584696701389E-3</v>
      </c>
      <c r="O45" s="11"/>
      <c r="P45" s="6">
        <v>3151.05</v>
      </c>
      <c r="Q45" s="2"/>
      <c r="R45" s="7">
        <f t="shared" si="32"/>
        <v>1.9438490091894297E-2</v>
      </c>
      <c r="S45" s="2"/>
      <c r="T45" s="6">
        <v>3178.4</v>
      </c>
      <c r="U45" s="2"/>
      <c r="V45" s="7">
        <f t="shared" si="33"/>
        <v>1.8828015285855704E-2</v>
      </c>
      <c r="W45" s="2"/>
      <c r="X45" s="6">
        <f t="shared" si="34"/>
        <v>-27.349999999999909</v>
      </c>
      <c r="Y45" s="2"/>
      <c r="Z45" s="7">
        <f t="shared" si="35"/>
        <v>-8.6049584696702448E-3</v>
      </c>
    </row>
    <row r="46" spans="1:26" s="25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SUM(OSRRefD22_6x_0)</f>
        <v>0</v>
      </c>
      <c r="E46" s="1"/>
      <c r="F46" s="5">
        <f t="shared" si="28"/>
        <v>0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0</v>
      </c>
      <c r="M46" s="1"/>
      <c r="N46" s="5">
        <f t="shared" si="31"/>
        <v>0</v>
      </c>
      <c r="O46" s="13"/>
      <c r="P46" s="1">
        <f>SUM(OSRRefP22_6x_0)</f>
        <v>851.35</v>
      </c>
      <c r="Q46" s="1"/>
      <c r="R46" s="5">
        <f t="shared" si="32"/>
        <v>5.2518870026607668E-3</v>
      </c>
      <c r="S46" s="1"/>
      <c r="T46" s="1">
        <f>SUM(OSRRefT22_6x_0)</f>
        <v>724.2</v>
      </c>
      <c r="U46" s="1"/>
      <c r="V46" s="5">
        <f t="shared" si="33"/>
        <v>4.289972523916657E-3</v>
      </c>
      <c r="W46" s="1"/>
      <c r="X46" s="1">
        <f t="shared" si="34"/>
        <v>127.14999999999998</v>
      </c>
      <c r="Y46" s="1"/>
      <c r="Z46" s="5">
        <f t="shared" si="35"/>
        <v>0.17557304611985636</v>
      </c>
    </row>
    <row r="47" spans="1:26" s="24" customFormat="1" hidden="1" outlineLevel="2" x14ac:dyDescent="0.25">
      <c r="A47" s="26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28"/>
        <v>0</v>
      </c>
      <c r="G47" s="2"/>
      <c r="H47" s="6"/>
      <c r="I47" s="2"/>
      <c r="J47" s="7">
        <f t="shared" si="29"/>
        <v>0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>
        <v>851.35</v>
      </c>
      <c r="Q47" s="2"/>
      <c r="R47" s="7">
        <f t="shared" si="32"/>
        <v>5.2518870026607668E-3</v>
      </c>
      <c r="S47" s="2"/>
      <c r="T47" s="6">
        <v>724.2</v>
      </c>
      <c r="U47" s="2"/>
      <c r="V47" s="7">
        <f t="shared" si="33"/>
        <v>4.289972523916657E-3</v>
      </c>
      <c r="W47" s="2"/>
      <c r="X47" s="6">
        <f t="shared" si="34"/>
        <v>127.14999999999998</v>
      </c>
      <c r="Y47" s="2"/>
      <c r="Z47" s="7">
        <f t="shared" si="35"/>
        <v>0.17557304611985636</v>
      </c>
    </row>
    <row r="48" spans="1:26" s="25" customFormat="1" outlineLevel="1" collapsed="1" x14ac:dyDescent="0.25">
      <c r="A48" s="27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3"/>
      <c r="P48" s="1">
        <f>SUM(OSRRefP22_7x_0)</f>
        <v>7677.8099999999995</v>
      </c>
      <c r="Q48" s="1"/>
      <c r="R48" s="5">
        <f t="shared" si="32"/>
        <v>4.7363587887354036E-2</v>
      </c>
      <c r="S48" s="1"/>
      <c r="T48" s="1">
        <f>SUM(OSRRefT22_7x_0)</f>
        <v>2185.06</v>
      </c>
      <c r="U48" s="1"/>
      <c r="V48" s="5">
        <f t="shared" si="33"/>
        <v>1.2943727372423818E-2</v>
      </c>
      <c r="W48" s="1"/>
      <c r="X48" s="1">
        <f t="shared" si="34"/>
        <v>5492.75</v>
      </c>
      <c r="Y48" s="1"/>
      <c r="Z48" s="5">
        <f t="shared" si="35"/>
        <v>2.5137753654361896</v>
      </c>
    </row>
    <row r="49" spans="1:26" s="24" customFormat="1" hidden="1" outlineLevel="2" x14ac:dyDescent="0.25">
      <c r="A49" s="26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>
        <v>874.62</v>
      </c>
      <c r="Q49" s="2"/>
      <c r="R49" s="7">
        <f t="shared" si="32"/>
        <v>5.395437141325142E-3</v>
      </c>
      <c r="S49" s="2"/>
      <c r="T49" s="6"/>
      <c r="U49" s="2"/>
      <c r="V49" s="7">
        <f t="shared" si="33"/>
        <v>0</v>
      </c>
      <c r="W49" s="2"/>
      <c r="X49" s="6">
        <f t="shared" si="34"/>
        <v>874.62</v>
      </c>
      <c r="Y49" s="2"/>
      <c r="Z49" s="7">
        <f t="shared" si="35"/>
        <v>0</v>
      </c>
    </row>
    <row r="50" spans="1:26" s="24" customFormat="1" hidden="1" outlineLevel="2" x14ac:dyDescent="0.25">
      <c r="A50" s="26"/>
      <c r="B50" s="11" t="str">
        <f>CONCATENATE("          ", "6373", " - ", "MAINTENANCE CONTRACTS")</f>
        <v xml:space="preserve">          6373 - MAINTENANCE CONTRACTS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>
        <v>157.29</v>
      </c>
      <c r="Q50" s="2"/>
      <c r="R50" s="7">
        <f t="shared" si="32"/>
        <v>9.7030517019852224E-4</v>
      </c>
      <c r="S50" s="2"/>
      <c r="T50" s="6">
        <v>155.94999999999999</v>
      </c>
      <c r="U50" s="2"/>
      <c r="V50" s="7">
        <f t="shared" si="33"/>
        <v>9.2380725642750967E-4</v>
      </c>
      <c r="W50" s="2"/>
      <c r="X50" s="6">
        <f t="shared" si="34"/>
        <v>1.3400000000000034</v>
      </c>
      <c r="Y50" s="2"/>
      <c r="Z50" s="7">
        <f t="shared" si="35"/>
        <v>8.5924975953831587E-3</v>
      </c>
    </row>
    <row r="51" spans="1:26" s="24" customFormat="1" hidden="1" outlineLevel="2" x14ac:dyDescent="0.25">
      <c r="A51" s="26"/>
      <c r="B51" s="11" t="str">
        <f>CONCATENATE("          ", "6375", " - ", "OUTSIDE REPAIRS &amp; MAINTENANCE")</f>
        <v xml:space="preserve">          6375 - OUTSIDE REPAIRS &amp; MAINTENANCE</v>
      </c>
      <c r="C51" s="11"/>
      <c r="D51" s="6"/>
      <c r="E51" s="2"/>
      <c r="F51" s="7">
        <f t="shared" si="28"/>
        <v>0</v>
      </c>
      <c r="G51" s="2"/>
      <c r="H51" s="6"/>
      <c r="I51" s="2"/>
      <c r="J51" s="7">
        <f t="shared" si="29"/>
        <v>0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>
        <v>6645.9</v>
      </c>
      <c r="Q51" s="2"/>
      <c r="R51" s="7">
        <f t="shared" si="32"/>
        <v>4.0997845575830368E-2</v>
      </c>
      <c r="S51" s="2"/>
      <c r="T51" s="6">
        <v>2029.11</v>
      </c>
      <c r="U51" s="2"/>
      <c r="V51" s="7">
        <f t="shared" si="33"/>
        <v>1.2019920115996308E-2</v>
      </c>
      <c r="W51" s="2"/>
      <c r="X51" s="6">
        <f t="shared" si="34"/>
        <v>4616.79</v>
      </c>
      <c r="Y51" s="2"/>
      <c r="Z51" s="7">
        <f t="shared" si="35"/>
        <v>2.2752783239942636</v>
      </c>
    </row>
    <row r="52" spans="1:26" s="25" customFormat="1" outlineLevel="1" collapsed="1" x14ac:dyDescent="0.25">
      <c r="A52" s="27"/>
      <c r="B52" s="13" t="str">
        <f>CONCATENATE("     ","Services                                          ")</f>
        <v xml:space="preserve">     Services                                          </v>
      </c>
      <c r="C52" s="13"/>
      <c r="D52" s="1">
        <f>SUM(OSRRefD22_8x_0)</f>
        <v>78.900000000000006</v>
      </c>
      <c r="E52" s="1"/>
      <c r="F52" s="5">
        <f t="shared" ref="F52:F54" si="36">IF(D$12=0,0,D52/D$12)</f>
        <v>2.4487865316120032E-3</v>
      </c>
      <c r="G52" s="1"/>
      <c r="H52" s="1">
        <f>SUM(OSRRefH22_8x_0)</f>
        <v>105.2</v>
      </c>
      <c r="I52" s="1"/>
      <c r="J52" s="5">
        <f t="shared" ref="J52:J54" si="37">IF(H$12=0,0,H52/H$12)</f>
        <v>3.3428789687154833E-3</v>
      </c>
      <c r="K52" s="1"/>
      <c r="L52" s="1">
        <f t="shared" ref="L52:L54" si="38">+D52-H52</f>
        <v>-26.299999999999997</v>
      </c>
      <c r="M52" s="1"/>
      <c r="N52" s="5">
        <f t="shared" ref="N52:N54" si="39">IF(H52=0,0,L52/H52)</f>
        <v>-0.24999999999999997</v>
      </c>
      <c r="O52" s="13"/>
      <c r="P52" s="1">
        <f>SUM(OSRRefP22_8x_0)</f>
        <v>352.67</v>
      </c>
      <c r="Q52" s="1"/>
      <c r="R52" s="5">
        <f t="shared" ref="R52:R54" si="40">IF(P$12=0,0,P52/P$12)</f>
        <v>2.1755834724007431E-3</v>
      </c>
      <c r="S52" s="1"/>
      <c r="T52" s="1">
        <f>SUM(OSRRefT22_8x_0)</f>
        <v>793.06999999999994</v>
      </c>
      <c r="U52" s="1"/>
      <c r="V52" s="5">
        <f t="shared" ref="V52:V54" si="41">IF(T$12=0,0,T52/T$12)</f>
        <v>4.6979404992302989E-3</v>
      </c>
      <c r="W52" s="1"/>
      <c r="X52" s="1">
        <f t="shared" ref="X52:X54" si="42">+P52-T52</f>
        <v>-440.39999999999992</v>
      </c>
      <c r="Y52" s="1"/>
      <c r="Z52" s="5">
        <f t="shared" ref="Z52:Z54" si="43">IF(T52=0,0,X52/T52)</f>
        <v>-0.55531037613325429</v>
      </c>
    </row>
    <row r="53" spans="1:26" s="24" customFormat="1" hidden="1" outlineLevel="2" x14ac:dyDescent="0.25">
      <c r="A53" s="26"/>
      <c r="B53" s="11" t="str">
        <f>CONCATENATE("          ", "6285", " - ", "JANITORIAL SERVICES")</f>
        <v xml:space="preserve">          6285 - JANITORIAL SERVICES</v>
      </c>
      <c r="C53" s="11"/>
      <c r="D53" s="6"/>
      <c r="E53" s="2"/>
      <c r="F53" s="7">
        <f t="shared" si="36"/>
        <v>0</v>
      </c>
      <c r="G53" s="2"/>
      <c r="H53" s="6"/>
      <c r="I53" s="2"/>
      <c r="J53" s="7">
        <f t="shared" si="37"/>
        <v>0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/>
      <c r="Q53" s="2"/>
      <c r="R53" s="7">
        <f t="shared" si="40"/>
        <v>0</v>
      </c>
      <c r="S53" s="2"/>
      <c r="T53" s="6">
        <v>338</v>
      </c>
      <c r="U53" s="2"/>
      <c r="V53" s="7">
        <f t="shared" si="41"/>
        <v>2.0022241274286522E-3</v>
      </c>
      <c r="W53" s="2"/>
      <c r="X53" s="6">
        <f t="shared" si="42"/>
        <v>-338</v>
      </c>
      <c r="Y53" s="2"/>
      <c r="Z53" s="7">
        <f t="shared" si="43"/>
        <v>-1</v>
      </c>
    </row>
    <row r="54" spans="1:26" s="24" customFormat="1" hidden="1" outlineLevel="2" x14ac:dyDescent="0.25">
      <c r="A54" s="26"/>
      <c r="B54" s="11" t="str">
        <f>CONCATENATE("          ", "6286", " - ", "LAUNDRY EXPENSE")</f>
        <v xml:space="preserve">          6286 - LAUNDRY EXPENSE</v>
      </c>
      <c r="C54" s="11"/>
      <c r="D54" s="6">
        <v>78.900000000000006</v>
      </c>
      <c r="E54" s="2"/>
      <c r="F54" s="7">
        <f t="shared" si="36"/>
        <v>2.4487865316120032E-3</v>
      </c>
      <c r="G54" s="2"/>
      <c r="H54" s="6">
        <v>105.2</v>
      </c>
      <c r="I54" s="2"/>
      <c r="J54" s="7">
        <f t="shared" si="37"/>
        <v>3.3428789687154833E-3</v>
      </c>
      <c r="K54" s="2"/>
      <c r="L54" s="6">
        <f t="shared" si="38"/>
        <v>-26.299999999999997</v>
      </c>
      <c r="M54" s="2"/>
      <c r="N54" s="7">
        <f t="shared" si="39"/>
        <v>-0.24999999999999997</v>
      </c>
      <c r="O54" s="11"/>
      <c r="P54" s="6">
        <v>352.67</v>
      </c>
      <c r="Q54" s="2"/>
      <c r="R54" s="7">
        <f t="shared" si="40"/>
        <v>2.1755834724007431E-3</v>
      </c>
      <c r="S54" s="2"/>
      <c r="T54" s="6">
        <v>455.07</v>
      </c>
      <c r="U54" s="2"/>
      <c r="V54" s="7">
        <f t="shared" si="41"/>
        <v>2.6957163718016471E-3</v>
      </c>
      <c r="W54" s="2"/>
      <c r="X54" s="6">
        <f t="shared" si="42"/>
        <v>-102.39999999999998</v>
      </c>
      <c r="Y54" s="2"/>
      <c r="Z54" s="7">
        <f t="shared" si="43"/>
        <v>-0.22502032654316914</v>
      </c>
    </row>
    <row r="55" spans="1:26" s="25" customFormat="1" outlineLevel="1" collapsed="1" x14ac:dyDescent="0.25">
      <c r="A55" s="27"/>
      <c r="B55" s="13" t="str">
        <f>CONCATENATE("     ","Supplies                                          ")</f>
        <v xml:space="preserve">     Supplies                                          </v>
      </c>
      <c r="C55" s="13"/>
      <c r="D55" s="1">
        <f>SUM(OSRRefD22_9x_0)</f>
        <v>542.82000000000005</v>
      </c>
      <c r="E55" s="1"/>
      <c r="F55" s="5">
        <f t="shared" ref="F55:F60" si="44">IF(D$12=0,0,D55/D$12)</f>
        <v>1.6847278898474368E-2</v>
      </c>
      <c r="G55" s="1"/>
      <c r="H55" s="1">
        <f>SUM(OSRRefH22_9x_0)</f>
        <v>188.25</v>
      </c>
      <c r="I55" s="1"/>
      <c r="J55" s="5">
        <f t="shared" ref="J55:J60" si="45">IF(H$12=0,0,H55/H$12)</f>
        <v>5.9819103218696741E-3</v>
      </c>
      <c r="K55" s="1"/>
      <c r="L55" s="1">
        <f t="shared" ref="L55:L60" si="46">+D55-H55</f>
        <v>354.57000000000005</v>
      </c>
      <c r="M55" s="1"/>
      <c r="N55" s="5">
        <f t="shared" ref="N55:N60" si="47">IF(H55=0,0,L55/H55)</f>
        <v>1.8835059760956179</v>
      </c>
      <c r="O55" s="13"/>
      <c r="P55" s="1">
        <f>SUM(OSRRefP22_9x_0)</f>
        <v>2932.6400000000003</v>
      </c>
      <c r="Q55" s="1"/>
      <c r="R55" s="5">
        <f t="shared" ref="R55:R60" si="48">IF(P$12=0,0,P55/P$12)</f>
        <v>1.8091142185332792E-2</v>
      </c>
      <c r="S55" s="1"/>
      <c r="T55" s="1">
        <f>SUM(OSRRefT22_9x_0)</f>
        <v>2820.3100000000004</v>
      </c>
      <c r="U55" s="1"/>
      <c r="V55" s="5">
        <f t="shared" ref="V55:V60" si="49">IF(T$12=0,0,T55/T$12)</f>
        <v>1.670678322138551E-2</v>
      </c>
      <c r="W55" s="1"/>
      <c r="X55" s="1">
        <f t="shared" ref="X55:X60" si="50">+P55-T55</f>
        <v>112.32999999999993</v>
      </c>
      <c r="Y55" s="1"/>
      <c r="Z55" s="5">
        <f t="shared" ref="Z55:Z60" si="51">IF(T55=0,0,X55/T55)</f>
        <v>3.9828954973034847E-2</v>
      </c>
    </row>
    <row r="56" spans="1:26" s="24" customFormat="1" hidden="1" outlineLevel="2" x14ac:dyDescent="0.25">
      <c r="A56" s="26"/>
      <c r="B56" s="11" t="str">
        <f>CONCATENATE("          ", "6239", " - ", "KITCHEN SUPPLIES")</f>
        <v xml:space="preserve">          6239 - KITCHEN SUPPLIES</v>
      </c>
      <c r="C56" s="11"/>
      <c r="D56" s="6"/>
      <c r="E56" s="2"/>
      <c r="F56" s="7">
        <f t="shared" si="44"/>
        <v>0</v>
      </c>
      <c r="G56" s="2"/>
      <c r="H56" s="6"/>
      <c r="I56" s="2"/>
      <c r="J56" s="7">
        <f t="shared" si="45"/>
        <v>0</v>
      </c>
      <c r="K56" s="2"/>
      <c r="L56" s="6">
        <f t="shared" si="46"/>
        <v>0</v>
      </c>
      <c r="M56" s="2"/>
      <c r="N56" s="7">
        <f t="shared" si="47"/>
        <v>0</v>
      </c>
      <c r="O56" s="11"/>
      <c r="P56" s="6">
        <v>540.89</v>
      </c>
      <c r="Q56" s="2"/>
      <c r="R56" s="7">
        <f t="shared" si="48"/>
        <v>3.336692501167771E-3</v>
      </c>
      <c r="S56" s="2"/>
      <c r="T56" s="6">
        <v>373.33</v>
      </c>
      <c r="U56" s="2"/>
      <c r="V56" s="7">
        <f t="shared" si="49"/>
        <v>2.2115098624051438E-3</v>
      </c>
      <c r="W56" s="2"/>
      <c r="X56" s="6">
        <f t="shared" si="50"/>
        <v>167.56</v>
      </c>
      <c r="Y56" s="2"/>
      <c r="Z56" s="7">
        <f t="shared" si="51"/>
        <v>0.44882543594139235</v>
      </c>
    </row>
    <row r="57" spans="1:26" s="24" customFormat="1" hidden="1" outlineLevel="2" x14ac:dyDescent="0.25">
      <c r="A57" s="26"/>
      <c r="B57" s="11" t="str">
        <f>CONCATENATE("          ", "6241", " - ", "OFFICE EXPENSE")</f>
        <v xml:space="preserve">          6241 - OFFICE EXPENSE</v>
      </c>
      <c r="C57" s="11"/>
      <c r="D57" s="6">
        <v>490.85</v>
      </c>
      <c r="E57" s="2"/>
      <c r="F57" s="7">
        <f t="shared" si="44"/>
        <v>1.523430759241764E-2</v>
      </c>
      <c r="G57" s="2"/>
      <c r="H57" s="6">
        <v>18.71</v>
      </c>
      <c r="I57" s="2"/>
      <c r="J57" s="7">
        <f t="shared" si="45"/>
        <v>5.9453674434093817E-4</v>
      </c>
      <c r="K57" s="2"/>
      <c r="L57" s="6">
        <f t="shared" si="46"/>
        <v>472.14000000000004</v>
      </c>
      <c r="M57" s="2"/>
      <c r="N57" s="7">
        <f t="shared" si="47"/>
        <v>25.234633885622664</v>
      </c>
      <c r="O57" s="11"/>
      <c r="P57" s="6">
        <v>910.32</v>
      </c>
      <c r="Q57" s="2"/>
      <c r="R57" s="7">
        <f t="shared" si="48"/>
        <v>5.6156666192073166E-3</v>
      </c>
      <c r="S57" s="2"/>
      <c r="T57" s="6">
        <v>586.9</v>
      </c>
      <c r="U57" s="2"/>
      <c r="V57" s="7">
        <f t="shared" si="49"/>
        <v>3.4766430188990409E-3</v>
      </c>
      <c r="W57" s="2"/>
      <c r="X57" s="6">
        <f t="shared" si="50"/>
        <v>323.42000000000007</v>
      </c>
      <c r="Y57" s="2"/>
      <c r="Z57" s="7">
        <f t="shared" si="51"/>
        <v>0.55106491736241281</v>
      </c>
    </row>
    <row r="58" spans="1:26" s="24" customFormat="1" hidden="1" outlineLevel="2" x14ac:dyDescent="0.25">
      <c r="A58" s="26"/>
      <c r="B58" s="11" t="str">
        <f>CONCATENATE("          ", "6243", " - ", "PAPER SUPPLIES")</f>
        <v xml:space="preserve">          6243 - PAPER SUPPLIES</v>
      </c>
      <c r="C58" s="11"/>
      <c r="D58" s="6">
        <v>51.97</v>
      </c>
      <c r="E58" s="2"/>
      <c r="F58" s="7">
        <f t="shared" si="44"/>
        <v>1.6129713060567274E-3</v>
      </c>
      <c r="G58" s="2"/>
      <c r="H58" s="6">
        <v>169.54</v>
      </c>
      <c r="I58" s="2"/>
      <c r="J58" s="7">
        <f t="shared" si="45"/>
        <v>5.3873735775287358E-3</v>
      </c>
      <c r="K58" s="2"/>
      <c r="L58" s="6">
        <f t="shared" si="46"/>
        <v>-117.57</v>
      </c>
      <c r="M58" s="2"/>
      <c r="N58" s="7">
        <f t="shared" si="47"/>
        <v>-0.69346466910463611</v>
      </c>
      <c r="O58" s="11"/>
      <c r="P58" s="6">
        <v>743.21</v>
      </c>
      <c r="Q58" s="2"/>
      <c r="R58" s="7">
        <f t="shared" si="48"/>
        <v>4.5847829203588516E-3</v>
      </c>
      <c r="S58" s="2"/>
      <c r="T58" s="6">
        <v>1052.8900000000001</v>
      </c>
      <c r="U58" s="2"/>
      <c r="V58" s="7">
        <f t="shared" si="49"/>
        <v>6.2370466317406914E-3</v>
      </c>
      <c r="W58" s="2"/>
      <c r="X58" s="6">
        <f t="shared" si="50"/>
        <v>-309.68000000000006</v>
      </c>
      <c r="Y58" s="2"/>
      <c r="Z58" s="7">
        <f t="shared" si="51"/>
        <v>-0.29412379260891452</v>
      </c>
    </row>
    <row r="59" spans="1:26" s="24" customFormat="1" hidden="1" outlineLevel="2" x14ac:dyDescent="0.25">
      <c r="A59" s="26"/>
      <c r="B59" s="11" t="str">
        <f>CONCATENATE("          ", "6247", " - ", "STORE SUPPLIES")</f>
        <v xml:space="preserve">          6247 - STORE SUPPLIES</v>
      </c>
      <c r="C59" s="11"/>
      <c r="D59" s="6"/>
      <c r="E59" s="2"/>
      <c r="F59" s="7">
        <f t="shared" si="44"/>
        <v>0</v>
      </c>
      <c r="G59" s="2"/>
      <c r="H59" s="6"/>
      <c r="I59" s="2"/>
      <c r="J59" s="7">
        <f t="shared" si="45"/>
        <v>0</v>
      </c>
      <c r="K59" s="2"/>
      <c r="L59" s="6">
        <f t="shared" si="46"/>
        <v>0</v>
      </c>
      <c r="M59" s="2"/>
      <c r="N59" s="7">
        <f t="shared" si="47"/>
        <v>0</v>
      </c>
      <c r="O59" s="11"/>
      <c r="P59" s="6">
        <v>42.98</v>
      </c>
      <c r="Q59" s="2"/>
      <c r="R59" s="7">
        <f t="shared" si="48"/>
        <v>2.6513901846991219E-4</v>
      </c>
      <c r="S59" s="2"/>
      <c r="T59" s="6">
        <v>298.83</v>
      </c>
      <c r="U59" s="2"/>
      <c r="V59" s="7">
        <f t="shared" si="49"/>
        <v>1.7701912307677636E-3</v>
      </c>
      <c r="W59" s="2"/>
      <c r="X59" s="6">
        <f t="shared" si="50"/>
        <v>-255.85</v>
      </c>
      <c r="Y59" s="2"/>
      <c r="Z59" s="7">
        <f t="shared" si="51"/>
        <v>-0.85617240571562425</v>
      </c>
    </row>
    <row r="60" spans="1:26" s="24" customFormat="1" hidden="1" outlineLevel="2" x14ac:dyDescent="0.25">
      <c r="A60" s="26"/>
      <c r="B60" s="11" t="str">
        <f>CONCATENATE("          ", "6248", " - ", "UNIFORMS")</f>
        <v xml:space="preserve">          6248 - UNIFORMS</v>
      </c>
      <c r="C60" s="11"/>
      <c r="D60" s="6"/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>
        <v>695.24</v>
      </c>
      <c r="Q60" s="2"/>
      <c r="R60" s="7">
        <f t="shared" si="48"/>
        <v>4.2888611261289377E-3</v>
      </c>
      <c r="S60" s="2"/>
      <c r="T60" s="6">
        <v>508.36</v>
      </c>
      <c r="U60" s="2"/>
      <c r="V60" s="7">
        <f t="shared" si="49"/>
        <v>3.0113924775728687E-3</v>
      </c>
      <c r="W60" s="2"/>
      <c r="X60" s="6">
        <f t="shared" si="50"/>
        <v>186.88</v>
      </c>
      <c r="Y60" s="2"/>
      <c r="Z60" s="7">
        <f t="shared" si="51"/>
        <v>0.36761350224250527</v>
      </c>
    </row>
    <row r="61" spans="1:26" s="25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SUM(OSRRefD22_10x_0)</f>
        <v>71</v>
      </c>
      <c r="E61" s="1"/>
      <c r="F61" s="5">
        <f t="shared" ref="F61:F62" si="52">IF(D$12=0,0,D61/D$12)</f>
        <v>2.2035975126039574E-3</v>
      </c>
      <c r="G61" s="1"/>
      <c r="H61" s="1">
        <f>SUM(OSRRefH22_10x_0)</f>
        <v>71</v>
      </c>
      <c r="I61" s="1"/>
      <c r="J61" s="5">
        <f t="shared" ref="J61:J62" si="53">IF(H$12=0,0,H61/H$12)</f>
        <v>2.2561255397224268E-3</v>
      </c>
      <c r="K61" s="1"/>
      <c r="L61" s="1">
        <f t="shared" ref="L61:L62" si="54">+D61-H61</f>
        <v>0</v>
      </c>
      <c r="M61" s="1"/>
      <c r="N61" s="5">
        <f t="shared" ref="N61:N62" si="55">IF(H61=0,0,L61/H61)</f>
        <v>0</v>
      </c>
      <c r="O61" s="13"/>
      <c r="P61" s="1">
        <f>SUM(OSRRefP22_10x_0)</f>
        <v>355</v>
      </c>
      <c r="Q61" s="1"/>
      <c r="R61" s="5">
        <f t="shared" ref="R61:R62" si="56">IF(P$12=0,0,P61/P$12)</f>
        <v>2.1899569929459939E-3</v>
      </c>
      <c r="S61" s="1"/>
      <c r="T61" s="1">
        <f>SUM(OSRRefT22_10x_0)</f>
        <v>355</v>
      </c>
      <c r="U61" s="1"/>
      <c r="V61" s="5">
        <f t="shared" ref="V61:V62" si="57">IF(T$12=0,0,T61/T$12)</f>
        <v>2.1029277078022826E-3</v>
      </c>
      <c r="W61" s="1"/>
      <c r="X61" s="1">
        <f t="shared" ref="X61:X62" si="58">+P61-T61</f>
        <v>0</v>
      </c>
      <c r="Y61" s="1"/>
      <c r="Z61" s="5">
        <f t="shared" ref="Z61:Z62" si="59">IF(T61=0,0,X61/T61)</f>
        <v>0</v>
      </c>
    </row>
    <row r="62" spans="1:26" s="24" customFormat="1" hidden="1" outlineLevel="2" x14ac:dyDescent="0.25">
      <c r="A62" s="26"/>
      <c r="B62" s="11" t="str">
        <f>CONCATENATE("          ", "6309", " - ", "TELEPHONE")</f>
        <v xml:space="preserve">          6309 - TELEPHONE</v>
      </c>
      <c r="C62" s="11"/>
      <c r="D62" s="6">
        <v>71</v>
      </c>
      <c r="E62" s="2"/>
      <c r="F62" s="7">
        <f t="shared" si="52"/>
        <v>2.2035975126039574E-3</v>
      </c>
      <c r="G62" s="2"/>
      <c r="H62" s="6">
        <v>71</v>
      </c>
      <c r="I62" s="2"/>
      <c r="J62" s="7">
        <f t="shared" si="53"/>
        <v>2.2561255397224268E-3</v>
      </c>
      <c r="K62" s="2"/>
      <c r="L62" s="6">
        <f t="shared" si="54"/>
        <v>0</v>
      </c>
      <c r="M62" s="2"/>
      <c r="N62" s="7">
        <f t="shared" si="55"/>
        <v>0</v>
      </c>
      <c r="O62" s="11"/>
      <c r="P62" s="6">
        <v>355</v>
      </c>
      <c r="Q62" s="2"/>
      <c r="R62" s="7">
        <f t="shared" si="56"/>
        <v>2.1899569929459939E-3</v>
      </c>
      <c r="S62" s="2"/>
      <c r="T62" s="6">
        <v>355</v>
      </c>
      <c r="U62" s="2"/>
      <c r="V62" s="7">
        <f t="shared" si="57"/>
        <v>2.1029277078022826E-3</v>
      </c>
      <c r="W62" s="2"/>
      <c r="X62" s="6">
        <f t="shared" si="58"/>
        <v>0</v>
      </c>
      <c r="Y62" s="2"/>
      <c r="Z62" s="7">
        <f t="shared" si="59"/>
        <v>0</v>
      </c>
    </row>
    <row r="63" spans="1:26" s="53" customFormat="1" x14ac:dyDescent="0.25">
      <c r="A63" s="37"/>
      <c r="B63" s="37"/>
      <c r="C63" s="37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collapsed="1" x14ac:dyDescent="0.25">
      <c r="A64" s="10"/>
      <c r="B64" s="28" t="s">
        <v>0</v>
      </c>
      <c r="C64" s="10"/>
      <c r="D64" s="4">
        <f>SUM(OSRRefD25x_0)</f>
        <v>77</v>
      </c>
      <c r="E64" s="4"/>
      <c r="F64" s="12">
        <f t="shared" ref="F64:F65" si="60">IF(D$12=0,0,D64/D$12)</f>
        <v>2.3898170207113339E-3</v>
      </c>
      <c r="G64" s="4"/>
      <c r="H64" s="4">
        <f>SUM(OSRRefH25x_0)</f>
        <v>1110</v>
      </c>
      <c r="I64" s="4"/>
      <c r="J64" s="12">
        <f t="shared" ref="J64:J65" si="61">IF(H$12=0,0,H64/H$12)</f>
        <v>3.5271821818195687E-2</v>
      </c>
      <c r="K64" s="4"/>
      <c r="L64" s="4">
        <f t="shared" ref="L64:L65" si="62">+D64-H64</f>
        <v>-1033</v>
      </c>
      <c r="M64" s="4"/>
      <c r="N64" s="12">
        <f t="shared" ref="N64:N65" si="63">IF(H64=0,0,L64/H64)</f>
        <v>-0.93063063063063067</v>
      </c>
      <c r="O64" s="10"/>
      <c r="P64" s="4">
        <f>SUM(OSRRefP25x_0)</f>
        <v>356</v>
      </c>
      <c r="Q64" s="4"/>
      <c r="R64" s="12">
        <f t="shared" ref="R64:R65" si="64">IF(P$12=0,0,P64/P$12)</f>
        <v>2.1961258858838703E-3</v>
      </c>
      <c r="S64" s="4"/>
      <c r="T64" s="4">
        <f>SUM(OSRRefT25x_0)</f>
        <v>5322</v>
      </c>
      <c r="U64" s="4"/>
      <c r="V64" s="12">
        <f t="shared" ref="V64:V65" si="65">IF(T$12=0,0,T64/T$12)</f>
        <v>3.1526144396968304E-2</v>
      </c>
      <c r="W64" s="4"/>
      <c r="X64" s="4">
        <f t="shared" ref="X64:X65" si="66">+P64-T64</f>
        <v>-4966</v>
      </c>
      <c r="Y64" s="4"/>
      <c r="Z64" s="12">
        <f t="shared" ref="Z64:Z65" si="67">IF(T64=0,0,X64/T64)</f>
        <v>-0.93310785419015407</v>
      </c>
    </row>
    <row r="65" spans="1:26" s="24" customFormat="1" hidden="1" outlineLevel="1" x14ac:dyDescent="0.25">
      <c r="A65" s="44"/>
      <c r="B65" s="11" t="str">
        <f>CONCATENATE("          ", "9150", " - ", "MISC. INCOME")</f>
        <v xml:space="preserve">          9150 - MISC. INCOME</v>
      </c>
      <c r="C65" s="11"/>
      <c r="D65" s="2">
        <f>--77</f>
        <v>77</v>
      </c>
      <c r="E65" s="2"/>
      <c r="F65" s="19">
        <f t="shared" si="60"/>
        <v>2.3898170207113339E-3</v>
      </c>
      <c r="G65" s="2"/>
      <c r="H65" s="2">
        <f>--1110</f>
        <v>1110</v>
      </c>
      <c r="I65" s="2"/>
      <c r="J65" s="19">
        <f t="shared" si="61"/>
        <v>3.5271821818195687E-2</v>
      </c>
      <c r="K65" s="2"/>
      <c r="L65" s="2">
        <f t="shared" si="62"/>
        <v>-1033</v>
      </c>
      <c r="M65" s="2"/>
      <c r="N65" s="19">
        <f t="shared" si="63"/>
        <v>-0.93063063063063067</v>
      </c>
      <c r="O65" s="11"/>
      <c r="P65" s="2">
        <f>--356</f>
        <v>356</v>
      </c>
      <c r="Q65" s="2"/>
      <c r="R65" s="19">
        <f t="shared" si="64"/>
        <v>2.1961258858838703E-3</v>
      </c>
      <c r="S65" s="2"/>
      <c r="T65" s="2">
        <f>--5322</f>
        <v>5322</v>
      </c>
      <c r="U65" s="2"/>
      <c r="V65" s="19">
        <f t="shared" si="65"/>
        <v>3.1526144396968304E-2</v>
      </c>
      <c r="W65" s="2"/>
      <c r="X65" s="2">
        <f t="shared" si="66"/>
        <v>-4966</v>
      </c>
      <c r="Y65" s="2"/>
      <c r="Z65" s="19">
        <f t="shared" si="67"/>
        <v>-0.93310785419015407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9" t="s">
        <v>3</v>
      </c>
      <c r="C67" s="29"/>
      <c r="D67" s="21">
        <f>+D20-D22+D64</f>
        <v>3037.7499999999964</v>
      </c>
      <c r="E67" s="14"/>
      <c r="F67" s="20">
        <f>IF(D$12=0,0,D67/D$12)</f>
        <v>9.428138512553047E-2</v>
      </c>
      <c r="G67" s="14"/>
      <c r="H67" s="21">
        <f>+H20-H22+H64</f>
        <v>6524.9399999999951</v>
      </c>
      <c r="I67" s="14"/>
      <c r="J67" s="20">
        <f>IF(H$12=0,0,H67/H$12)</f>
        <v>0.20733920815713297</v>
      </c>
      <c r="K67" s="15"/>
      <c r="L67" s="21">
        <f>+D67-H67</f>
        <v>-3487.1899999999987</v>
      </c>
      <c r="M67" s="15"/>
      <c r="N67" s="20">
        <f>IF(H67=0,0,L67/H67)</f>
        <v>-0.53444016343445322</v>
      </c>
      <c r="O67" s="28"/>
      <c r="P67" s="21">
        <f>+P20-P22+P64</f>
        <v>7543.7500000000291</v>
      </c>
      <c r="Q67" s="14"/>
      <c r="R67" s="20">
        <f>IF(P$12=0,0,P67/P$12)</f>
        <v>4.6536586100102556E-2</v>
      </c>
      <c r="S67" s="14"/>
      <c r="T67" s="21">
        <f>+T20-T22+T64</f>
        <v>26954.410000000003</v>
      </c>
      <c r="U67" s="14"/>
      <c r="V67" s="20">
        <f>IF(T$12=0,0,T67/T$12)</f>
        <v>0.15967091728581106</v>
      </c>
      <c r="W67" s="15"/>
      <c r="X67" s="21">
        <f>+P67-T67</f>
        <v>-19410.659999999974</v>
      </c>
      <c r="Y67" s="15"/>
      <c r="Z67" s="20">
        <f>IF(T67=0,0,X67/T67)</f>
        <v>-0.72012928496672612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1"/>
      <c r="B69" s="10" t="s">
        <v>13</v>
      </c>
      <c r="C69" s="10"/>
      <c r="D69" s="4">
        <v>4091.27</v>
      </c>
      <c r="E69" s="4"/>
      <c r="F69" s="12">
        <f>IF(D$12=0,0,D69/D$12)</f>
        <v>0.12697904782241115</v>
      </c>
      <c r="G69" s="4"/>
      <c r="H69" s="4">
        <v>5149.33</v>
      </c>
      <c r="I69" s="4"/>
      <c r="J69" s="12">
        <f>IF(H$12=0,0,H69/H$12)</f>
        <v>0.1636272524712519</v>
      </c>
      <c r="K69" s="4"/>
      <c r="L69" s="4">
        <f>+D69-H69</f>
        <v>-1058.06</v>
      </c>
      <c r="M69" s="4"/>
      <c r="N69" s="12">
        <f>IF(H69=0,0,L69/H69)</f>
        <v>-0.2054752754241814</v>
      </c>
      <c r="O69" s="10"/>
      <c r="P69" s="4">
        <v>17165.68</v>
      </c>
      <c r="Q69" s="4"/>
      <c r="R69" s="12">
        <f>IF(P$12=0,0,P69/P$12)</f>
        <v>0.10589324212583998</v>
      </c>
      <c r="S69" s="4"/>
      <c r="T69" s="4">
        <v>17762.830000000002</v>
      </c>
      <c r="U69" s="4"/>
      <c r="V69" s="12">
        <f>IF(T$12=0,0,T69/T$12)</f>
        <v>0.10522238697459611</v>
      </c>
      <c r="W69" s="4"/>
      <c r="X69" s="4">
        <f>+P69-T69</f>
        <v>-597.15000000000146</v>
      </c>
      <c r="Y69" s="4"/>
      <c r="Z69" s="12">
        <f>IF(T69=0,0,X69/T69)</f>
        <v>-3.3617953895860142E-2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9" t="s">
        <v>4</v>
      </c>
      <c r="C71" s="29"/>
      <c r="D71" s="31">
        <f>+D67-D69</f>
        <v>-1053.5200000000036</v>
      </c>
      <c r="E71" s="14"/>
      <c r="F71" s="32">
        <f>IF(D$12=0,0,D71/D$12)</f>
        <v>-3.2697662696880687E-2</v>
      </c>
      <c r="G71" s="14"/>
      <c r="H71" s="31">
        <f>+H67-H69</f>
        <v>1375.6099999999951</v>
      </c>
      <c r="I71" s="14"/>
      <c r="J71" s="32">
        <f>IF(H$12=0,0,H71/H$12)</f>
        <v>4.3711955685881078E-2</v>
      </c>
      <c r="K71" s="15"/>
      <c r="L71" s="31">
        <f>D71-H71</f>
        <v>-2429.1299999999987</v>
      </c>
      <c r="M71" s="15"/>
      <c r="N71" s="32">
        <f>IF(H71=0,0,L71/H71)</f>
        <v>-1.7658566017984803</v>
      </c>
      <c r="O71" s="28"/>
      <c r="P71" s="31">
        <f>+P67-P69</f>
        <v>-9621.9299999999712</v>
      </c>
      <c r="Q71" s="14"/>
      <c r="R71" s="32">
        <f>IF(P$12=0,0,P71/P$12)</f>
        <v>-5.9356656025737427E-2</v>
      </c>
      <c r="S71" s="14"/>
      <c r="T71" s="31">
        <f>+T67-T69</f>
        <v>9191.5800000000017</v>
      </c>
      <c r="U71" s="14"/>
      <c r="V71" s="32">
        <f>IF(T$12=0,0,T71/T$12)</f>
        <v>5.4448530311214952E-2</v>
      </c>
      <c r="W71" s="15"/>
      <c r="X71" s="31">
        <f>P71-T71</f>
        <v>-18813.509999999973</v>
      </c>
      <c r="Y71" s="15"/>
      <c r="Z71" s="32">
        <f>IF(T71=0,0,X71/T71)</f>
        <v>-2.0468200244136447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9" t="s">
        <v>5</v>
      </c>
      <c r="C74" s="29"/>
      <c r="D74" s="34">
        <f>SUM(D71:D73)</f>
        <v>-1053.5200000000036</v>
      </c>
      <c r="E74" s="14"/>
      <c r="F74" s="30">
        <f>IF(D$12=0,0,D74/D$12)</f>
        <v>-3.2697662696880687E-2</v>
      </c>
      <c r="G74" s="14"/>
      <c r="H74" s="34">
        <f>SUM(H71:H73)</f>
        <v>1375.6099999999951</v>
      </c>
      <c r="I74" s="14"/>
      <c r="J74" s="30">
        <f>IF(H$12=0,0,H74/H$12)</f>
        <v>4.3711955685881078E-2</v>
      </c>
      <c r="K74" s="15"/>
      <c r="L74" s="34">
        <f>+D74-H74</f>
        <v>-2429.1299999999987</v>
      </c>
      <c r="M74" s="15"/>
      <c r="N74" s="30">
        <f>IF(H74=0,0,L74/H74)</f>
        <v>-1.7658566017984803</v>
      </c>
      <c r="O74" s="28"/>
      <c r="P74" s="34">
        <f>SUM(P71:P73)</f>
        <v>-9621.9299999999712</v>
      </c>
      <c r="Q74" s="14"/>
      <c r="R74" s="30">
        <f>IF(P$12=0,0,P74/P$12)</f>
        <v>-5.9356656025737427E-2</v>
      </c>
      <c r="S74" s="14"/>
      <c r="T74" s="34">
        <f>SUM(T71:T73)</f>
        <v>9191.5800000000017</v>
      </c>
      <c r="U74" s="14"/>
      <c r="V74" s="30">
        <f>IF(T$12=0,0,T74/T$12)</f>
        <v>5.4448530311214952E-2</v>
      </c>
      <c r="W74" s="15"/>
      <c r="X74" s="34">
        <f>+P74-T74</f>
        <v>-18813.509999999973</v>
      </c>
      <c r="Y74" s="15"/>
      <c r="Z74" s="30">
        <f>IF(T74=0,0,X74/T74)</f>
        <v>-2.0468200244136447</v>
      </c>
    </row>
    <row r="75" spans="1:26" ht="15.75" thickTop="1" x14ac:dyDescent="0.25">
      <c r="A75" s="9"/>
      <c r="C75" s="9"/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59">
        <v>43815.492096527778</v>
      </c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62" t="s">
        <v>313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61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","414", " - ", "Starbucks UDP")</f>
        <v>Department 414 - Starbucks UDP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79823.47</v>
      </c>
      <c r="E12" s="4"/>
      <c r="F12" s="12"/>
      <c r="G12" s="4"/>
      <c r="H12" s="4">
        <f>SUM(OSRRefH13x_0)</f>
        <v>66397.460000000006</v>
      </c>
      <c r="I12" s="4"/>
      <c r="J12" s="12"/>
      <c r="K12" s="4"/>
      <c r="L12" s="4">
        <f t="shared" ref="L12:L14" si="0">+D12-H12</f>
        <v>13426.009999999995</v>
      </c>
      <c r="M12" s="4"/>
      <c r="N12" s="12">
        <f t="shared" ref="N12:N14" si="1">IF(H12=0,0,L12/H12)</f>
        <v>0.20220668079772922</v>
      </c>
      <c r="O12" s="10"/>
      <c r="P12" s="4">
        <f>SUM(OSRRefP13x_0)</f>
        <v>351689.67000000004</v>
      </c>
      <c r="Q12" s="4"/>
      <c r="R12" s="12"/>
      <c r="S12" s="4"/>
      <c r="T12" s="4">
        <f>SUM(OSRRefT13x_0)</f>
        <v>373480.94999999995</v>
      </c>
      <c r="U12" s="4"/>
      <c r="V12" s="12"/>
      <c r="W12" s="4"/>
      <c r="X12" s="4">
        <f t="shared" ref="X12:X14" si="2">+P12-T12</f>
        <v>-21791.279999999912</v>
      </c>
      <c r="Y12" s="4"/>
      <c r="Z12" s="12">
        <f t="shared" ref="Z12:Z14" si="3">IF(T12=0,0,X12/T12)</f>
        <v>-5.8346429717499419E-2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>--14656.48</f>
        <v>14656.48</v>
      </c>
      <c r="E13" s="2"/>
      <c r="F13" s="19"/>
      <c r="G13" s="2"/>
      <c r="H13" s="2">
        <f>--15410.23</f>
        <v>15410.23</v>
      </c>
      <c r="I13" s="2"/>
      <c r="J13" s="19"/>
      <c r="K13" s="2"/>
      <c r="L13" s="2">
        <f t="shared" si="0"/>
        <v>-753.75</v>
      </c>
      <c r="M13" s="2"/>
      <c r="N13" s="19">
        <f t="shared" si="1"/>
        <v>-4.8912313443731863E-2</v>
      </c>
      <c r="O13" s="11"/>
      <c r="P13" s="2">
        <f>--78802.41</f>
        <v>78802.41</v>
      </c>
      <c r="Q13" s="2"/>
      <c r="R13" s="19"/>
      <c r="S13" s="2"/>
      <c r="T13" s="2">
        <f>--108999.15</f>
        <v>108999.15</v>
      </c>
      <c r="U13" s="2"/>
      <c r="V13" s="19"/>
      <c r="W13" s="2"/>
      <c r="X13" s="2">
        <f t="shared" si="2"/>
        <v>-30196.739999999991</v>
      </c>
      <c r="Y13" s="2"/>
      <c r="Z13" s="19">
        <f t="shared" si="3"/>
        <v>-0.27703647230276557</v>
      </c>
    </row>
    <row r="14" spans="1:26" s="24" customFormat="1" hidden="1" outlineLevel="1" x14ac:dyDescent="0.2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>--65166.99</f>
        <v>65166.99</v>
      </c>
      <c r="E14" s="2"/>
      <c r="F14" s="19"/>
      <c r="G14" s="2"/>
      <c r="H14" s="2">
        <f>--50987.23</f>
        <v>50987.23</v>
      </c>
      <c r="I14" s="2"/>
      <c r="J14" s="19"/>
      <c r="K14" s="2"/>
      <c r="L14" s="2">
        <f t="shared" si="0"/>
        <v>14179.759999999995</v>
      </c>
      <c r="M14" s="2"/>
      <c r="N14" s="19">
        <f t="shared" si="1"/>
        <v>0.2781041449005956</v>
      </c>
      <c r="O14" s="11"/>
      <c r="P14" s="2">
        <f>--272887.26</f>
        <v>272887.26</v>
      </c>
      <c r="Q14" s="2"/>
      <c r="R14" s="19"/>
      <c r="S14" s="2"/>
      <c r="T14" s="2">
        <f>--264481.8</f>
        <v>264481.8</v>
      </c>
      <c r="U14" s="2"/>
      <c r="V14" s="19"/>
      <c r="W14" s="2"/>
      <c r="X14" s="2">
        <f t="shared" si="2"/>
        <v>8405.460000000021</v>
      </c>
      <c r="Y14" s="2"/>
      <c r="Z14" s="19">
        <f t="shared" si="3"/>
        <v>3.1780863560366052E-2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21736.04</v>
      </c>
      <c r="E16" s="4"/>
      <c r="F16" s="12">
        <f t="shared" ref="F16:F18" si="4">IF(D$12=0,0,D16/D$12)</f>
        <v>0.27230136700396512</v>
      </c>
      <c r="G16" s="4"/>
      <c r="H16" s="4">
        <f>SUM(OSRRefH16x_0)</f>
        <v>22110.2</v>
      </c>
      <c r="I16" s="4"/>
      <c r="J16" s="12">
        <f t="shared" ref="J16:J18" si="5">IF(H$12=0,0,H16/H$12)</f>
        <v>0.33299767792322171</v>
      </c>
      <c r="K16" s="4"/>
      <c r="L16" s="4">
        <f t="shared" ref="L16:L18" si="6">+D16-H16</f>
        <v>-374.15999999999985</v>
      </c>
      <c r="M16" s="4"/>
      <c r="N16" s="12">
        <f t="shared" ref="N16:N18" si="7">IF(H16=0,0,L16/H16)</f>
        <v>-1.6922506354533195E-2</v>
      </c>
      <c r="O16" s="10"/>
      <c r="P16" s="4">
        <f>SUM(OSRRefP16x_0)</f>
        <v>114091.54999999999</v>
      </c>
      <c r="Q16" s="4"/>
      <c r="R16" s="12">
        <f t="shared" ref="R16:R18" si="8">IF(P$12=0,0,P16/P$12)</f>
        <v>0.32440972747365587</v>
      </c>
      <c r="S16" s="4"/>
      <c r="T16" s="4">
        <f>SUM(OSRRefT16x_0)</f>
        <v>126050.61</v>
      </c>
      <c r="U16" s="4"/>
      <c r="V16" s="12">
        <f t="shared" ref="V16:V18" si="9">IF(T$12=0,0,T16/T$12)</f>
        <v>0.33750211356161541</v>
      </c>
      <c r="W16" s="4"/>
      <c r="X16" s="4">
        <f t="shared" ref="X16:X18" si="10">+P16-T16</f>
        <v>-11959.060000000012</v>
      </c>
      <c r="Y16" s="4"/>
      <c r="Z16" s="12">
        <f t="shared" ref="Z16:Z18" si="11">IF(T16=0,0,X16/T16)</f>
        <v>-9.4875066451483359E-2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24607.040000000001</v>
      </c>
      <c r="E17" s="2"/>
      <c r="F17" s="19">
        <f t="shared" si="4"/>
        <v>0.30826823238829382</v>
      </c>
      <c r="G17" s="2"/>
      <c r="H17" s="2">
        <v>22619.200000000001</v>
      </c>
      <c r="I17" s="2"/>
      <c r="J17" s="19">
        <f t="shared" si="5"/>
        <v>0.34066363381972742</v>
      </c>
      <c r="K17" s="2"/>
      <c r="L17" s="2">
        <f t="shared" si="6"/>
        <v>1987.8400000000001</v>
      </c>
      <c r="M17" s="2"/>
      <c r="N17" s="19">
        <f t="shared" si="7"/>
        <v>8.7882860578623476E-2</v>
      </c>
      <c r="O17" s="11"/>
      <c r="P17" s="2">
        <v>113655.54999999999</v>
      </c>
      <c r="Q17" s="2"/>
      <c r="R17" s="19">
        <f t="shared" si="8"/>
        <v>0.32316999814069025</v>
      </c>
      <c r="S17" s="2"/>
      <c r="T17" s="2">
        <v>130999.61</v>
      </c>
      <c r="U17" s="2"/>
      <c r="V17" s="19">
        <f t="shared" si="9"/>
        <v>0.35075312408839066</v>
      </c>
      <c r="W17" s="2"/>
      <c r="X17" s="2">
        <f t="shared" si="10"/>
        <v>-17344.060000000012</v>
      </c>
      <c r="Y17" s="2"/>
      <c r="Z17" s="19">
        <f t="shared" si="11"/>
        <v>-0.13239779874153834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-2871</v>
      </c>
      <c r="E18" s="2"/>
      <c r="F18" s="19">
        <f t="shared" si="4"/>
        <v>-3.5966865384328695E-2</v>
      </c>
      <c r="G18" s="2"/>
      <c r="H18" s="2">
        <v>-509</v>
      </c>
      <c r="I18" s="2"/>
      <c r="J18" s="19">
        <f t="shared" si="5"/>
        <v>-7.6659558965056791E-3</v>
      </c>
      <c r="K18" s="2"/>
      <c r="L18" s="2">
        <f t="shared" si="6"/>
        <v>-2362</v>
      </c>
      <c r="M18" s="2"/>
      <c r="N18" s="19">
        <f t="shared" si="7"/>
        <v>4.6404715127701373</v>
      </c>
      <c r="O18" s="11"/>
      <c r="P18" s="2">
        <v>436</v>
      </c>
      <c r="Q18" s="2"/>
      <c r="R18" s="19">
        <f t="shared" si="8"/>
        <v>1.2397293329656227E-3</v>
      </c>
      <c r="S18" s="2"/>
      <c r="T18" s="2">
        <v>-4949</v>
      </c>
      <c r="U18" s="2"/>
      <c r="V18" s="19">
        <f t="shared" si="9"/>
        <v>-1.3251010526775195E-2</v>
      </c>
      <c r="W18" s="2"/>
      <c r="X18" s="2">
        <f t="shared" si="10"/>
        <v>5385</v>
      </c>
      <c r="Y18" s="2"/>
      <c r="Z18" s="19">
        <f t="shared" si="11"/>
        <v>-1.0880986057789452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58087.43</v>
      </c>
      <c r="E20" s="14"/>
      <c r="F20" s="20">
        <f>IF(D$12=0,0,D20/D$12)</f>
        <v>0.72769863299603488</v>
      </c>
      <c r="G20" s="14"/>
      <c r="H20" s="21">
        <f>H12-H16</f>
        <v>44287.260000000009</v>
      </c>
      <c r="I20" s="14"/>
      <c r="J20" s="20">
        <f>IF(H$12=0,0,H20/H$12)</f>
        <v>0.66700232207677834</v>
      </c>
      <c r="K20" s="15"/>
      <c r="L20" s="21">
        <f>+D20-H20</f>
        <v>13800.169999999991</v>
      </c>
      <c r="M20" s="15"/>
      <c r="N20" s="20">
        <f>IF(H20=0,0,L20/H20)</f>
        <v>0.31160586588558398</v>
      </c>
      <c r="O20" s="28"/>
      <c r="P20" s="21">
        <f>P12-P16</f>
        <v>237598.12000000005</v>
      </c>
      <c r="Q20" s="14"/>
      <c r="R20" s="20">
        <f>IF(P$12=0,0,P20/P$12)</f>
        <v>0.67559027252634407</v>
      </c>
      <c r="S20" s="14"/>
      <c r="T20" s="21">
        <f>T12-T16</f>
        <v>247430.33999999997</v>
      </c>
      <c r="U20" s="14"/>
      <c r="V20" s="20">
        <f>IF(T$12=0,0,T20/T$12)</f>
        <v>0.66249788643838459</v>
      </c>
      <c r="W20" s="15"/>
      <c r="X20" s="21">
        <f>+P20-T20</f>
        <v>-9832.2199999999139</v>
      </c>
      <c r="Y20" s="15"/>
      <c r="Z20" s="20">
        <f>IF(T20=0,0,X20/T20)</f>
        <v>-3.9737325665073715E-2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33416.069999999992</v>
      </c>
      <c r="E22" s="22"/>
      <c r="F22" s="33">
        <f t="shared" ref="F22:F31" si="12">IF(D$12=0,0,D22/D$12)</f>
        <v>0.4186246225577514</v>
      </c>
      <c r="G22" s="22"/>
      <c r="H22" s="22">
        <f>SUM(OSRRefH22x_0)</f>
        <v>30495.06</v>
      </c>
      <c r="I22" s="22"/>
      <c r="J22" s="33">
        <f t="shared" ref="J22:J31" si="13">IF(H$12=0,0,H22/H$12)</f>
        <v>0.45928052067051961</v>
      </c>
      <c r="K22" s="4"/>
      <c r="L22" s="22">
        <f t="shared" ref="L22:L31" si="14">+D22-H22</f>
        <v>2921.0099999999911</v>
      </c>
      <c r="M22" s="4"/>
      <c r="N22" s="33">
        <f t="shared" ref="N22:N31" si="15">IF(H22=0,0,L22/H22)</f>
        <v>9.5786333917689981E-2</v>
      </c>
      <c r="O22" s="10"/>
      <c r="P22" s="22">
        <f>SUM(OSRRefP22x_0)</f>
        <v>172470.55000000002</v>
      </c>
      <c r="Q22" s="22"/>
      <c r="R22" s="33">
        <f t="shared" ref="R22:R31" si="16">IF(P$12=0,0,P22/P$12)</f>
        <v>0.49040550437549102</v>
      </c>
      <c r="S22" s="22"/>
      <c r="T22" s="22">
        <f>SUM(OSRRefT22x_0)</f>
        <v>180647.13999999998</v>
      </c>
      <c r="U22" s="22"/>
      <c r="V22" s="33">
        <f t="shared" ref="V22:V31" si="17">IF(T$12=0,0,T22/T$12)</f>
        <v>0.48368501793732721</v>
      </c>
      <c r="W22" s="4"/>
      <c r="X22" s="22">
        <f t="shared" ref="X22:X31" si="18">+P22-T22</f>
        <v>-8176.5899999999674</v>
      </c>
      <c r="Y22" s="4"/>
      <c r="Z22" s="33">
        <f t="shared" ref="Z22:Z31" si="19">IF(T22=0,0,X22/T22)</f>
        <v>-4.526277028244105E-2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2575.96</v>
      </c>
      <c r="E23" s="1"/>
      <c r="F23" s="5">
        <f t="shared" si="12"/>
        <v>3.2270709354028336E-2</v>
      </c>
      <c r="G23" s="1"/>
      <c r="H23" s="1">
        <f>SUM(OSRRefH22_0x_0)</f>
        <v>2774.3199999999997</v>
      </c>
      <c r="I23" s="1"/>
      <c r="J23" s="5">
        <f t="shared" si="13"/>
        <v>4.1783526056569022E-2</v>
      </c>
      <c r="K23" s="1"/>
      <c r="L23" s="1">
        <f t="shared" si="14"/>
        <v>-198.35999999999967</v>
      </c>
      <c r="M23" s="1"/>
      <c r="N23" s="5">
        <f t="shared" si="15"/>
        <v>-7.1498601459096173E-2</v>
      </c>
      <c r="O23" s="13"/>
      <c r="P23" s="1">
        <f>SUM(OSRRefP22_0x_0)</f>
        <v>12257.609999999999</v>
      </c>
      <c r="Q23" s="1"/>
      <c r="R23" s="5">
        <f t="shared" si="16"/>
        <v>3.4853483185900792E-2</v>
      </c>
      <c r="S23" s="1"/>
      <c r="T23" s="1">
        <f>SUM(OSRRefT22_0x_0)</f>
        <v>16875.41</v>
      </c>
      <c r="U23" s="1"/>
      <c r="V23" s="5">
        <f t="shared" si="17"/>
        <v>4.5184125187643448E-2</v>
      </c>
      <c r="W23" s="1"/>
      <c r="X23" s="1">
        <f t="shared" si="18"/>
        <v>-4617.8000000000011</v>
      </c>
      <c r="Y23" s="1"/>
      <c r="Z23" s="5">
        <f t="shared" si="19"/>
        <v>-0.27364075895044926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404.91</v>
      </c>
      <c r="E24" s="2"/>
      <c r="F24" s="7">
        <f t="shared" si="12"/>
        <v>5.0725682559277369E-3</v>
      </c>
      <c r="G24" s="2"/>
      <c r="H24" s="6">
        <v>345.65</v>
      </c>
      <c r="I24" s="2"/>
      <c r="J24" s="7">
        <f t="shared" si="13"/>
        <v>5.2057714255936893E-3</v>
      </c>
      <c r="K24" s="2"/>
      <c r="L24" s="6">
        <f t="shared" si="14"/>
        <v>59.260000000000048</v>
      </c>
      <c r="M24" s="2"/>
      <c r="N24" s="7">
        <f t="shared" si="15"/>
        <v>0.17144510342832359</v>
      </c>
      <c r="O24" s="11"/>
      <c r="P24" s="6">
        <v>3303.54</v>
      </c>
      <c r="Q24" s="2"/>
      <c r="R24" s="7">
        <f t="shared" si="16"/>
        <v>9.3933381665716811E-3</v>
      </c>
      <c r="S24" s="2"/>
      <c r="T24" s="6">
        <v>3801.71</v>
      </c>
      <c r="U24" s="2"/>
      <c r="V24" s="7">
        <f t="shared" si="17"/>
        <v>1.0179126940744904E-2</v>
      </c>
      <c r="W24" s="2"/>
      <c r="X24" s="6">
        <f t="shared" si="18"/>
        <v>-498.17000000000007</v>
      </c>
      <c r="Y24" s="2"/>
      <c r="Z24" s="7">
        <f t="shared" si="19"/>
        <v>-0.13103840114053941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865.81</v>
      </c>
      <c r="E25" s="2"/>
      <c r="F25" s="7">
        <f t="shared" si="12"/>
        <v>1.0846559288890847E-2</v>
      </c>
      <c r="G25" s="2"/>
      <c r="H25" s="6">
        <v>694.06</v>
      </c>
      <c r="I25" s="2"/>
      <c r="J25" s="7">
        <f t="shared" si="13"/>
        <v>1.0453110706343282E-2</v>
      </c>
      <c r="K25" s="2"/>
      <c r="L25" s="6">
        <f t="shared" si="14"/>
        <v>171.75</v>
      </c>
      <c r="M25" s="2"/>
      <c r="N25" s="7">
        <f t="shared" si="15"/>
        <v>0.24745699219087688</v>
      </c>
      <c r="O25" s="11"/>
      <c r="P25" s="6">
        <v>2323.54</v>
      </c>
      <c r="Q25" s="2"/>
      <c r="R25" s="7">
        <f t="shared" si="16"/>
        <v>6.6067905833003277E-3</v>
      </c>
      <c r="S25" s="2"/>
      <c r="T25" s="6">
        <v>3602.16</v>
      </c>
      <c r="U25" s="2"/>
      <c r="V25" s="7">
        <f t="shared" si="17"/>
        <v>9.6448292744248411E-3</v>
      </c>
      <c r="W25" s="2"/>
      <c r="X25" s="6">
        <f t="shared" si="18"/>
        <v>-1278.6199999999999</v>
      </c>
      <c r="Y25" s="2"/>
      <c r="Z25" s="7">
        <f t="shared" si="19"/>
        <v>-0.35495924667421769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650.39</v>
      </c>
      <c r="E26" s="2"/>
      <c r="F26" s="7">
        <f t="shared" si="12"/>
        <v>8.147854258904054E-3</v>
      </c>
      <c r="G26" s="2"/>
      <c r="H26" s="6">
        <v>720.58</v>
      </c>
      <c r="I26" s="2"/>
      <c r="J26" s="7">
        <f t="shared" si="13"/>
        <v>1.0852523575450024E-2</v>
      </c>
      <c r="K26" s="2"/>
      <c r="L26" s="6">
        <f t="shared" si="14"/>
        <v>-70.190000000000055</v>
      </c>
      <c r="M26" s="2"/>
      <c r="N26" s="7">
        <f t="shared" si="15"/>
        <v>-9.7407643842460312E-2</v>
      </c>
      <c r="O26" s="11"/>
      <c r="P26" s="6">
        <v>3251.95</v>
      </c>
      <c r="Q26" s="2"/>
      <c r="R26" s="7">
        <f t="shared" si="16"/>
        <v>9.2466463402237527E-3</v>
      </c>
      <c r="S26" s="2"/>
      <c r="T26" s="6">
        <v>3161.86</v>
      </c>
      <c r="U26" s="2"/>
      <c r="V26" s="7">
        <f t="shared" si="17"/>
        <v>8.4659204170922254E-3</v>
      </c>
      <c r="W26" s="2"/>
      <c r="X26" s="6">
        <f t="shared" si="18"/>
        <v>90.089999999999691</v>
      </c>
      <c r="Y26" s="2"/>
      <c r="Z26" s="7">
        <f t="shared" si="19"/>
        <v>2.8492722637940861E-2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58.02</v>
      </c>
      <c r="E27" s="2"/>
      <c r="F27" s="7">
        <f t="shared" si="12"/>
        <v>7.2685389397378992E-4</v>
      </c>
      <c r="G27" s="2"/>
      <c r="H27" s="6">
        <v>51.56</v>
      </c>
      <c r="I27" s="2"/>
      <c r="J27" s="7">
        <f t="shared" si="13"/>
        <v>7.7653572892698005E-4</v>
      </c>
      <c r="K27" s="2"/>
      <c r="L27" s="6">
        <f t="shared" si="14"/>
        <v>6.4600000000000009</v>
      </c>
      <c r="M27" s="2"/>
      <c r="N27" s="7">
        <f t="shared" si="15"/>
        <v>0.12529092319627619</v>
      </c>
      <c r="O27" s="11"/>
      <c r="P27" s="6">
        <v>239.84</v>
      </c>
      <c r="Q27" s="2"/>
      <c r="R27" s="7">
        <f t="shared" si="16"/>
        <v>6.8196486976714434E-4</v>
      </c>
      <c r="S27" s="2"/>
      <c r="T27" s="6">
        <v>267.58999999999997</v>
      </c>
      <c r="U27" s="2"/>
      <c r="V27" s="7">
        <f t="shared" si="17"/>
        <v>7.164756328267881E-4</v>
      </c>
      <c r="W27" s="2"/>
      <c r="X27" s="6">
        <f t="shared" si="18"/>
        <v>-27.749999999999972</v>
      </c>
      <c r="Y27" s="2"/>
      <c r="Z27" s="7">
        <f t="shared" si="19"/>
        <v>-0.10370342688441263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2"/>
        <v>0</v>
      </c>
      <c r="G28" s="2"/>
      <c r="H28" s="6">
        <v>415.1</v>
      </c>
      <c r="I28" s="2"/>
      <c r="J28" s="7">
        <f t="shared" si="13"/>
        <v>6.2517451721797786E-3</v>
      </c>
      <c r="K28" s="2"/>
      <c r="L28" s="6">
        <f t="shared" si="14"/>
        <v>-415.1</v>
      </c>
      <c r="M28" s="2"/>
      <c r="N28" s="7">
        <f t="shared" si="15"/>
        <v>-1</v>
      </c>
      <c r="O28" s="11"/>
      <c r="P28" s="6"/>
      <c r="Q28" s="2"/>
      <c r="R28" s="7">
        <f t="shared" si="16"/>
        <v>0</v>
      </c>
      <c r="S28" s="2"/>
      <c r="T28" s="6">
        <v>2654.74</v>
      </c>
      <c r="U28" s="2"/>
      <c r="V28" s="7">
        <f t="shared" si="17"/>
        <v>7.1081001587898927E-3</v>
      </c>
      <c r="W28" s="2"/>
      <c r="X28" s="6">
        <f t="shared" si="18"/>
        <v>-2654.74</v>
      </c>
      <c r="Y28" s="2"/>
      <c r="Z28" s="7">
        <f t="shared" si="19"/>
        <v>-1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192.5</v>
      </c>
      <c r="E29" s="2"/>
      <c r="F29" s="7">
        <f t="shared" si="12"/>
        <v>2.4115714338151422E-3</v>
      </c>
      <c r="G29" s="2"/>
      <c r="H29" s="6">
        <v>195.22</v>
      </c>
      <c r="I29" s="2"/>
      <c r="J29" s="7">
        <f t="shared" si="13"/>
        <v>2.9401727114260093E-3</v>
      </c>
      <c r="K29" s="2"/>
      <c r="L29" s="6">
        <f t="shared" si="14"/>
        <v>-2.7199999999999989</v>
      </c>
      <c r="M29" s="2"/>
      <c r="N29" s="7">
        <f t="shared" si="15"/>
        <v>-1.3932998668169239E-2</v>
      </c>
      <c r="O29" s="11"/>
      <c r="P29" s="6">
        <v>1058.75</v>
      </c>
      <c r="Q29" s="2"/>
      <c r="R29" s="7">
        <f t="shared" si="16"/>
        <v>3.0104665854985158E-3</v>
      </c>
      <c r="S29" s="2"/>
      <c r="T29" s="6">
        <v>769.18</v>
      </c>
      <c r="U29" s="2"/>
      <c r="V29" s="7">
        <f t="shared" si="17"/>
        <v>2.0594892457031612E-3</v>
      </c>
      <c r="W29" s="2"/>
      <c r="X29" s="6">
        <f t="shared" si="18"/>
        <v>289.57000000000005</v>
      </c>
      <c r="Y29" s="2"/>
      <c r="Z29" s="7">
        <f t="shared" si="19"/>
        <v>0.37646584674588529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230.62</v>
      </c>
      <c r="E30" s="2"/>
      <c r="F30" s="7">
        <f t="shared" si="12"/>
        <v>2.8891252159296008E-3</v>
      </c>
      <c r="G30" s="2"/>
      <c r="H30" s="6">
        <v>203.5</v>
      </c>
      <c r="I30" s="2"/>
      <c r="J30" s="7">
        <f t="shared" si="13"/>
        <v>3.0648762768937243E-3</v>
      </c>
      <c r="K30" s="2"/>
      <c r="L30" s="6">
        <f t="shared" si="14"/>
        <v>27.120000000000005</v>
      </c>
      <c r="M30" s="2"/>
      <c r="N30" s="7">
        <f t="shared" si="15"/>
        <v>0.13326781326781328</v>
      </c>
      <c r="O30" s="11"/>
      <c r="P30" s="6">
        <v>1268.4100000000001</v>
      </c>
      <c r="Q30" s="2"/>
      <c r="R30" s="7">
        <f t="shared" si="16"/>
        <v>3.606617163364508E-3</v>
      </c>
      <c r="S30" s="2"/>
      <c r="T30" s="6">
        <v>1880.55</v>
      </c>
      <c r="U30" s="2"/>
      <c r="V30" s="7">
        <f t="shared" si="17"/>
        <v>5.0351965742831068E-3</v>
      </c>
      <c r="W30" s="2"/>
      <c r="X30" s="6">
        <f t="shared" si="18"/>
        <v>-612.13999999999987</v>
      </c>
      <c r="Y30" s="2"/>
      <c r="Z30" s="7">
        <f t="shared" si="19"/>
        <v>-0.32551115365185712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173.71</v>
      </c>
      <c r="E31" s="2"/>
      <c r="F31" s="7">
        <f t="shared" si="12"/>
        <v>2.1761770065871606E-3</v>
      </c>
      <c r="G31" s="2"/>
      <c r="H31" s="6">
        <v>148.65</v>
      </c>
      <c r="I31" s="2"/>
      <c r="J31" s="7">
        <f t="shared" si="13"/>
        <v>2.2387904597555388E-3</v>
      </c>
      <c r="K31" s="2"/>
      <c r="L31" s="6">
        <f t="shared" si="14"/>
        <v>25.060000000000002</v>
      </c>
      <c r="M31" s="2"/>
      <c r="N31" s="7">
        <f t="shared" si="15"/>
        <v>0.1685839219643458</v>
      </c>
      <c r="O31" s="11"/>
      <c r="P31" s="6">
        <v>811.58</v>
      </c>
      <c r="Q31" s="2"/>
      <c r="R31" s="7">
        <f t="shared" si="16"/>
        <v>2.3076594771748627E-3</v>
      </c>
      <c r="S31" s="2"/>
      <c r="T31" s="6">
        <v>737.62</v>
      </c>
      <c r="U31" s="2"/>
      <c r="V31" s="7">
        <f t="shared" si="17"/>
        <v>1.9749869437785251E-3</v>
      </c>
      <c r="W31" s="2"/>
      <c r="X31" s="6">
        <f t="shared" si="18"/>
        <v>73.960000000000036</v>
      </c>
      <c r="Y31" s="2"/>
      <c r="Z31" s="7">
        <f t="shared" si="19"/>
        <v>0.10026843089937913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18542.16</v>
      </c>
      <c r="E32" s="1"/>
      <c r="F32" s="5">
        <f t="shared" ref="F32:F38" si="20">IF(D$12=0,0,D32/D$12)</f>
        <v>0.23228957598560923</v>
      </c>
      <c r="G32" s="1"/>
      <c r="H32" s="1">
        <f>SUM(OSRRefH22_1x_0)</f>
        <v>17058.03</v>
      </c>
      <c r="I32" s="1"/>
      <c r="J32" s="5">
        <f t="shared" ref="J32:J38" si="21">IF(H$12=0,0,H32/H$12)</f>
        <v>0.25690786966850837</v>
      </c>
      <c r="K32" s="1"/>
      <c r="L32" s="1">
        <f t="shared" ref="L32:L38" si="22">+D32-H32</f>
        <v>1484.130000000001</v>
      </c>
      <c r="M32" s="1"/>
      <c r="N32" s="5">
        <f t="shared" ref="N32:N38" si="23">IF(H32=0,0,L32/H32)</f>
        <v>8.7004771359881605E-2</v>
      </c>
      <c r="O32" s="13"/>
      <c r="P32" s="1">
        <f>SUM(OSRRefP22_1x_0)</f>
        <v>99845.26</v>
      </c>
      <c r="Q32" s="1"/>
      <c r="R32" s="5">
        <f t="shared" ref="R32:R38" si="24">IF(P$12=0,0,P32/P$12)</f>
        <v>0.28390159995316322</v>
      </c>
      <c r="S32" s="1"/>
      <c r="T32" s="1">
        <f>SUM(OSRRefT22_1x_0)</f>
        <v>99968.200000000012</v>
      </c>
      <c r="U32" s="1"/>
      <c r="V32" s="5">
        <f t="shared" ref="V32:V38" si="25">IF(T$12=0,0,T32/T$12)</f>
        <v>0.26766612862048256</v>
      </c>
      <c r="W32" s="1"/>
      <c r="X32" s="1">
        <f t="shared" ref="X32:X38" si="26">+P32-T32</f>
        <v>-122.94000000001688</v>
      </c>
      <c r="Y32" s="1"/>
      <c r="Z32" s="5">
        <f t="shared" ref="Z32:Z38" si="27">IF(T32=0,0,X32/T32)</f>
        <v>-1.2297910735615612E-3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0"/>
        <v>0</v>
      </c>
      <c r="G33" s="2"/>
      <c r="H33" s="6">
        <v>4191.13</v>
      </c>
      <c r="I33" s="2"/>
      <c r="J33" s="7">
        <f t="shared" si="21"/>
        <v>6.3121842311437817E-2</v>
      </c>
      <c r="K33" s="2"/>
      <c r="L33" s="6">
        <f t="shared" si="22"/>
        <v>-4191.13</v>
      </c>
      <c r="M33" s="2"/>
      <c r="N33" s="7">
        <f t="shared" si="23"/>
        <v>-1</v>
      </c>
      <c r="O33" s="11"/>
      <c r="P33" s="6"/>
      <c r="Q33" s="2"/>
      <c r="R33" s="7">
        <f t="shared" si="24"/>
        <v>0</v>
      </c>
      <c r="S33" s="2"/>
      <c r="T33" s="6">
        <v>23823.279999999999</v>
      </c>
      <c r="U33" s="2"/>
      <c r="V33" s="7">
        <f t="shared" si="25"/>
        <v>6.3787135595537073E-2</v>
      </c>
      <c r="W33" s="2"/>
      <c r="X33" s="6">
        <f t="shared" si="26"/>
        <v>-23823.279999999999</v>
      </c>
      <c r="Y33" s="2"/>
      <c r="Z33" s="7">
        <f t="shared" si="27"/>
        <v>-1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5042.97</v>
      </c>
      <c r="E34" s="2"/>
      <c r="F34" s="7">
        <f t="shared" si="20"/>
        <v>6.3176531914736364E-2</v>
      </c>
      <c r="G34" s="2"/>
      <c r="H34" s="6"/>
      <c r="I34" s="2"/>
      <c r="J34" s="7">
        <f t="shared" si="21"/>
        <v>0</v>
      </c>
      <c r="K34" s="2"/>
      <c r="L34" s="6">
        <f t="shared" si="22"/>
        <v>5042.97</v>
      </c>
      <c r="M34" s="2"/>
      <c r="N34" s="7">
        <f t="shared" si="23"/>
        <v>0</v>
      </c>
      <c r="O34" s="11"/>
      <c r="P34" s="6">
        <v>30113.279999999999</v>
      </c>
      <c r="Q34" s="2"/>
      <c r="R34" s="7">
        <f t="shared" si="24"/>
        <v>8.5624579192217942E-2</v>
      </c>
      <c r="S34" s="2"/>
      <c r="T34" s="6"/>
      <c r="U34" s="2"/>
      <c r="V34" s="7">
        <f t="shared" si="25"/>
        <v>0</v>
      </c>
      <c r="W34" s="2"/>
      <c r="X34" s="6">
        <f t="shared" si="26"/>
        <v>30113.279999999999</v>
      </c>
      <c r="Y34" s="2"/>
      <c r="Z34" s="7">
        <f t="shared" si="27"/>
        <v>0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0"/>
        <v>0</v>
      </c>
      <c r="G35" s="2"/>
      <c r="H35" s="6"/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>
        <v>1997.5</v>
      </c>
      <c r="Q35" s="2"/>
      <c r="R35" s="7">
        <f t="shared" si="24"/>
        <v>5.6797232628413557E-3</v>
      </c>
      <c r="S35" s="2"/>
      <c r="T35" s="6">
        <v>7630.01</v>
      </c>
      <c r="U35" s="2"/>
      <c r="V35" s="7">
        <f t="shared" si="25"/>
        <v>2.0429448945120228E-2</v>
      </c>
      <c r="W35" s="2"/>
      <c r="X35" s="6">
        <f t="shared" si="26"/>
        <v>-5632.51</v>
      </c>
      <c r="Y35" s="2"/>
      <c r="Z35" s="7">
        <f t="shared" si="27"/>
        <v>-0.7382047992073405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>
        <v>29.25</v>
      </c>
      <c r="Q36" s="2"/>
      <c r="R36" s="7">
        <f t="shared" si="24"/>
        <v>8.3169915112946008E-5</v>
      </c>
      <c r="S36" s="2"/>
      <c r="T36" s="6"/>
      <c r="U36" s="2"/>
      <c r="V36" s="7">
        <f t="shared" si="25"/>
        <v>0</v>
      </c>
      <c r="W36" s="2"/>
      <c r="X36" s="6">
        <f t="shared" si="26"/>
        <v>29.25</v>
      </c>
      <c r="Y36" s="2"/>
      <c r="Z36" s="7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13499.19</v>
      </c>
      <c r="E37" s="2"/>
      <c r="F37" s="7">
        <f t="shared" si="20"/>
        <v>0.16911304407087288</v>
      </c>
      <c r="G37" s="2"/>
      <c r="H37" s="6">
        <v>12283.9</v>
      </c>
      <c r="I37" s="2"/>
      <c r="J37" s="7">
        <f t="shared" si="21"/>
        <v>0.1850055709962399</v>
      </c>
      <c r="K37" s="2"/>
      <c r="L37" s="6">
        <f t="shared" si="22"/>
        <v>1215.2900000000009</v>
      </c>
      <c r="M37" s="2"/>
      <c r="N37" s="7">
        <f t="shared" si="23"/>
        <v>9.8933563444834366E-2</v>
      </c>
      <c r="O37" s="11"/>
      <c r="P37" s="6">
        <v>67705.23</v>
      </c>
      <c r="Q37" s="2"/>
      <c r="R37" s="7">
        <f t="shared" si="24"/>
        <v>0.19251412758299097</v>
      </c>
      <c r="S37" s="2"/>
      <c r="T37" s="6">
        <v>66482.66</v>
      </c>
      <c r="U37" s="2"/>
      <c r="V37" s="7">
        <f t="shared" si="25"/>
        <v>0.17800816882360401</v>
      </c>
      <c r="W37" s="2"/>
      <c r="X37" s="6">
        <f t="shared" si="26"/>
        <v>1222.5699999999924</v>
      </c>
      <c r="Y37" s="2"/>
      <c r="Z37" s="7">
        <f t="shared" si="27"/>
        <v>1.8389306324385821E-2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583</v>
      </c>
      <c r="I38" s="2"/>
      <c r="J38" s="7">
        <f t="shared" si="21"/>
        <v>8.7804563608306699E-3</v>
      </c>
      <c r="K38" s="2"/>
      <c r="L38" s="6">
        <f t="shared" si="22"/>
        <v>-583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2032.25</v>
      </c>
      <c r="U38" s="2"/>
      <c r="V38" s="7">
        <f t="shared" si="25"/>
        <v>5.4413752562212352E-3</v>
      </c>
      <c r="W38" s="2"/>
      <c r="X38" s="6">
        <f t="shared" si="26"/>
        <v>-2032.25</v>
      </c>
      <c r="Y38" s="2"/>
      <c r="Z38" s="7">
        <f t="shared" si="27"/>
        <v>-1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0</v>
      </c>
      <c r="E39" s="1"/>
      <c r="F39" s="5">
        <f t="shared" ref="F39:F55" si="28">IF(D$12=0,0,D39/D$12)</f>
        <v>0</v>
      </c>
      <c r="G39" s="1"/>
      <c r="H39" s="1">
        <f>SUM(OSRRefH22_2x_0)</f>
        <v>84.68</v>
      </c>
      <c r="I39" s="1"/>
      <c r="J39" s="5">
        <f t="shared" ref="J39:J55" si="29">IF(H$12=0,0,H39/H$12)</f>
        <v>1.2753499907978407E-3</v>
      </c>
      <c r="K39" s="1"/>
      <c r="L39" s="1">
        <f t="shared" ref="L39:L55" si="30">+D39-H39</f>
        <v>-84.68</v>
      </c>
      <c r="M39" s="1"/>
      <c r="N39" s="5">
        <f t="shared" ref="N39:N55" si="31">IF(H39=0,0,L39/H39)</f>
        <v>-1</v>
      </c>
      <c r="O39" s="13"/>
      <c r="P39" s="1">
        <f>SUM(OSRRefP22_2x_0)</f>
        <v>579.89</v>
      </c>
      <c r="Q39" s="1"/>
      <c r="R39" s="5">
        <f t="shared" ref="R39:R55" si="32">IF(P$12=0,0,P39/P$12)</f>
        <v>1.6488684470032911E-3</v>
      </c>
      <c r="S39" s="1"/>
      <c r="T39" s="1">
        <f>SUM(OSRRefT22_2x_0)</f>
        <v>596.16</v>
      </c>
      <c r="U39" s="1"/>
      <c r="V39" s="5">
        <f t="shared" ref="V39:V55" si="33">IF(T$12=0,0,T39/T$12)</f>
        <v>1.5962259922494039E-3</v>
      </c>
      <c r="W39" s="1"/>
      <c r="X39" s="1">
        <f t="shared" ref="X39:X55" si="34">+P39-T39</f>
        <v>-16.269999999999982</v>
      </c>
      <c r="Y39" s="1"/>
      <c r="Z39" s="5">
        <f t="shared" ref="Z39:Z55" si="35">IF(T39=0,0,X39/T39)</f>
        <v>-2.7291331186258695E-2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28"/>
        <v>0</v>
      </c>
      <c r="G40" s="2"/>
      <c r="H40" s="6">
        <v>84.68</v>
      </c>
      <c r="I40" s="2"/>
      <c r="J40" s="7">
        <f t="shared" si="29"/>
        <v>1.2753499907978407E-3</v>
      </c>
      <c r="K40" s="2"/>
      <c r="L40" s="6">
        <f t="shared" si="30"/>
        <v>-84.68</v>
      </c>
      <c r="M40" s="2"/>
      <c r="N40" s="7">
        <f t="shared" si="31"/>
        <v>-1</v>
      </c>
      <c r="O40" s="11"/>
      <c r="P40" s="6">
        <v>579.89</v>
      </c>
      <c r="Q40" s="2"/>
      <c r="R40" s="7">
        <f t="shared" si="32"/>
        <v>1.6488684470032911E-3</v>
      </c>
      <c r="S40" s="2"/>
      <c r="T40" s="6">
        <v>596.16</v>
      </c>
      <c r="U40" s="2"/>
      <c r="V40" s="7">
        <f t="shared" si="33"/>
        <v>1.5962259922494039E-3</v>
      </c>
      <c r="W40" s="2"/>
      <c r="X40" s="6">
        <f t="shared" si="34"/>
        <v>-16.269999999999982</v>
      </c>
      <c r="Y40" s="2"/>
      <c r="Z40" s="7">
        <f t="shared" si="35"/>
        <v>-2.7291331186258695E-2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5.21</v>
      </c>
      <c r="E41" s="1"/>
      <c r="F41" s="5">
        <f t="shared" si="28"/>
        <v>6.526902426065917E-5</v>
      </c>
      <c r="G41" s="1"/>
      <c r="H41" s="1">
        <f>SUM(OSRRefH22_3x_0)</f>
        <v>66.06</v>
      </c>
      <c r="I41" s="1"/>
      <c r="J41" s="5">
        <f t="shared" si="29"/>
        <v>9.9491757666633632E-4</v>
      </c>
      <c r="K41" s="1"/>
      <c r="L41" s="1">
        <f t="shared" si="30"/>
        <v>-60.85</v>
      </c>
      <c r="M41" s="1"/>
      <c r="N41" s="5">
        <f t="shared" si="31"/>
        <v>-0.92113230396609147</v>
      </c>
      <c r="O41" s="13"/>
      <c r="P41" s="1">
        <f>SUM(OSRRefP22_3x_0)</f>
        <v>7.09</v>
      </c>
      <c r="Q41" s="1"/>
      <c r="R41" s="5">
        <f t="shared" si="32"/>
        <v>2.0159818740197853E-5</v>
      </c>
      <c r="S41" s="1"/>
      <c r="T41" s="1">
        <f>SUM(OSRRefT22_3x_0)</f>
        <v>130.22999999999999</v>
      </c>
      <c r="U41" s="1"/>
      <c r="V41" s="5">
        <f t="shared" si="33"/>
        <v>3.4869248351221128E-4</v>
      </c>
      <c r="W41" s="1"/>
      <c r="X41" s="1">
        <f t="shared" si="34"/>
        <v>-123.13999999999999</v>
      </c>
      <c r="Y41" s="1"/>
      <c r="Z41" s="5">
        <f t="shared" si="35"/>
        <v>-0.94555785917223367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>
        <v>5.21</v>
      </c>
      <c r="E42" s="2"/>
      <c r="F42" s="7">
        <f t="shared" si="28"/>
        <v>6.526902426065917E-5</v>
      </c>
      <c r="G42" s="2"/>
      <c r="H42" s="6">
        <v>66.06</v>
      </c>
      <c r="I42" s="2"/>
      <c r="J42" s="7">
        <f t="shared" si="29"/>
        <v>9.9491757666633632E-4</v>
      </c>
      <c r="K42" s="2"/>
      <c r="L42" s="6">
        <f t="shared" si="30"/>
        <v>-60.85</v>
      </c>
      <c r="M42" s="2"/>
      <c r="N42" s="7">
        <f t="shared" si="31"/>
        <v>-0.92113230396609147</v>
      </c>
      <c r="O42" s="11"/>
      <c r="P42" s="6">
        <v>7.09</v>
      </c>
      <c r="Q42" s="2"/>
      <c r="R42" s="7">
        <f t="shared" si="32"/>
        <v>2.0159818740197853E-5</v>
      </c>
      <c r="S42" s="2"/>
      <c r="T42" s="6">
        <v>130.22999999999999</v>
      </c>
      <c r="U42" s="2"/>
      <c r="V42" s="7">
        <f t="shared" si="33"/>
        <v>3.4869248351221128E-4</v>
      </c>
      <c r="W42" s="2"/>
      <c r="X42" s="6">
        <f t="shared" si="34"/>
        <v>-123.13999999999999</v>
      </c>
      <c r="Y42" s="2"/>
      <c r="Z42" s="7">
        <f t="shared" si="35"/>
        <v>-0.94555785917223367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1909.17</v>
      </c>
      <c r="E43" s="1"/>
      <c r="F43" s="5">
        <f t="shared" si="28"/>
        <v>2.3917401736607041E-2</v>
      </c>
      <c r="G43" s="1"/>
      <c r="H43" s="1">
        <f>SUM(OSRRefH22_4x_0)</f>
        <v>1650.68</v>
      </c>
      <c r="I43" s="1"/>
      <c r="J43" s="5">
        <f t="shared" si="29"/>
        <v>2.4860589546648319E-2</v>
      </c>
      <c r="K43" s="1"/>
      <c r="L43" s="1">
        <f t="shared" si="30"/>
        <v>258.49</v>
      </c>
      <c r="M43" s="1"/>
      <c r="N43" s="5">
        <f t="shared" si="31"/>
        <v>0.15659606949863086</v>
      </c>
      <c r="O43" s="13"/>
      <c r="P43" s="1">
        <f>SUM(OSRRefP22_4x_0)</f>
        <v>9340.7800000000007</v>
      </c>
      <c r="Q43" s="1"/>
      <c r="R43" s="5">
        <f t="shared" si="32"/>
        <v>2.6559722382519791E-2</v>
      </c>
      <c r="S43" s="1"/>
      <c r="T43" s="1">
        <f>SUM(OSRRefT22_4x_0)</f>
        <v>10236.700000000001</v>
      </c>
      <c r="U43" s="1"/>
      <c r="V43" s="5">
        <f t="shared" si="33"/>
        <v>2.7408894616981139E-2</v>
      </c>
      <c r="W43" s="1"/>
      <c r="X43" s="1">
        <f t="shared" si="34"/>
        <v>-895.92000000000007</v>
      </c>
      <c r="Y43" s="1"/>
      <c r="Z43" s="5">
        <f t="shared" si="35"/>
        <v>-8.7520392313929288E-2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1909.17</v>
      </c>
      <c r="E44" s="2"/>
      <c r="F44" s="7">
        <f t="shared" si="28"/>
        <v>2.3917401736607041E-2</v>
      </c>
      <c r="G44" s="2"/>
      <c r="H44" s="6">
        <v>1650.68</v>
      </c>
      <c r="I44" s="2"/>
      <c r="J44" s="7">
        <f t="shared" si="29"/>
        <v>2.4860589546648319E-2</v>
      </c>
      <c r="K44" s="2"/>
      <c r="L44" s="6">
        <f t="shared" si="30"/>
        <v>258.49</v>
      </c>
      <c r="M44" s="2"/>
      <c r="N44" s="7">
        <f t="shared" si="31"/>
        <v>0.15659606949863086</v>
      </c>
      <c r="O44" s="11"/>
      <c r="P44" s="6">
        <v>9340.7800000000007</v>
      </c>
      <c r="Q44" s="2"/>
      <c r="R44" s="7">
        <f t="shared" si="32"/>
        <v>2.6559722382519791E-2</v>
      </c>
      <c r="S44" s="2"/>
      <c r="T44" s="6">
        <v>10236.700000000001</v>
      </c>
      <c r="U44" s="2"/>
      <c r="V44" s="7">
        <f t="shared" si="33"/>
        <v>2.7408894616981139E-2</v>
      </c>
      <c r="W44" s="2"/>
      <c r="X44" s="6">
        <f t="shared" si="34"/>
        <v>-895.92000000000007</v>
      </c>
      <c r="Y44" s="2"/>
      <c r="Z44" s="7">
        <f t="shared" si="35"/>
        <v>-8.7520392313929288E-2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1647.59</v>
      </c>
      <c r="E45" s="1"/>
      <c r="F45" s="5">
        <f t="shared" si="28"/>
        <v>2.0640420668257092E-2</v>
      </c>
      <c r="G45" s="1"/>
      <c r="H45" s="1">
        <f>SUM(OSRRefH22_5x_0)</f>
        <v>1147.5899999999999</v>
      </c>
      <c r="I45" s="1"/>
      <c r="J45" s="5">
        <f t="shared" si="29"/>
        <v>1.7283643079117783E-2</v>
      </c>
      <c r="K45" s="1"/>
      <c r="L45" s="1">
        <f t="shared" si="30"/>
        <v>500</v>
      </c>
      <c r="M45" s="1"/>
      <c r="N45" s="5">
        <f t="shared" si="31"/>
        <v>0.43569567528472714</v>
      </c>
      <c r="O45" s="13"/>
      <c r="P45" s="1">
        <f>SUM(OSRRefP22_5x_0)</f>
        <v>8237.9500000000007</v>
      </c>
      <c r="Q45" s="1"/>
      <c r="R45" s="5">
        <f t="shared" si="32"/>
        <v>2.3423918024092091E-2</v>
      </c>
      <c r="S45" s="1"/>
      <c r="T45" s="1">
        <f>SUM(OSRRefT22_5x_0)</f>
        <v>5737.95</v>
      </c>
      <c r="U45" s="1"/>
      <c r="V45" s="5">
        <f t="shared" si="33"/>
        <v>1.5363434199254341E-2</v>
      </c>
      <c r="W45" s="1"/>
      <c r="X45" s="1">
        <f t="shared" si="34"/>
        <v>2500.0000000000009</v>
      </c>
      <c r="Y45" s="1"/>
      <c r="Z45" s="5">
        <f t="shared" si="35"/>
        <v>0.4356956752847273</v>
      </c>
    </row>
    <row r="46" spans="1:26" s="24" customFormat="1" hidden="1" outlineLevel="2" x14ac:dyDescent="0.25">
      <c r="A46" s="26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1647.59</v>
      </c>
      <c r="E46" s="2"/>
      <c r="F46" s="7">
        <f t="shared" si="28"/>
        <v>2.0640420668257092E-2</v>
      </c>
      <c r="G46" s="2"/>
      <c r="H46" s="6">
        <v>1147.5899999999999</v>
      </c>
      <c r="I46" s="2"/>
      <c r="J46" s="7">
        <f t="shared" si="29"/>
        <v>1.7283643079117783E-2</v>
      </c>
      <c r="K46" s="2"/>
      <c r="L46" s="6">
        <f t="shared" si="30"/>
        <v>500</v>
      </c>
      <c r="M46" s="2"/>
      <c r="N46" s="7">
        <f t="shared" si="31"/>
        <v>0.43569567528472714</v>
      </c>
      <c r="O46" s="11"/>
      <c r="P46" s="6">
        <v>8237.9500000000007</v>
      </c>
      <c r="Q46" s="2"/>
      <c r="R46" s="7">
        <f t="shared" si="32"/>
        <v>2.3423918024092091E-2</v>
      </c>
      <c r="S46" s="2"/>
      <c r="T46" s="6">
        <v>5737.95</v>
      </c>
      <c r="U46" s="2"/>
      <c r="V46" s="7">
        <f t="shared" si="33"/>
        <v>1.5363434199254341E-2</v>
      </c>
      <c r="W46" s="2"/>
      <c r="X46" s="6">
        <f t="shared" si="34"/>
        <v>2500.0000000000009</v>
      </c>
      <c r="Y46" s="2"/>
      <c r="Z46" s="7">
        <f t="shared" si="35"/>
        <v>0.4356956752847273</v>
      </c>
    </row>
    <row r="47" spans="1:26" s="25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SUM(OSRRefD22_6x_0)</f>
        <v>151.86000000000001</v>
      </c>
      <c r="E47" s="1"/>
      <c r="F47" s="5">
        <f t="shared" si="28"/>
        <v>1.9024479892943769E-3</v>
      </c>
      <c r="G47" s="1"/>
      <c r="H47" s="1">
        <f>SUM(OSRRefH22_6x_0)</f>
        <v>114.18</v>
      </c>
      <c r="I47" s="1"/>
      <c r="J47" s="5">
        <f t="shared" si="29"/>
        <v>1.7196440948192898E-3</v>
      </c>
      <c r="K47" s="1"/>
      <c r="L47" s="1">
        <f t="shared" si="30"/>
        <v>37.680000000000007</v>
      </c>
      <c r="M47" s="1"/>
      <c r="N47" s="5">
        <f t="shared" si="31"/>
        <v>0.33000525486074622</v>
      </c>
      <c r="O47" s="13"/>
      <c r="P47" s="1">
        <f>SUM(OSRRefP22_6x_0)</f>
        <v>151.86000000000001</v>
      </c>
      <c r="Q47" s="1"/>
      <c r="R47" s="5">
        <f t="shared" si="32"/>
        <v>4.3180113877100797E-4</v>
      </c>
      <c r="S47" s="1"/>
      <c r="T47" s="1">
        <f>SUM(OSRRefT22_6x_0)</f>
        <v>114.18</v>
      </c>
      <c r="U47" s="1"/>
      <c r="V47" s="5">
        <f t="shared" si="33"/>
        <v>3.0571840411137443E-4</v>
      </c>
      <c r="W47" s="1"/>
      <c r="X47" s="1">
        <f t="shared" si="34"/>
        <v>37.680000000000007</v>
      </c>
      <c r="Y47" s="1"/>
      <c r="Z47" s="5">
        <f t="shared" si="35"/>
        <v>0.33000525486074622</v>
      </c>
    </row>
    <row r="48" spans="1:26" s="24" customFormat="1" hidden="1" outlineLevel="2" x14ac:dyDescent="0.25">
      <c r="A48" s="26"/>
      <c r="B48" s="11" t="str">
        <f>CONCATENATE("          ", "6277", " - ", "EMPLOYEE APPRECIATION")</f>
        <v xml:space="preserve">          6277 - EMPLOYEE APPRECIATION</v>
      </c>
      <c r="C48" s="11"/>
      <c r="D48" s="6">
        <v>151.86000000000001</v>
      </c>
      <c r="E48" s="2"/>
      <c r="F48" s="7">
        <f t="shared" si="28"/>
        <v>1.9024479892943769E-3</v>
      </c>
      <c r="G48" s="2"/>
      <c r="H48" s="6">
        <v>114.18</v>
      </c>
      <c r="I48" s="2"/>
      <c r="J48" s="7">
        <f t="shared" si="29"/>
        <v>1.7196440948192898E-3</v>
      </c>
      <c r="K48" s="2"/>
      <c r="L48" s="6">
        <f t="shared" si="30"/>
        <v>37.680000000000007</v>
      </c>
      <c r="M48" s="2"/>
      <c r="N48" s="7">
        <f t="shared" si="31"/>
        <v>0.33000525486074622</v>
      </c>
      <c r="O48" s="11"/>
      <c r="P48" s="6">
        <v>151.86000000000001</v>
      </c>
      <c r="Q48" s="2"/>
      <c r="R48" s="7">
        <f t="shared" si="32"/>
        <v>4.3180113877100797E-4</v>
      </c>
      <c r="S48" s="2"/>
      <c r="T48" s="6">
        <v>114.18</v>
      </c>
      <c r="U48" s="2"/>
      <c r="V48" s="7">
        <f t="shared" si="33"/>
        <v>3.0571840411137443E-4</v>
      </c>
      <c r="W48" s="2"/>
      <c r="X48" s="6">
        <f t="shared" si="34"/>
        <v>37.680000000000007</v>
      </c>
      <c r="Y48" s="2"/>
      <c r="Z48" s="7">
        <f t="shared" si="35"/>
        <v>0.33000525486074622</v>
      </c>
    </row>
    <row r="49" spans="1:26" s="25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SUM(OSRRefD22_7x_0)</f>
        <v>118.91</v>
      </c>
      <c r="E49" s="1"/>
      <c r="F49" s="5">
        <f t="shared" si="28"/>
        <v>1.4896621256880965E-3</v>
      </c>
      <c r="G49" s="1"/>
      <c r="H49" s="1">
        <f>SUM(OSRRefH22_7x_0)</f>
        <v>118.91</v>
      </c>
      <c r="I49" s="1"/>
      <c r="J49" s="5">
        <f t="shared" si="29"/>
        <v>1.7908817596335761E-3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SUM(OSRRefP22_7x_0)</f>
        <v>594.54999999999995</v>
      </c>
      <c r="Q49" s="1"/>
      <c r="R49" s="5">
        <f t="shared" si="32"/>
        <v>1.6905529241163094E-3</v>
      </c>
      <c r="S49" s="1"/>
      <c r="T49" s="1">
        <f>SUM(OSRRefT22_7x_0)</f>
        <v>594.54999999999995</v>
      </c>
      <c r="U49" s="1"/>
      <c r="V49" s="5">
        <f t="shared" si="33"/>
        <v>1.591915196745644E-3</v>
      </c>
      <c r="W49" s="1"/>
      <c r="X49" s="1">
        <f t="shared" si="34"/>
        <v>0</v>
      </c>
      <c r="Y49" s="1"/>
      <c r="Z49" s="5">
        <f t="shared" si="35"/>
        <v>0</v>
      </c>
    </row>
    <row r="50" spans="1:26" s="24" customFormat="1" hidden="1" outlineLevel="2" x14ac:dyDescent="0.25">
      <c r="A50" s="26"/>
      <c r="B50" s="11" t="str">
        <f>CONCATENATE("          ", "6351", " - ", "EQUIPMENT RENTAL")</f>
        <v xml:space="preserve">          6351 - EQUIPMENT RENTAL</v>
      </c>
      <c r="C50" s="11"/>
      <c r="D50" s="6">
        <v>118.91</v>
      </c>
      <c r="E50" s="2"/>
      <c r="F50" s="7">
        <f t="shared" si="28"/>
        <v>1.4896621256880965E-3</v>
      </c>
      <c r="G50" s="2"/>
      <c r="H50" s="6">
        <v>118.91</v>
      </c>
      <c r="I50" s="2"/>
      <c r="J50" s="7">
        <f t="shared" si="29"/>
        <v>1.7908817596335761E-3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>
        <v>594.54999999999995</v>
      </c>
      <c r="Q50" s="2"/>
      <c r="R50" s="7">
        <f t="shared" si="32"/>
        <v>1.6905529241163094E-3</v>
      </c>
      <c r="S50" s="2"/>
      <c r="T50" s="6">
        <v>594.54999999999995</v>
      </c>
      <c r="U50" s="2"/>
      <c r="V50" s="7">
        <f t="shared" si="33"/>
        <v>1.591915196745644E-3</v>
      </c>
      <c r="W50" s="2"/>
      <c r="X50" s="6">
        <f t="shared" si="34"/>
        <v>0</v>
      </c>
      <c r="Y50" s="2"/>
      <c r="Z50" s="7">
        <f t="shared" si="35"/>
        <v>0</v>
      </c>
    </row>
    <row r="51" spans="1:26" s="25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SUM(OSRRefD22_8x_0)</f>
        <v>1033.96</v>
      </c>
      <c r="E51" s="1"/>
      <c r="F51" s="5">
        <f t="shared" si="28"/>
        <v>1.2953082595883141E-2</v>
      </c>
      <c r="G51" s="1"/>
      <c r="H51" s="1">
        <f>SUM(OSRRefH22_8x_0)</f>
        <v>866.98</v>
      </c>
      <c r="I51" s="1"/>
      <c r="J51" s="5">
        <f t="shared" si="29"/>
        <v>1.3057427196763248E-2</v>
      </c>
      <c r="K51" s="1"/>
      <c r="L51" s="1">
        <f t="shared" si="30"/>
        <v>166.98000000000002</v>
      </c>
      <c r="M51" s="1"/>
      <c r="N51" s="5">
        <f t="shared" si="31"/>
        <v>0.19259959860665762</v>
      </c>
      <c r="O51" s="13"/>
      <c r="P51" s="1">
        <f>SUM(OSRRefP22_8x_0)</f>
        <v>5235.72</v>
      </c>
      <c r="Q51" s="1"/>
      <c r="R51" s="5">
        <f t="shared" si="32"/>
        <v>1.4887329502740299E-2</v>
      </c>
      <c r="S51" s="1"/>
      <c r="T51" s="1">
        <f>SUM(OSRRefT22_8x_0)</f>
        <v>6167.44</v>
      </c>
      <c r="U51" s="1"/>
      <c r="V51" s="5">
        <f t="shared" si="33"/>
        <v>1.6513399143918854E-2</v>
      </c>
      <c r="W51" s="1"/>
      <c r="X51" s="1">
        <f t="shared" si="34"/>
        <v>-931.71999999999935</v>
      </c>
      <c r="Y51" s="1"/>
      <c r="Z51" s="5">
        <f t="shared" si="35"/>
        <v>-0.15107078463673734</v>
      </c>
    </row>
    <row r="52" spans="1:26" s="24" customFormat="1" hidden="1" outlineLevel="2" x14ac:dyDescent="0.25">
      <c r="A52" s="26"/>
      <c r="B52" s="11" t="str">
        <f>CONCATENATE("          ", "6279", " - ", "GENERAL EXPENSE")</f>
        <v xml:space="preserve">          6279 - GENERAL EXPENSE</v>
      </c>
      <c r="C52" s="11"/>
      <c r="D52" s="6">
        <v>1033.96</v>
      </c>
      <c r="E52" s="2"/>
      <c r="F52" s="7">
        <f t="shared" si="28"/>
        <v>1.2953082595883141E-2</v>
      </c>
      <c r="G52" s="2"/>
      <c r="H52" s="6">
        <v>866.98</v>
      </c>
      <c r="I52" s="2"/>
      <c r="J52" s="7">
        <f t="shared" si="29"/>
        <v>1.3057427196763248E-2</v>
      </c>
      <c r="K52" s="2"/>
      <c r="L52" s="6">
        <f t="shared" si="30"/>
        <v>166.98000000000002</v>
      </c>
      <c r="M52" s="2"/>
      <c r="N52" s="7">
        <f t="shared" si="31"/>
        <v>0.19259959860665762</v>
      </c>
      <c r="O52" s="11"/>
      <c r="P52" s="6">
        <v>5235.72</v>
      </c>
      <c r="Q52" s="2"/>
      <c r="R52" s="7">
        <f t="shared" si="32"/>
        <v>1.4887329502740299E-2</v>
      </c>
      <c r="S52" s="2"/>
      <c r="T52" s="6">
        <v>6167.44</v>
      </c>
      <c r="U52" s="2"/>
      <c r="V52" s="7">
        <f t="shared" si="33"/>
        <v>1.6513399143918854E-2</v>
      </c>
      <c r="W52" s="2"/>
      <c r="X52" s="6">
        <f t="shared" si="34"/>
        <v>-931.71999999999935</v>
      </c>
      <c r="Y52" s="2"/>
      <c r="Z52" s="7">
        <f t="shared" si="35"/>
        <v>-0.15107078463673734</v>
      </c>
    </row>
    <row r="53" spans="1:26" s="25" customFormat="1" outlineLevel="1" collapsed="1" x14ac:dyDescent="0.25">
      <c r="A53" s="27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SUM(OSRRefD22_9x_0)</f>
        <v>208.64</v>
      </c>
      <c r="E53" s="1"/>
      <c r="F53" s="5">
        <f t="shared" si="28"/>
        <v>2.6137676049412533E-3</v>
      </c>
      <c r="G53" s="1"/>
      <c r="H53" s="1">
        <f>SUM(OSRRefH22_9x_0)</f>
        <v>743.14</v>
      </c>
      <c r="I53" s="1"/>
      <c r="J53" s="5">
        <f t="shared" si="29"/>
        <v>1.1192295608898291E-2</v>
      </c>
      <c r="K53" s="1"/>
      <c r="L53" s="1">
        <f t="shared" si="30"/>
        <v>-534.5</v>
      </c>
      <c r="M53" s="1"/>
      <c r="N53" s="5">
        <f t="shared" si="31"/>
        <v>-0.71924536426514518</v>
      </c>
      <c r="O53" s="13"/>
      <c r="P53" s="1">
        <f>SUM(OSRRefP22_9x_0)</f>
        <v>4180.2700000000004</v>
      </c>
      <c r="Q53" s="1"/>
      <c r="R53" s="5">
        <f t="shared" si="32"/>
        <v>1.1886246189716064E-2</v>
      </c>
      <c r="S53" s="1"/>
      <c r="T53" s="1">
        <f>SUM(OSRRefT22_9x_0)</f>
        <v>4863.34</v>
      </c>
      <c r="U53" s="1"/>
      <c r="V53" s="5">
        <f t="shared" si="33"/>
        <v>1.3021654785873284E-2</v>
      </c>
      <c r="W53" s="1"/>
      <c r="X53" s="1">
        <f t="shared" si="34"/>
        <v>-683.06999999999971</v>
      </c>
      <c r="Y53" s="1"/>
      <c r="Z53" s="5">
        <f t="shared" si="35"/>
        <v>-0.14045285750122338</v>
      </c>
    </row>
    <row r="54" spans="1:26" s="24" customFormat="1" hidden="1" outlineLevel="2" x14ac:dyDescent="0.25">
      <c r="A54" s="26"/>
      <c r="B54" s="11" t="str">
        <f>CONCATENATE("          ", "6373", " - ", "MAINTENANCE CONTRACTS")</f>
        <v xml:space="preserve">          6373 - MAINTENANCE CONTRACTS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111.64</v>
      </c>
      <c r="Q54" s="2"/>
      <c r="R54" s="7">
        <f t="shared" si="32"/>
        <v>3.1743895122083053E-4</v>
      </c>
      <c r="S54" s="2"/>
      <c r="T54" s="6">
        <v>110.97</v>
      </c>
      <c r="U54" s="2"/>
      <c r="V54" s="7">
        <f t="shared" si="33"/>
        <v>2.9712358823120701E-4</v>
      </c>
      <c r="W54" s="2"/>
      <c r="X54" s="6">
        <f t="shared" si="34"/>
        <v>0.67000000000000171</v>
      </c>
      <c r="Y54" s="2"/>
      <c r="Z54" s="7">
        <f t="shared" si="35"/>
        <v>6.0376678381544712E-3</v>
      </c>
    </row>
    <row r="55" spans="1:26" s="24" customFormat="1" hidden="1" outlineLevel="2" x14ac:dyDescent="0.25">
      <c r="A55" s="26"/>
      <c r="B55" s="11" t="str">
        <f>CONCATENATE("          ", "6375", " - ", "OUTSIDE REPAIRS &amp; MAINTENANCE")</f>
        <v xml:space="preserve">          6375 - OUTSIDE REPAIRS &amp; MAINTENANCE</v>
      </c>
      <c r="C55" s="11"/>
      <c r="D55" s="6">
        <v>208.64</v>
      </c>
      <c r="E55" s="2"/>
      <c r="F55" s="7">
        <f t="shared" si="28"/>
        <v>2.6137676049412533E-3</v>
      </c>
      <c r="G55" s="2"/>
      <c r="H55" s="6">
        <v>743.14</v>
      </c>
      <c r="I55" s="2"/>
      <c r="J55" s="7">
        <f t="shared" si="29"/>
        <v>1.1192295608898291E-2</v>
      </c>
      <c r="K55" s="2"/>
      <c r="L55" s="6">
        <f t="shared" si="30"/>
        <v>-534.5</v>
      </c>
      <c r="M55" s="2"/>
      <c r="N55" s="7">
        <f t="shared" si="31"/>
        <v>-0.71924536426514518</v>
      </c>
      <c r="O55" s="11"/>
      <c r="P55" s="6">
        <v>4068.63</v>
      </c>
      <c r="Q55" s="2"/>
      <c r="R55" s="7">
        <f t="shared" si="32"/>
        <v>1.1568807238495233E-2</v>
      </c>
      <c r="S55" s="2"/>
      <c r="T55" s="6">
        <v>4752.37</v>
      </c>
      <c r="U55" s="2"/>
      <c r="V55" s="7">
        <f t="shared" si="33"/>
        <v>1.2724531197642077E-2</v>
      </c>
      <c r="W55" s="2"/>
      <c r="X55" s="6">
        <f t="shared" si="34"/>
        <v>-683.73999999999978</v>
      </c>
      <c r="Y55" s="2"/>
      <c r="Z55" s="7">
        <f t="shared" si="35"/>
        <v>-0.14387347786472851</v>
      </c>
    </row>
    <row r="56" spans="1:26" s="25" customFormat="1" outlineLevel="1" collapsed="1" x14ac:dyDescent="0.25">
      <c r="A56" s="27"/>
      <c r="B56" s="13" t="str">
        <f>CONCATENATE("     ","Royalty &amp; Commissions                             ")</f>
        <v xml:space="preserve">     Royalty &amp; Commissions                             </v>
      </c>
      <c r="C56" s="13"/>
      <c r="D56" s="1">
        <f>SUM(OSRRefD22_10x_0)</f>
        <v>6385.84</v>
      </c>
      <c r="E56" s="1"/>
      <c r="F56" s="5">
        <f t="shared" ref="F56:F69" si="36">IF(D$12=0,0,D56/D$12)</f>
        <v>7.9999528960592675E-2</v>
      </c>
      <c r="G56" s="1"/>
      <c r="H56" s="1">
        <f>SUM(OSRRefH22_10x_0)</f>
        <v>5311.76</v>
      </c>
      <c r="I56" s="1"/>
      <c r="J56" s="5">
        <f t="shared" ref="J56:J69" si="37">IF(H$12=0,0,H56/H$12)</f>
        <v>7.9999445761931257E-2</v>
      </c>
      <c r="K56" s="1"/>
      <c r="L56" s="1">
        <f t="shared" ref="L56:L69" si="38">+D56-H56</f>
        <v>1074.08</v>
      </c>
      <c r="M56" s="1"/>
      <c r="N56" s="5">
        <f t="shared" ref="N56:N69" si="39">IF(H56=0,0,L56/H56)</f>
        <v>0.20220793108122354</v>
      </c>
      <c r="O56" s="13"/>
      <c r="P56" s="1">
        <f>SUM(OSRRefP22_10x_0)</f>
        <v>24915.360000000001</v>
      </c>
      <c r="Q56" s="1"/>
      <c r="R56" s="5">
        <f t="shared" ref="R56:R69" si="40">IF(P$12=0,0,P56/P$12)</f>
        <v>7.0844730810546694E-2</v>
      </c>
      <c r="S56" s="1"/>
      <c r="T56" s="1">
        <f>SUM(OSRRefT22_10x_0)</f>
        <v>29878.48</v>
      </c>
      <c r="U56" s="1"/>
      <c r="V56" s="5">
        <f t="shared" ref="V56:V69" si="41">IF(T$12=0,0,T56/T$12)</f>
        <v>8.0000010710050945E-2</v>
      </c>
      <c r="W56" s="1"/>
      <c r="X56" s="1">
        <f t="shared" ref="X56:X69" si="42">+P56-T56</f>
        <v>-4963.119999999999</v>
      </c>
      <c r="Y56" s="1"/>
      <c r="Z56" s="5">
        <f t="shared" ref="Z56:Z69" si="43">IF(T56=0,0,X56/T56)</f>
        <v>-0.16611019034435484</v>
      </c>
    </row>
    <row r="57" spans="1:26" s="24" customFormat="1" hidden="1" outlineLevel="2" x14ac:dyDescent="0.25">
      <c r="A57" s="26"/>
      <c r="B57" s="11" t="str">
        <f>CONCATENATE("          ", "6259", " - ", "ROYALTY &amp; COMMISSIONS")</f>
        <v xml:space="preserve">          6259 - ROYALTY &amp; COMMISSIONS</v>
      </c>
      <c r="C57" s="11"/>
      <c r="D57" s="6">
        <v>6385.84</v>
      </c>
      <c r="E57" s="2"/>
      <c r="F57" s="7">
        <f t="shared" si="36"/>
        <v>7.9999528960592675E-2</v>
      </c>
      <c r="G57" s="2"/>
      <c r="H57" s="6">
        <v>5311.76</v>
      </c>
      <c r="I57" s="2"/>
      <c r="J57" s="7">
        <f t="shared" si="37"/>
        <v>7.9999445761931257E-2</v>
      </c>
      <c r="K57" s="2"/>
      <c r="L57" s="6">
        <f t="shared" si="38"/>
        <v>1074.08</v>
      </c>
      <c r="M57" s="2"/>
      <c r="N57" s="7">
        <f t="shared" si="39"/>
        <v>0.20220793108122354</v>
      </c>
      <c r="O57" s="11"/>
      <c r="P57" s="6">
        <v>24915.360000000001</v>
      </c>
      <c r="Q57" s="2"/>
      <c r="R57" s="7">
        <f t="shared" si="40"/>
        <v>7.0844730810546694E-2</v>
      </c>
      <c r="S57" s="2"/>
      <c r="T57" s="6">
        <v>29878.48</v>
      </c>
      <c r="U57" s="2"/>
      <c r="V57" s="7">
        <f t="shared" si="41"/>
        <v>8.0000010710050945E-2</v>
      </c>
      <c r="W57" s="2"/>
      <c r="X57" s="6">
        <f t="shared" si="42"/>
        <v>-4963.119999999999</v>
      </c>
      <c r="Y57" s="2"/>
      <c r="Z57" s="7">
        <f t="shared" si="43"/>
        <v>-0.16611019034435484</v>
      </c>
    </row>
    <row r="58" spans="1:26" s="25" customFormat="1" outlineLevel="1" collapsed="1" x14ac:dyDescent="0.25">
      <c r="A58" s="27"/>
      <c r="B58" s="13" t="str">
        <f>CONCATENATE("     ","Services                                          ")</f>
        <v xml:space="preserve">     Services                                          </v>
      </c>
      <c r="C58" s="13"/>
      <c r="D58" s="1">
        <f>SUM(OSRRefD22_11x_0)</f>
        <v>48.75</v>
      </c>
      <c r="E58" s="1"/>
      <c r="F58" s="5">
        <f t="shared" si="36"/>
        <v>6.107226358363023E-4</v>
      </c>
      <c r="G58" s="1"/>
      <c r="H58" s="1">
        <f>SUM(OSRRefH22_11x_0)</f>
        <v>65</v>
      </c>
      <c r="I58" s="1"/>
      <c r="J58" s="5">
        <f t="shared" si="37"/>
        <v>9.7895311055573499E-4</v>
      </c>
      <c r="K58" s="1"/>
      <c r="L58" s="1">
        <f t="shared" si="38"/>
        <v>-16.25</v>
      </c>
      <c r="M58" s="1"/>
      <c r="N58" s="5">
        <f t="shared" si="39"/>
        <v>-0.25</v>
      </c>
      <c r="O58" s="13"/>
      <c r="P58" s="1">
        <f>SUM(OSRRefP22_11x_0)</f>
        <v>281.10000000000002</v>
      </c>
      <c r="Q58" s="1"/>
      <c r="R58" s="5">
        <f t="shared" si="40"/>
        <v>7.9928420985467101E-4</v>
      </c>
      <c r="S58" s="1"/>
      <c r="T58" s="1">
        <f>SUM(OSRRefT22_11x_0)</f>
        <v>254.15</v>
      </c>
      <c r="U58" s="1"/>
      <c r="V58" s="5">
        <f t="shared" si="41"/>
        <v>6.8048986166496588E-4</v>
      </c>
      <c r="W58" s="1"/>
      <c r="X58" s="1">
        <f t="shared" si="42"/>
        <v>26.950000000000017</v>
      </c>
      <c r="Y58" s="1"/>
      <c r="Z58" s="5">
        <f t="shared" si="43"/>
        <v>0.10603974031084012</v>
      </c>
    </row>
    <row r="59" spans="1:26" s="24" customFormat="1" hidden="1" outlineLevel="2" x14ac:dyDescent="0.25">
      <c r="A59" s="26"/>
      <c r="B59" s="11" t="str">
        <f>CONCATENATE("          ", "6286", " - ", "LAUNDRY EXPENSE")</f>
        <v xml:space="preserve">          6286 - LAUNDRY EXPENSE</v>
      </c>
      <c r="C59" s="11"/>
      <c r="D59" s="6">
        <v>48.75</v>
      </c>
      <c r="E59" s="2"/>
      <c r="F59" s="7">
        <f t="shared" si="36"/>
        <v>6.107226358363023E-4</v>
      </c>
      <c r="G59" s="2"/>
      <c r="H59" s="6">
        <v>65</v>
      </c>
      <c r="I59" s="2"/>
      <c r="J59" s="7">
        <f t="shared" si="37"/>
        <v>9.7895311055573499E-4</v>
      </c>
      <c r="K59" s="2"/>
      <c r="L59" s="6">
        <f t="shared" si="38"/>
        <v>-16.25</v>
      </c>
      <c r="M59" s="2"/>
      <c r="N59" s="7">
        <f t="shared" si="39"/>
        <v>-0.25</v>
      </c>
      <c r="O59" s="11"/>
      <c r="P59" s="6">
        <v>281.10000000000002</v>
      </c>
      <c r="Q59" s="2"/>
      <c r="R59" s="7">
        <f t="shared" si="40"/>
        <v>7.9928420985467101E-4</v>
      </c>
      <c r="S59" s="2"/>
      <c r="T59" s="6">
        <v>254.15</v>
      </c>
      <c r="U59" s="2"/>
      <c r="V59" s="7">
        <f t="shared" si="41"/>
        <v>6.8048986166496588E-4</v>
      </c>
      <c r="W59" s="2"/>
      <c r="X59" s="6">
        <f t="shared" si="42"/>
        <v>26.950000000000017</v>
      </c>
      <c r="Y59" s="2"/>
      <c r="Z59" s="7">
        <f t="shared" si="43"/>
        <v>0.10603974031084012</v>
      </c>
    </row>
    <row r="60" spans="1:26" s="25" customFormat="1" outlineLevel="1" collapsed="1" x14ac:dyDescent="0.25">
      <c r="A60" s="27"/>
      <c r="B60" s="13" t="str">
        <f>CONCATENATE("     ","Subscriptions &amp; Dues                              ")</f>
        <v xml:space="preserve">     Subscriptions &amp; Dues                              </v>
      </c>
      <c r="C60" s="13"/>
      <c r="D60" s="1">
        <f>SUM(OSRRefD22_12x_0)</f>
        <v>30.68</v>
      </c>
      <c r="E60" s="1"/>
      <c r="F60" s="5">
        <f t="shared" si="36"/>
        <v>3.8434811215297957E-4</v>
      </c>
      <c r="G60" s="1"/>
      <c r="H60" s="1">
        <f>SUM(OSRRefH22_12x_0)</f>
        <v>0</v>
      </c>
      <c r="I60" s="1"/>
      <c r="J60" s="5">
        <f t="shared" si="37"/>
        <v>0</v>
      </c>
      <c r="K60" s="1"/>
      <c r="L60" s="1">
        <f t="shared" si="38"/>
        <v>30.68</v>
      </c>
      <c r="M60" s="1"/>
      <c r="N60" s="5">
        <f t="shared" si="39"/>
        <v>0</v>
      </c>
      <c r="O60" s="13"/>
      <c r="P60" s="1">
        <f>SUM(OSRRefP22_12x_0)</f>
        <v>92.04</v>
      </c>
      <c r="Q60" s="1"/>
      <c r="R60" s="5">
        <f t="shared" si="40"/>
        <v>2.6170799955540347E-4</v>
      </c>
      <c r="S60" s="1"/>
      <c r="T60" s="1">
        <f>SUM(OSRRefT22_12x_0)</f>
        <v>92.04</v>
      </c>
      <c r="U60" s="1"/>
      <c r="V60" s="5">
        <f t="shared" si="41"/>
        <v>2.4643827215283675E-4</v>
      </c>
      <c r="W60" s="1"/>
      <c r="X60" s="1">
        <f t="shared" si="42"/>
        <v>0</v>
      </c>
      <c r="Y60" s="1"/>
      <c r="Z60" s="5">
        <f t="shared" si="43"/>
        <v>0</v>
      </c>
    </row>
    <row r="61" spans="1:26" s="24" customFormat="1" hidden="1" outlineLevel="2" x14ac:dyDescent="0.25">
      <c r="A61" s="26"/>
      <c r="B61" s="11" t="str">
        <f>CONCATENATE("          ", "6275", " - ", "SUBSCRIPTIONS")</f>
        <v xml:space="preserve">          6275 - SUBSCRIPTIONS</v>
      </c>
      <c r="C61" s="11"/>
      <c r="D61" s="6">
        <v>30.68</v>
      </c>
      <c r="E61" s="2"/>
      <c r="F61" s="7">
        <f t="shared" si="36"/>
        <v>3.8434811215297957E-4</v>
      </c>
      <c r="G61" s="2"/>
      <c r="H61" s="6"/>
      <c r="I61" s="2"/>
      <c r="J61" s="7">
        <f t="shared" si="37"/>
        <v>0</v>
      </c>
      <c r="K61" s="2"/>
      <c r="L61" s="6">
        <f t="shared" si="38"/>
        <v>30.68</v>
      </c>
      <c r="M61" s="2"/>
      <c r="N61" s="7">
        <f t="shared" si="39"/>
        <v>0</v>
      </c>
      <c r="O61" s="11"/>
      <c r="P61" s="6">
        <v>92.04</v>
      </c>
      <c r="Q61" s="2"/>
      <c r="R61" s="7">
        <f t="shared" si="40"/>
        <v>2.6170799955540347E-4</v>
      </c>
      <c r="S61" s="2"/>
      <c r="T61" s="6">
        <v>92.04</v>
      </c>
      <c r="U61" s="2"/>
      <c r="V61" s="7">
        <f t="shared" si="41"/>
        <v>2.4643827215283675E-4</v>
      </c>
      <c r="W61" s="2"/>
      <c r="X61" s="6">
        <f t="shared" si="42"/>
        <v>0</v>
      </c>
      <c r="Y61" s="2"/>
      <c r="Z61" s="7">
        <f t="shared" si="43"/>
        <v>0</v>
      </c>
    </row>
    <row r="62" spans="1:26" s="25" customFormat="1" outlineLevel="1" collapsed="1" x14ac:dyDescent="0.25">
      <c r="A62" s="27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SUM(OSRRefD22_13x_0)</f>
        <v>757.34</v>
      </c>
      <c r="E62" s="1"/>
      <c r="F62" s="5">
        <f t="shared" si="36"/>
        <v>9.4876857646003111E-3</v>
      </c>
      <c r="G62" s="1"/>
      <c r="H62" s="1">
        <f>SUM(OSRRefH22_13x_0)</f>
        <v>443.72999999999996</v>
      </c>
      <c r="I62" s="1"/>
      <c r="J62" s="5">
        <f t="shared" si="37"/>
        <v>6.6829363653368654E-3</v>
      </c>
      <c r="K62" s="1"/>
      <c r="L62" s="1">
        <f t="shared" si="38"/>
        <v>313.61000000000007</v>
      </c>
      <c r="M62" s="1"/>
      <c r="N62" s="5">
        <f t="shared" si="39"/>
        <v>0.70675861447276522</v>
      </c>
      <c r="O62" s="13"/>
      <c r="P62" s="1">
        <f>SUM(OSRRefP22_13x_0)</f>
        <v>6700.0699999999988</v>
      </c>
      <c r="Q62" s="1"/>
      <c r="R62" s="5">
        <f t="shared" si="40"/>
        <v>1.9051085577804994E-2</v>
      </c>
      <c r="S62" s="1"/>
      <c r="T62" s="1">
        <f>SUM(OSRRefT22_13x_0)</f>
        <v>4763.1499999999996</v>
      </c>
      <c r="U62" s="1"/>
      <c r="V62" s="5">
        <f t="shared" si="41"/>
        <v>1.275339478492812E-2</v>
      </c>
      <c r="W62" s="1"/>
      <c r="X62" s="1">
        <f t="shared" si="42"/>
        <v>1936.9199999999992</v>
      </c>
      <c r="Y62" s="1"/>
      <c r="Z62" s="5">
        <f t="shared" si="43"/>
        <v>0.40664686184562721</v>
      </c>
    </row>
    <row r="63" spans="1:26" s="24" customFormat="1" hidden="1" outlineLevel="2" x14ac:dyDescent="0.25">
      <c r="A63" s="26"/>
      <c r="B63" s="11" t="str">
        <f>CONCATENATE("          ", "6237", " - ", "JANITORIAL SUPPLIES")</f>
        <v xml:space="preserve">          6237 - JANITORIAL SUPPLIES</v>
      </c>
      <c r="C63" s="11"/>
      <c r="D63" s="6">
        <v>8.82</v>
      </c>
      <c r="E63" s="2"/>
      <c r="F63" s="7">
        <f t="shared" si="36"/>
        <v>1.1049381842207561E-4</v>
      </c>
      <c r="G63" s="2"/>
      <c r="H63" s="6"/>
      <c r="I63" s="2"/>
      <c r="J63" s="7">
        <f t="shared" si="37"/>
        <v>0</v>
      </c>
      <c r="K63" s="2"/>
      <c r="L63" s="6">
        <f t="shared" si="38"/>
        <v>8.82</v>
      </c>
      <c r="M63" s="2"/>
      <c r="N63" s="7">
        <f t="shared" si="39"/>
        <v>0</v>
      </c>
      <c r="O63" s="11"/>
      <c r="P63" s="6">
        <v>145.93</v>
      </c>
      <c r="Q63" s="2"/>
      <c r="R63" s="7">
        <f t="shared" si="40"/>
        <v>4.1493968247631496E-4</v>
      </c>
      <c r="S63" s="2"/>
      <c r="T63" s="6"/>
      <c r="U63" s="2"/>
      <c r="V63" s="7">
        <f t="shared" si="41"/>
        <v>0</v>
      </c>
      <c r="W63" s="2"/>
      <c r="X63" s="6">
        <f t="shared" si="42"/>
        <v>145.93</v>
      </c>
      <c r="Y63" s="2"/>
      <c r="Z63" s="7">
        <f t="shared" si="43"/>
        <v>0</v>
      </c>
    </row>
    <row r="64" spans="1:26" s="24" customFormat="1" hidden="1" outlineLevel="2" x14ac:dyDescent="0.25">
      <c r="A64" s="26"/>
      <c r="B64" s="11" t="str">
        <f>CONCATENATE("          ", "6239", " - ", "KITCHEN SUPPLIES")</f>
        <v xml:space="preserve">          6239 - KITCHEN SUPPLIES</v>
      </c>
      <c r="C64" s="11"/>
      <c r="D64" s="6">
        <v>7.67</v>
      </c>
      <c r="E64" s="2"/>
      <c r="F64" s="7">
        <f t="shared" si="36"/>
        <v>9.6087028038244893E-5</v>
      </c>
      <c r="G64" s="2"/>
      <c r="H64" s="6">
        <v>144.63999999999999</v>
      </c>
      <c r="I64" s="2"/>
      <c r="J64" s="7">
        <f t="shared" si="37"/>
        <v>2.1783965832427921E-3</v>
      </c>
      <c r="K64" s="2"/>
      <c r="L64" s="6">
        <f t="shared" si="38"/>
        <v>-136.97</v>
      </c>
      <c r="M64" s="2"/>
      <c r="N64" s="7">
        <f t="shared" si="39"/>
        <v>-0.94697179203539827</v>
      </c>
      <c r="O64" s="11"/>
      <c r="P64" s="6">
        <v>1913.37</v>
      </c>
      <c r="Q64" s="2"/>
      <c r="R64" s="7">
        <f t="shared" si="40"/>
        <v>5.4405066830652141E-3</v>
      </c>
      <c r="S64" s="2"/>
      <c r="T64" s="6">
        <v>880.75</v>
      </c>
      <c r="U64" s="2"/>
      <c r="V64" s="7">
        <f t="shared" si="41"/>
        <v>2.3582193415755213E-3</v>
      </c>
      <c r="W64" s="2"/>
      <c r="X64" s="6">
        <f t="shared" si="42"/>
        <v>1032.6199999999999</v>
      </c>
      <c r="Y64" s="2"/>
      <c r="Z64" s="7">
        <f t="shared" si="43"/>
        <v>1.1724325858643201</v>
      </c>
    </row>
    <row r="65" spans="1:26" s="24" customFormat="1" hidden="1" outlineLevel="2" x14ac:dyDescent="0.25">
      <c r="A65" s="26"/>
      <c r="B65" s="11" t="str">
        <f>CONCATENATE("          ", "6241", " - ", "OFFICE EXPENSE")</f>
        <v xml:space="preserve">          6241 - OFFICE EXPENSE</v>
      </c>
      <c r="C65" s="11"/>
      <c r="D65" s="6">
        <v>88.05</v>
      </c>
      <c r="E65" s="2"/>
      <c r="F65" s="7">
        <f t="shared" si="36"/>
        <v>1.1030590376489521E-3</v>
      </c>
      <c r="G65" s="2"/>
      <c r="H65" s="6">
        <v>3.85</v>
      </c>
      <c r="I65" s="2"/>
      <c r="J65" s="7">
        <f t="shared" si="37"/>
        <v>5.7984145779070462E-5</v>
      </c>
      <c r="K65" s="2"/>
      <c r="L65" s="6">
        <f t="shared" si="38"/>
        <v>84.2</v>
      </c>
      <c r="M65" s="2"/>
      <c r="N65" s="7">
        <f t="shared" si="39"/>
        <v>21.870129870129869</v>
      </c>
      <c r="O65" s="11"/>
      <c r="P65" s="6">
        <v>1207.55</v>
      </c>
      <c r="Q65" s="2"/>
      <c r="R65" s="7">
        <f t="shared" si="40"/>
        <v>3.4335668716115541E-3</v>
      </c>
      <c r="S65" s="2"/>
      <c r="T65" s="6">
        <v>58.58</v>
      </c>
      <c r="U65" s="2"/>
      <c r="V65" s="7">
        <f t="shared" si="41"/>
        <v>1.5684869603121659E-4</v>
      </c>
      <c r="W65" s="2"/>
      <c r="X65" s="6">
        <f t="shared" si="42"/>
        <v>1148.97</v>
      </c>
      <c r="Y65" s="2"/>
      <c r="Z65" s="7">
        <f t="shared" si="43"/>
        <v>19.61369067941277</v>
      </c>
    </row>
    <row r="66" spans="1:26" s="24" customFormat="1" hidden="1" outlineLevel="2" x14ac:dyDescent="0.25">
      <c r="A66" s="26"/>
      <c r="B66" s="11" t="str">
        <f>CONCATENATE("          ", "6243", " - ", "PAPER SUPPLIES")</f>
        <v xml:space="preserve">          6243 - PAPER SUPPLIES</v>
      </c>
      <c r="C66" s="11"/>
      <c r="D66" s="6">
        <v>473.42</v>
      </c>
      <c r="E66" s="2"/>
      <c r="F66" s="7">
        <f t="shared" si="36"/>
        <v>5.9308371334896868E-3</v>
      </c>
      <c r="G66" s="2"/>
      <c r="H66" s="6">
        <v>253.2</v>
      </c>
      <c r="I66" s="2"/>
      <c r="J66" s="7">
        <f t="shared" si="37"/>
        <v>3.8133988860417248E-3</v>
      </c>
      <c r="K66" s="2"/>
      <c r="L66" s="6">
        <f t="shared" si="38"/>
        <v>220.22000000000003</v>
      </c>
      <c r="M66" s="2"/>
      <c r="N66" s="7">
        <f t="shared" si="39"/>
        <v>0.86974723538704601</v>
      </c>
      <c r="O66" s="11"/>
      <c r="P66" s="6">
        <v>2046.96</v>
      </c>
      <c r="Q66" s="2"/>
      <c r="R66" s="7">
        <f t="shared" si="40"/>
        <v>5.8203586133195205E-3</v>
      </c>
      <c r="S66" s="2"/>
      <c r="T66" s="6">
        <v>2182.58</v>
      </c>
      <c r="U66" s="2"/>
      <c r="V66" s="7">
        <f t="shared" si="41"/>
        <v>5.8438857457120642E-3</v>
      </c>
      <c r="W66" s="2"/>
      <c r="X66" s="6">
        <f t="shared" si="42"/>
        <v>-135.61999999999989</v>
      </c>
      <c r="Y66" s="2"/>
      <c r="Z66" s="7">
        <f t="shared" si="43"/>
        <v>-6.2137470333275248E-2</v>
      </c>
    </row>
    <row r="67" spans="1:26" s="24" customFormat="1" hidden="1" outlineLevel="2" x14ac:dyDescent="0.25">
      <c r="A67" s="26"/>
      <c r="B67" s="11" t="str">
        <f>CONCATENATE("          ", "6245", " - ", "PRINTING")</f>
        <v xml:space="preserve">          6245 - PRINTING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181.92</v>
      </c>
      <c r="Q67" s="2"/>
      <c r="R67" s="7">
        <f t="shared" si="40"/>
        <v>5.172742207640047E-4</v>
      </c>
      <c r="S67" s="2"/>
      <c r="T67" s="6"/>
      <c r="U67" s="2"/>
      <c r="V67" s="7">
        <f t="shared" si="41"/>
        <v>0</v>
      </c>
      <c r="W67" s="2"/>
      <c r="X67" s="6">
        <f t="shared" si="42"/>
        <v>181.92</v>
      </c>
      <c r="Y67" s="2"/>
      <c r="Z67" s="7">
        <f t="shared" si="43"/>
        <v>0</v>
      </c>
    </row>
    <row r="68" spans="1:26" s="24" customFormat="1" hidden="1" outlineLevel="2" x14ac:dyDescent="0.25">
      <c r="A68" s="26"/>
      <c r="B68" s="11" t="str">
        <f>CONCATENATE("          ", "6247", " - ", "STORE SUPPLIES")</f>
        <v xml:space="preserve">          6247 - STORE SUPPLIES</v>
      </c>
      <c r="C68" s="11"/>
      <c r="D68" s="6">
        <v>179.38</v>
      </c>
      <c r="E68" s="2"/>
      <c r="F68" s="7">
        <f t="shared" si="36"/>
        <v>2.2472087470013519E-3</v>
      </c>
      <c r="G68" s="2"/>
      <c r="H68" s="6">
        <v>42.04</v>
      </c>
      <c r="I68" s="2"/>
      <c r="J68" s="7">
        <f t="shared" si="37"/>
        <v>6.3315675027327846E-4</v>
      </c>
      <c r="K68" s="2"/>
      <c r="L68" s="6">
        <f t="shared" si="38"/>
        <v>137.34</v>
      </c>
      <c r="M68" s="2"/>
      <c r="N68" s="7">
        <f t="shared" si="39"/>
        <v>3.2668886774500479</v>
      </c>
      <c r="O68" s="11"/>
      <c r="P68" s="6">
        <v>1090.56</v>
      </c>
      <c r="Q68" s="2"/>
      <c r="R68" s="7">
        <f t="shared" si="40"/>
        <v>3.1009156453187829E-3</v>
      </c>
      <c r="S68" s="2"/>
      <c r="T68" s="6">
        <v>1153.8599999999999</v>
      </c>
      <c r="U68" s="2"/>
      <c r="V68" s="7">
        <f t="shared" si="41"/>
        <v>3.0894748447009147E-3</v>
      </c>
      <c r="W68" s="2"/>
      <c r="X68" s="6">
        <f t="shared" si="42"/>
        <v>-63.299999999999955</v>
      </c>
      <c r="Y68" s="2"/>
      <c r="Z68" s="7">
        <f t="shared" si="43"/>
        <v>-5.4859341687899708E-2</v>
      </c>
    </row>
    <row r="69" spans="1:26" s="24" customFormat="1" hidden="1" outlineLevel="2" x14ac:dyDescent="0.25">
      <c r="A69" s="26"/>
      <c r="B69" s="11" t="str">
        <f>CONCATENATE("          ", "6248", " - ", "UNIFORMS")</f>
        <v xml:space="preserve">          6248 - UNIFORMS</v>
      </c>
      <c r="C69" s="11"/>
      <c r="D69" s="6"/>
      <c r="E69" s="2"/>
      <c r="F69" s="7">
        <f t="shared" si="36"/>
        <v>0</v>
      </c>
      <c r="G69" s="2"/>
      <c r="H69" s="6"/>
      <c r="I69" s="2"/>
      <c r="J69" s="7">
        <f t="shared" si="37"/>
        <v>0</v>
      </c>
      <c r="K69" s="2"/>
      <c r="L69" s="6">
        <f t="shared" si="38"/>
        <v>0</v>
      </c>
      <c r="M69" s="2"/>
      <c r="N69" s="7">
        <f t="shared" si="39"/>
        <v>0</v>
      </c>
      <c r="O69" s="11"/>
      <c r="P69" s="6">
        <v>113.78</v>
      </c>
      <c r="Q69" s="2"/>
      <c r="R69" s="7">
        <f t="shared" si="40"/>
        <v>3.2352386124960677E-4</v>
      </c>
      <c r="S69" s="2"/>
      <c r="T69" s="6">
        <v>487.38</v>
      </c>
      <c r="U69" s="2"/>
      <c r="V69" s="7">
        <f t="shared" si="41"/>
        <v>1.3049661569084047E-3</v>
      </c>
      <c r="W69" s="2"/>
      <c r="X69" s="6">
        <f t="shared" si="42"/>
        <v>-373.6</v>
      </c>
      <c r="Y69" s="2"/>
      <c r="Z69" s="7">
        <f t="shared" si="43"/>
        <v>-0.76654766301448563</v>
      </c>
    </row>
    <row r="70" spans="1:26" s="25" customFormat="1" outlineLevel="1" collapsed="1" x14ac:dyDescent="0.25">
      <c r="A70" s="27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SUM(OSRRefD22_14x_0)</f>
        <v>0</v>
      </c>
      <c r="E70" s="1"/>
      <c r="F70" s="5">
        <f t="shared" ref="F70:F73" si="44">IF(D$12=0,0,D70/D$12)</f>
        <v>0</v>
      </c>
      <c r="G70" s="1"/>
      <c r="H70" s="1">
        <f>SUM(OSRRefH22_14x_0)</f>
        <v>50</v>
      </c>
      <c r="I70" s="1"/>
      <c r="J70" s="5">
        <f t="shared" ref="J70:J73" si="45">IF(H$12=0,0,H70/H$12)</f>
        <v>7.5304085427364234E-4</v>
      </c>
      <c r="K70" s="1"/>
      <c r="L70" s="1">
        <f t="shared" ref="L70:L73" si="46">+D70-H70</f>
        <v>-50</v>
      </c>
      <c r="M70" s="1"/>
      <c r="N70" s="5">
        <f t="shared" ref="N70:N73" si="47">IF(H70=0,0,L70/H70)</f>
        <v>-1</v>
      </c>
      <c r="O70" s="13"/>
      <c r="P70" s="1">
        <f>SUM(OSRRefP22_14x_0)</f>
        <v>-45</v>
      </c>
      <c r="Q70" s="1"/>
      <c r="R70" s="5">
        <f t="shared" ref="R70:R73" si="48">IF(P$12=0,0,P70/P$12)</f>
        <v>-1.2795371555837849E-4</v>
      </c>
      <c r="S70" s="1"/>
      <c r="T70" s="1">
        <f>SUM(OSRRefT22_14x_0)</f>
        <v>250</v>
      </c>
      <c r="U70" s="1"/>
      <c r="V70" s="5">
        <f t="shared" ref="V70:V73" si="49">IF(T$12=0,0,T70/T$12)</f>
        <v>6.6937818381365916E-4</v>
      </c>
      <c r="W70" s="1"/>
      <c r="X70" s="1">
        <f t="shared" ref="X70:X73" si="50">+P70-T70</f>
        <v>-295</v>
      </c>
      <c r="Y70" s="1"/>
      <c r="Z70" s="5">
        <f t="shared" ref="Z70:Z73" si="51">IF(T70=0,0,X70/T70)</f>
        <v>-1.18</v>
      </c>
    </row>
    <row r="71" spans="1:26" s="24" customFormat="1" hidden="1" outlineLevel="2" x14ac:dyDescent="0.25">
      <c r="A71" s="26"/>
      <c r="B71" s="11" t="str">
        <f>CONCATENATE("          ", "6309", " - ", "TELEPHONE")</f>
        <v xml:space="preserve">          6309 - TELEPHONE</v>
      </c>
      <c r="C71" s="11"/>
      <c r="D71" s="6"/>
      <c r="E71" s="2"/>
      <c r="F71" s="7">
        <f t="shared" si="44"/>
        <v>0</v>
      </c>
      <c r="G71" s="2"/>
      <c r="H71" s="6">
        <v>50</v>
      </c>
      <c r="I71" s="2"/>
      <c r="J71" s="7">
        <f t="shared" si="45"/>
        <v>7.5304085427364234E-4</v>
      </c>
      <c r="K71" s="2"/>
      <c r="L71" s="6">
        <f t="shared" si="46"/>
        <v>-50</v>
      </c>
      <c r="M71" s="2"/>
      <c r="N71" s="7">
        <f t="shared" si="47"/>
        <v>-1</v>
      </c>
      <c r="O71" s="11"/>
      <c r="P71" s="6">
        <v>-45</v>
      </c>
      <c r="Q71" s="2"/>
      <c r="R71" s="7">
        <f t="shared" si="48"/>
        <v>-1.2795371555837849E-4</v>
      </c>
      <c r="S71" s="2"/>
      <c r="T71" s="6">
        <v>250</v>
      </c>
      <c r="U71" s="2"/>
      <c r="V71" s="7">
        <f t="shared" si="49"/>
        <v>6.6937818381365916E-4</v>
      </c>
      <c r="W71" s="2"/>
      <c r="X71" s="6">
        <f t="shared" si="50"/>
        <v>-295</v>
      </c>
      <c r="Y71" s="2"/>
      <c r="Z71" s="7">
        <f t="shared" si="51"/>
        <v>-1.18</v>
      </c>
    </row>
    <row r="72" spans="1:26" s="25" customFormat="1" outlineLevel="1" collapsed="1" x14ac:dyDescent="0.25">
      <c r="A72" s="27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SUM(OSRRefD22_15x_0)</f>
        <v>0</v>
      </c>
      <c r="E72" s="1"/>
      <c r="F72" s="5">
        <f t="shared" si="44"/>
        <v>0</v>
      </c>
      <c r="G72" s="1"/>
      <c r="H72" s="1">
        <f>SUM(OSRRefH22_15x_0)</f>
        <v>0</v>
      </c>
      <c r="I72" s="1"/>
      <c r="J72" s="5">
        <f t="shared" si="45"/>
        <v>0</v>
      </c>
      <c r="K72" s="1"/>
      <c r="L72" s="1">
        <f t="shared" si="46"/>
        <v>0</v>
      </c>
      <c r="M72" s="1"/>
      <c r="N72" s="5">
        <f t="shared" si="47"/>
        <v>0</v>
      </c>
      <c r="O72" s="13"/>
      <c r="P72" s="1">
        <f>SUM(OSRRefP22_15x_0)</f>
        <v>96</v>
      </c>
      <c r="Q72" s="1"/>
      <c r="R72" s="5">
        <f t="shared" si="48"/>
        <v>2.7296792652454078E-4</v>
      </c>
      <c r="S72" s="1"/>
      <c r="T72" s="1">
        <f>SUM(OSRRefT22_15x_0)</f>
        <v>125.16</v>
      </c>
      <c r="U72" s="1"/>
      <c r="V72" s="5">
        <f t="shared" si="49"/>
        <v>3.351174939444703E-4</v>
      </c>
      <c r="W72" s="1"/>
      <c r="X72" s="1">
        <f t="shared" si="50"/>
        <v>-29.159999999999997</v>
      </c>
      <c r="Y72" s="1"/>
      <c r="Z72" s="5">
        <f t="shared" si="51"/>
        <v>-0.23298178331735378</v>
      </c>
    </row>
    <row r="73" spans="1:26" s="24" customFormat="1" hidden="1" outlineLevel="2" x14ac:dyDescent="0.25">
      <c r="A73" s="26"/>
      <c r="B73" s="11" t="str">
        <f>CONCATENATE("          ", "6376", " - ", "TRAINING")</f>
        <v xml:space="preserve">          6376 - TRAINING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96</v>
      </c>
      <c r="Q73" s="2"/>
      <c r="R73" s="7">
        <f t="shared" si="48"/>
        <v>2.7296792652454078E-4</v>
      </c>
      <c r="S73" s="2"/>
      <c r="T73" s="6">
        <v>125.16</v>
      </c>
      <c r="U73" s="2"/>
      <c r="V73" s="7">
        <f t="shared" si="49"/>
        <v>3.351174939444703E-4</v>
      </c>
      <c r="W73" s="2"/>
      <c r="X73" s="6">
        <f t="shared" si="50"/>
        <v>-29.159999999999997</v>
      </c>
      <c r="Y73" s="2"/>
      <c r="Z73" s="7">
        <f t="shared" si="51"/>
        <v>-0.23298178331735378</v>
      </c>
    </row>
    <row r="74" spans="1:26" s="53" customFormat="1" x14ac:dyDescent="0.25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8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9" t="s">
        <v>3</v>
      </c>
      <c r="C77" s="29"/>
      <c r="D77" s="21">
        <f>+D20-D22+D75</f>
        <v>24671.360000000008</v>
      </c>
      <c r="E77" s="14"/>
      <c r="F77" s="20">
        <f>IF(D$12=0,0,D77/D$12)</f>
        <v>0.30907401043828348</v>
      </c>
      <c r="G77" s="14"/>
      <c r="H77" s="21">
        <f>+H20-H22+H75</f>
        <v>13792.200000000008</v>
      </c>
      <c r="I77" s="14"/>
      <c r="J77" s="20">
        <f>IF(H$12=0,0,H77/H$12)</f>
        <v>0.2077218014062587</v>
      </c>
      <c r="K77" s="15"/>
      <c r="L77" s="21">
        <f>+D77-H77</f>
        <v>10879.16</v>
      </c>
      <c r="M77" s="15"/>
      <c r="N77" s="20">
        <f>IF(H77=0,0,L77/H77)</f>
        <v>0.78879076579515917</v>
      </c>
      <c r="O77" s="28"/>
      <c r="P77" s="21">
        <f>+P20-P22+P75</f>
        <v>65127.570000000036</v>
      </c>
      <c r="Q77" s="14"/>
      <c r="R77" s="20">
        <f>IF(P$12=0,0,P77/P$12)</f>
        <v>0.18518476815085308</v>
      </c>
      <c r="S77" s="14"/>
      <c r="T77" s="21">
        <f>+T20-T22+T75</f>
        <v>66783.199999999983</v>
      </c>
      <c r="U77" s="14"/>
      <c r="V77" s="20">
        <f>IF(T$12=0,0,T77/T$12)</f>
        <v>0.1788128685010574</v>
      </c>
      <c r="W77" s="15"/>
      <c r="X77" s="21">
        <f>+P77-T77</f>
        <v>-1655.6299999999464</v>
      </c>
      <c r="Y77" s="15"/>
      <c r="Z77" s="20">
        <f>IF(T77=0,0,X77/T77)</f>
        <v>-2.4791115130750652E-2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1"/>
      <c r="B79" s="10" t="s">
        <v>13</v>
      </c>
      <c r="C79" s="10"/>
      <c r="D79" s="4">
        <v>9874.81</v>
      </c>
      <c r="E79" s="4"/>
      <c r="F79" s="12">
        <f>IF(D$12=0,0,D79/D$12)</f>
        <v>0.12370810239143951</v>
      </c>
      <c r="G79" s="4"/>
      <c r="H79" s="4">
        <v>11096.08</v>
      </c>
      <c r="I79" s="4"/>
      <c r="J79" s="12">
        <f>IF(H$12=0,0,H79/H$12)</f>
        <v>0.16711603124577354</v>
      </c>
      <c r="K79" s="4"/>
      <c r="L79" s="4">
        <f>+D79-H79</f>
        <v>-1221.2700000000004</v>
      </c>
      <c r="M79" s="4"/>
      <c r="N79" s="12">
        <f>IF(H79=0,0,L79/H79)</f>
        <v>-0.11006319348815082</v>
      </c>
      <c r="O79" s="10"/>
      <c r="P79" s="4">
        <v>37241.56</v>
      </c>
      <c r="Q79" s="4"/>
      <c r="R79" s="12">
        <f>IF(P$12=0,0,P79/P$12)</f>
        <v>0.10589324389311745</v>
      </c>
      <c r="S79" s="4"/>
      <c r="T79" s="4">
        <v>39298.559999999998</v>
      </c>
      <c r="U79" s="4"/>
      <c r="V79" s="12">
        <f>IF(T$12=0,0,T79/T$12)</f>
        <v>0.10522239487716845</v>
      </c>
      <c r="W79" s="4"/>
      <c r="X79" s="4">
        <f>+P79-T79</f>
        <v>-2057</v>
      </c>
      <c r="Y79" s="4"/>
      <c r="Z79" s="12">
        <f>IF(T79=0,0,X79/T79)</f>
        <v>-5.234288482834995E-2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4</v>
      </c>
      <c r="C81" s="29"/>
      <c r="D81" s="31">
        <f>+D77-D79</f>
        <v>14796.550000000008</v>
      </c>
      <c r="E81" s="14"/>
      <c r="F81" s="32">
        <f>IF(D$12=0,0,D81/D$12)</f>
        <v>0.18536590804684397</v>
      </c>
      <c r="G81" s="14"/>
      <c r="H81" s="31">
        <f>+H77-H79</f>
        <v>2696.1200000000081</v>
      </c>
      <c r="I81" s="14"/>
      <c r="J81" s="32">
        <f>IF(H$12=0,0,H81/H$12)</f>
        <v>4.0605770160485173E-2</v>
      </c>
      <c r="K81" s="15"/>
      <c r="L81" s="31">
        <f>D81-H81</f>
        <v>12100.43</v>
      </c>
      <c r="M81" s="15"/>
      <c r="N81" s="32">
        <f>IF(H81=0,0,L81/H81)</f>
        <v>4.4880902927169277</v>
      </c>
      <c r="O81" s="28"/>
      <c r="P81" s="31">
        <f>+P77-P79</f>
        <v>27886.010000000038</v>
      </c>
      <c r="Q81" s="14"/>
      <c r="R81" s="32">
        <f>IF(P$12=0,0,P81/P$12)</f>
        <v>7.9291524257735627E-2</v>
      </c>
      <c r="S81" s="14"/>
      <c r="T81" s="31">
        <f>+T77-T79</f>
        <v>27484.639999999985</v>
      </c>
      <c r="U81" s="14"/>
      <c r="V81" s="32">
        <f>IF(T$12=0,0,T81/T$12)</f>
        <v>7.3590473623888958E-2</v>
      </c>
      <c r="W81" s="15"/>
      <c r="X81" s="31">
        <f>P81-T81</f>
        <v>401.37000000005355</v>
      </c>
      <c r="Y81" s="15"/>
      <c r="Z81" s="32">
        <f>IF(T81=0,0,X81/T81)</f>
        <v>1.4603429406390398E-2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5</v>
      </c>
      <c r="C84" s="29"/>
      <c r="D84" s="34">
        <f>SUM(D81:D83)</f>
        <v>14796.550000000008</v>
      </c>
      <c r="E84" s="14"/>
      <c r="F84" s="30">
        <f>IF(D$12=0,0,D84/D$12)</f>
        <v>0.18536590804684397</v>
      </c>
      <c r="G84" s="14"/>
      <c r="H84" s="34">
        <f>SUM(H81:H83)</f>
        <v>2696.1200000000081</v>
      </c>
      <c r="I84" s="14"/>
      <c r="J84" s="30">
        <f>IF(H$12=0,0,H84/H$12)</f>
        <v>4.0605770160485173E-2</v>
      </c>
      <c r="K84" s="15"/>
      <c r="L84" s="34">
        <f>+D84-H84</f>
        <v>12100.43</v>
      </c>
      <c r="M84" s="15"/>
      <c r="N84" s="30">
        <f>IF(H84=0,0,L84/H84)</f>
        <v>4.4880902927169277</v>
      </c>
      <c r="O84" s="28"/>
      <c r="P84" s="34">
        <f>SUM(P81:P83)</f>
        <v>27886.010000000038</v>
      </c>
      <c r="Q84" s="14"/>
      <c r="R84" s="30">
        <f>IF(P$12=0,0,P84/P$12)</f>
        <v>7.9291524257735627E-2</v>
      </c>
      <c r="S84" s="14"/>
      <c r="T84" s="34">
        <f>SUM(T81:T83)</f>
        <v>27484.639999999985</v>
      </c>
      <c r="U84" s="14"/>
      <c r="V84" s="30">
        <f>IF(T$12=0,0,T84/T$12)</f>
        <v>7.3590473623888958E-2</v>
      </c>
      <c r="W84" s="15"/>
      <c r="X84" s="34">
        <f>+P84-T84</f>
        <v>401.37000000005355</v>
      </c>
      <c r="Y84" s="15"/>
      <c r="Z84" s="30">
        <f>IF(T84=0,0,X84/T84)</f>
        <v>1.4603429406390398E-2</v>
      </c>
    </row>
    <row r="85" spans="1:26" ht="15.75" thickTop="1" x14ac:dyDescent="0.25">
      <c r="A85" s="9"/>
      <c r="C85" s="9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9">
        <v>43815.492114004628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2" t="s">
        <v>313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1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","415", " - ", "Outpost")</f>
        <v>Department 415 - Outpost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84941.36</v>
      </c>
      <c r="E12" s="4"/>
      <c r="F12" s="12"/>
      <c r="G12" s="4"/>
      <c r="H12" s="4">
        <f>SUM(OSRRefH13x_0)</f>
        <v>80417.490000000005</v>
      </c>
      <c r="I12" s="4"/>
      <c r="J12" s="12"/>
      <c r="K12" s="4"/>
      <c r="L12" s="4">
        <f t="shared" ref="L12:L14" si="0">+D12-H12</f>
        <v>4523.8699999999953</v>
      </c>
      <c r="M12" s="4"/>
      <c r="N12" s="12">
        <f t="shared" ref="N12:N14" si="1">IF(H12=0,0,L12/H12)</f>
        <v>5.6254802282438746E-2</v>
      </c>
      <c r="O12" s="10"/>
      <c r="P12" s="4">
        <f>SUM(OSRRefP13x_0)</f>
        <v>396774</v>
      </c>
      <c r="Q12" s="4"/>
      <c r="R12" s="12"/>
      <c r="S12" s="4"/>
      <c r="T12" s="4">
        <f>SUM(OSRRefT13x_0)</f>
        <v>404747.4</v>
      </c>
      <c r="U12" s="4"/>
      <c r="V12" s="12"/>
      <c r="W12" s="4"/>
      <c r="X12" s="4">
        <f t="shared" ref="X12:X14" si="2">+P12-T12</f>
        <v>-7973.4000000000233</v>
      </c>
      <c r="Y12" s="4"/>
      <c r="Z12" s="12">
        <f t="shared" ref="Z12:Z14" si="3">IF(T12=0,0,X12/T12)</f>
        <v>-1.9699694179629128E-2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--23914.05</f>
        <v>23914.05</v>
      </c>
      <c r="E13" s="2"/>
      <c r="F13" s="19"/>
      <c r="G13" s="2"/>
      <c r="H13" s="2">
        <f>--24128.87</f>
        <v>24128.87</v>
      </c>
      <c r="I13" s="2"/>
      <c r="J13" s="19"/>
      <c r="K13" s="2"/>
      <c r="L13" s="2">
        <f t="shared" si="0"/>
        <v>-214.81999999999971</v>
      </c>
      <c r="M13" s="2"/>
      <c r="N13" s="19">
        <f t="shared" si="1"/>
        <v>-8.9030277837296029E-3</v>
      </c>
      <c r="O13" s="11"/>
      <c r="P13" s="2">
        <f>--118734.8</f>
        <v>118734.8</v>
      </c>
      <c r="Q13" s="2"/>
      <c r="R13" s="19"/>
      <c r="S13" s="2"/>
      <c r="T13" s="2">
        <f>--138367.32</f>
        <v>138367.32</v>
      </c>
      <c r="U13" s="2"/>
      <c r="V13" s="19"/>
      <c r="W13" s="2"/>
      <c r="X13" s="2">
        <f t="shared" si="2"/>
        <v>-19632.520000000004</v>
      </c>
      <c r="Y13" s="2"/>
      <c r="Z13" s="19">
        <f t="shared" si="3"/>
        <v>-0.14188697157681454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--61027.31</f>
        <v>61027.31</v>
      </c>
      <c r="E14" s="2"/>
      <c r="F14" s="19"/>
      <c r="G14" s="2"/>
      <c r="H14" s="2">
        <f>--56288.62</f>
        <v>56288.62</v>
      </c>
      <c r="I14" s="2"/>
      <c r="J14" s="19"/>
      <c r="K14" s="2"/>
      <c r="L14" s="2">
        <f t="shared" si="0"/>
        <v>4738.6899999999951</v>
      </c>
      <c r="M14" s="2"/>
      <c r="N14" s="19">
        <f t="shared" si="1"/>
        <v>8.4185577830829653E-2</v>
      </c>
      <c r="O14" s="11"/>
      <c r="P14" s="2">
        <f>--278039.2</f>
        <v>278039.2</v>
      </c>
      <c r="Q14" s="2"/>
      <c r="R14" s="19"/>
      <c r="S14" s="2"/>
      <c r="T14" s="2">
        <f>--266380.08</f>
        <v>266380.08</v>
      </c>
      <c r="U14" s="2"/>
      <c r="V14" s="19"/>
      <c r="W14" s="2"/>
      <c r="X14" s="2">
        <f t="shared" si="2"/>
        <v>11659.119999999995</v>
      </c>
      <c r="Y14" s="2"/>
      <c r="Z14" s="19">
        <f t="shared" si="3"/>
        <v>4.3768738263011239E-2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28277.08</v>
      </c>
      <c r="E16" s="4"/>
      <c r="F16" s="12">
        <f t="shared" ref="F16:F18" si="4">IF(D$12=0,0,D16/D$12)</f>
        <v>0.33290119206944652</v>
      </c>
      <c r="G16" s="4"/>
      <c r="H16" s="4">
        <f>SUM(OSRRefH16x_0)</f>
        <v>26136.449999999997</v>
      </c>
      <c r="I16" s="4"/>
      <c r="J16" s="12">
        <f t="shared" ref="J16:J18" si="5">IF(H$12=0,0,H16/H$12)</f>
        <v>0.32500952218230134</v>
      </c>
      <c r="K16" s="4"/>
      <c r="L16" s="4">
        <f t="shared" ref="L16:L18" si="6">+D16-H16</f>
        <v>2140.6300000000047</v>
      </c>
      <c r="M16" s="4"/>
      <c r="N16" s="12">
        <f t="shared" ref="N16:N18" si="7">IF(H16=0,0,L16/H16)</f>
        <v>8.19020945843833E-2</v>
      </c>
      <c r="O16" s="10"/>
      <c r="P16" s="4">
        <f>SUM(OSRRefP16x_0)</f>
        <v>127847.32</v>
      </c>
      <c r="Q16" s="4"/>
      <c r="R16" s="12">
        <f t="shared" ref="R16:R18" si="8">IF(P$12=0,0,P16/P$12)</f>
        <v>0.32221697994324228</v>
      </c>
      <c r="S16" s="4"/>
      <c r="T16" s="4">
        <f>SUM(OSRRefT16x_0)</f>
        <v>130667.72000000002</v>
      </c>
      <c r="U16" s="4"/>
      <c r="V16" s="12">
        <f t="shared" ref="V16:V18" si="9">IF(T$12=0,0,T16/T$12)</f>
        <v>0.32283770074866447</v>
      </c>
      <c r="W16" s="4"/>
      <c r="X16" s="4">
        <f t="shared" ref="X16:X18" si="10">+P16-T16</f>
        <v>-2820.4000000000087</v>
      </c>
      <c r="Y16" s="4"/>
      <c r="Z16" s="12">
        <f t="shared" ref="Z16:Z18" si="11">IF(T16=0,0,X16/T16)</f>
        <v>-2.1584519879890827E-2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25060.080000000002</v>
      </c>
      <c r="E17" s="2"/>
      <c r="F17" s="19">
        <f t="shared" si="4"/>
        <v>0.29502800520264805</v>
      </c>
      <c r="G17" s="2"/>
      <c r="H17" s="2">
        <v>23387.449999999997</v>
      </c>
      <c r="I17" s="2"/>
      <c r="J17" s="19">
        <f t="shared" si="5"/>
        <v>0.29082541621231894</v>
      </c>
      <c r="K17" s="2"/>
      <c r="L17" s="2">
        <f t="shared" si="6"/>
        <v>1672.6300000000047</v>
      </c>
      <c r="M17" s="2"/>
      <c r="N17" s="19">
        <f t="shared" si="7"/>
        <v>7.1518271551622978E-2</v>
      </c>
      <c r="O17" s="11"/>
      <c r="P17" s="2">
        <v>127187.32</v>
      </c>
      <c r="Q17" s="2"/>
      <c r="R17" s="19">
        <f t="shared" si="8"/>
        <v>0.32055356449767375</v>
      </c>
      <c r="S17" s="2"/>
      <c r="T17" s="2">
        <v>127452.72000000002</v>
      </c>
      <c r="U17" s="2"/>
      <c r="V17" s="19">
        <f t="shared" si="9"/>
        <v>0.31489447492436023</v>
      </c>
      <c r="W17" s="2"/>
      <c r="X17" s="2">
        <f t="shared" si="10"/>
        <v>-265.40000000000873</v>
      </c>
      <c r="Y17" s="2"/>
      <c r="Z17" s="19">
        <f t="shared" si="11"/>
        <v>-2.0823408084190646E-3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3217</v>
      </c>
      <c r="E18" s="2"/>
      <c r="F18" s="19">
        <f t="shared" si="4"/>
        <v>3.7873186866798463E-2</v>
      </c>
      <c r="G18" s="2"/>
      <c r="H18" s="2">
        <v>2749</v>
      </c>
      <c r="I18" s="2"/>
      <c r="J18" s="19">
        <f t="shared" si="5"/>
        <v>3.4184105969982399E-2</v>
      </c>
      <c r="K18" s="2"/>
      <c r="L18" s="2">
        <f t="shared" si="6"/>
        <v>468</v>
      </c>
      <c r="M18" s="2"/>
      <c r="N18" s="19">
        <f t="shared" si="7"/>
        <v>0.17024372499090579</v>
      </c>
      <c r="O18" s="11"/>
      <c r="P18" s="2">
        <v>660</v>
      </c>
      <c r="Q18" s="2"/>
      <c r="R18" s="19">
        <f t="shared" si="8"/>
        <v>1.6634154455685099E-3</v>
      </c>
      <c r="S18" s="2"/>
      <c r="T18" s="2">
        <v>3215</v>
      </c>
      <c r="U18" s="2"/>
      <c r="V18" s="19">
        <f t="shared" si="9"/>
        <v>7.9432258243042446E-3</v>
      </c>
      <c r="W18" s="2"/>
      <c r="X18" s="2">
        <f t="shared" si="10"/>
        <v>-2555</v>
      </c>
      <c r="Y18" s="2"/>
      <c r="Z18" s="19">
        <f t="shared" si="11"/>
        <v>-0.79471228615863143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56664.28</v>
      </c>
      <c r="E20" s="14"/>
      <c r="F20" s="20">
        <f>IF(D$12=0,0,D20/D$12)</f>
        <v>0.66709880793055354</v>
      </c>
      <c r="G20" s="14"/>
      <c r="H20" s="21">
        <f>H12-H16</f>
        <v>54281.040000000008</v>
      </c>
      <c r="I20" s="14"/>
      <c r="J20" s="20">
        <f>IF(H$12=0,0,H20/H$12)</f>
        <v>0.67499047781769872</v>
      </c>
      <c r="K20" s="15"/>
      <c r="L20" s="21">
        <f>+D20-H20</f>
        <v>2383.2399999999907</v>
      </c>
      <c r="M20" s="15"/>
      <c r="N20" s="20">
        <f>IF(H20=0,0,L20/H20)</f>
        <v>4.3905569974340773E-2</v>
      </c>
      <c r="O20" s="28"/>
      <c r="P20" s="21">
        <f>P12-P16</f>
        <v>268926.68</v>
      </c>
      <c r="Q20" s="14"/>
      <c r="R20" s="20">
        <f>IF(P$12=0,0,P20/P$12)</f>
        <v>0.67778302005675772</v>
      </c>
      <c r="S20" s="14"/>
      <c r="T20" s="21">
        <f>T12-T16</f>
        <v>274079.68</v>
      </c>
      <c r="U20" s="14"/>
      <c r="V20" s="20">
        <f>IF(T$12=0,0,T20/T$12)</f>
        <v>0.67716229925133542</v>
      </c>
      <c r="W20" s="15"/>
      <c r="X20" s="21">
        <f>+P20-T20</f>
        <v>-5153</v>
      </c>
      <c r="Y20" s="15"/>
      <c r="Z20" s="20">
        <f>IF(T20=0,0,X20/T20)</f>
        <v>-1.8801101927731382E-2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67799.219999999987</v>
      </c>
      <c r="E22" s="22"/>
      <c r="F22" s="33">
        <f t="shared" ref="F22:F31" si="12">IF(D$12=0,0,D22/D$12)</f>
        <v>0.79818853853999971</v>
      </c>
      <c r="G22" s="22"/>
      <c r="H22" s="22">
        <f>SUM(OSRRefH22x_0)</f>
        <v>61610.930000000022</v>
      </c>
      <c r="I22" s="22"/>
      <c r="J22" s="33">
        <f t="shared" ref="J22:J31" si="13">IF(H$12=0,0,H22/H$12)</f>
        <v>0.76613843580544505</v>
      </c>
      <c r="K22" s="4"/>
      <c r="L22" s="22">
        <f t="shared" ref="L22:L31" si="14">+D22-H22</f>
        <v>6188.2899999999645</v>
      </c>
      <c r="M22" s="4"/>
      <c r="N22" s="33">
        <f t="shared" ref="N22:N31" si="15">IF(H22=0,0,L22/H22)</f>
        <v>0.10044143141484738</v>
      </c>
      <c r="O22" s="10"/>
      <c r="P22" s="22">
        <f>SUM(OSRRefP22x_0)</f>
        <v>353581.00000000006</v>
      </c>
      <c r="Q22" s="22"/>
      <c r="R22" s="33">
        <f t="shared" ref="R22:R31" si="16">IF(P$12=0,0,P22/P$12)</f>
        <v>0.89113954039327192</v>
      </c>
      <c r="S22" s="22"/>
      <c r="T22" s="22">
        <f>SUM(OSRRefT22x_0)</f>
        <v>334970.26</v>
      </c>
      <c r="U22" s="22"/>
      <c r="V22" s="33">
        <f t="shared" ref="V22:V31" si="17">IF(T$12=0,0,T22/T$12)</f>
        <v>0.8276032409349634</v>
      </c>
      <c r="W22" s="4"/>
      <c r="X22" s="22">
        <f t="shared" ref="X22:X31" si="18">+P22-T22</f>
        <v>18610.740000000049</v>
      </c>
      <c r="Y22" s="4"/>
      <c r="Z22" s="33">
        <f t="shared" ref="Z22:Z31" si="19">IF(T22=0,0,X22/T22)</f>
        <v>5.5559380107356539E-2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7416.19</v>
      </c>
      <c r="E23" s="1"/>
      <c r="F23" s="5">
        <f t="shared" si="12"/>
        <v>8.7309527419857647E-2</v>
      </c>
      <c r="G23" s="1"/>
      <c r="H23" s="1">
        <f>SUM(OSRRefH22_0x_0)</f>
        <v>7376.4700000000012</v>
      </c>
      <c r="I23" s="1"/>
      <c r="J23" s="5">
        <f t="shared" si="13"/>
        <v>9.1727185218041504E-2</v>
      </c>
      <c r="K23" s="1"/>
      <c r="L23" s="1">
        <f t="shared" si="14"/>
        <v>39.719999999998436</v>
      </c>
      <c r="M23" s="1"/>
      <c r="N23" s="5">
        <f t="shared" si="15"/>
        <v>5.3846894246161684E-3</v>
      </c>
      <c r="O23" s="13"/>
      <c r="P23" s="1">
        <f>SUM(OSRRefP22_0x_0)</f>
        <v>41963.61</v>
      </c>
      <c r="Q23" s="1"/>
      <c r="R23" s="5">
        <f t="shared" si="16"/>
        <v>0.10576199549365634</v>
      </c>
      <c r="S23" s="1"/>
      <c r="T23" s="1">
        <f>SUM(OSRRefT22_0x_0)</f>
        <v>38217.370000000003</v>
      </c>
      <c r="U23" s="1"/>
      <c r="V23" s="5">
        <f t="shared" si="17"/>
        <v>9.4422768373558424E-2</v>
      </c>
      <c r="W23" s="1"/>
      <c r="X23" s="1">
        <f t="shared" si="18"/>
        <v>3746.239999999998</v>
      </c>
      <c r="Y23" s="1"/>
      <c r="Z23" s="5">
        <f t="shared" si="19"/>
        <v>9.8024537010265173E-2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1249.33</v>
      </c>
      <c r="E24" s="2"/>
      <c r="F24" s="7">
        <f t="shared" si="12"/>
        <v>1.4708146890984555E-2</v>
      </c>
      <c r="G24" s="2"/>
      <c r="H24" s="6">
        <v>1138.53</v>
      </c>
      <c r="I24" s="2"/>
      <c r="J24" s="7">
        <f t="shared" si="13"/>
        <v>1.4157741058568228E-2</v>
      </c>
      <c r="K24" s="2"/>
      <c r="L24" s="6">
        <f t="shared" si="14"/>
        <v>110.79999999999995</v>
      </c>
      <c r="M24" s="2"/>
      <c r="N24" s="7">
        <f t="shared" si="15"/>
        <v>9.7318472064855527E-2</v>
      </c>
      <c r="O24" s="11"/>
      <c r="P24" s="6">
        <v>7517.38</v>
      </c>
      <c r="Q24" s="2"/>
      <c r="R24" s="7">
        <f t="shared" si="16"/>
        <v>1.8946251518496677E-2</v>
      </c>
      <c r="S24" s="2"/>
      <c r="T24" s="6">
        <v>6955.15</v>
      </c>
      <c r="U24" s="2"/>
      <c r="V24" s="7">
        <f t="shared" si="17"/>
        <v>1.7183927555803939E-2</v>
      </c>
      <c r="W24" s="2"/>
      <c r="X24" s="6">
        <f t="shared" si="18"/>
        <v>562.23000000000047</v>
      </c>
      <c r="Y24" s="2"/>
      <c r="Z24" s="7">
        <f t="shared" si="19"/>
        <v>8.0836502447826503E-2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1043.96</v>
      </c>
      <c r="E25" s="2"/>
      <c r="F25" s="7">
        <f t="shared" si="12"/>
        <v>1.2290361256283159E-2</v>
      </c>
      <c r="G25" s="2"/>
      <c r="H25" s="6">
        <v>953.63</v>
      </c>
      <c r="I25" s="2"/>
      <c r="J25" s="7">
        <f t="shared" si="13"/>
        <v>1.1858489987688001E-2</v>
      </c>
      <c r="K25" s="2"/>
      <c r="L25" s="6">
        <f t="shared" si="14"/>
        <v>90.330000000000041</v>
      </c>
      <c r="M25" s="2"/>
      <c r="N25" s="7">
        <f t="shared" si="15"/>
        <v>9.4722271740612235E-2</v>
      </c>
      <c r="O25" s="11"/>
      <c r="P25" s="6">
        <v>3164.39</v>
      </c>
      <c r="Q25" s="2"/>
      <c r="R25" s="7">
        <f t="shared" si="16"/>
        <v>7.9752957603068751E-3</v>
      </c>
      <c r="S25" s="2"/>
      <c r="T25" s="6">
        <v>4209.88</v>
      </c>
      <c r="U25" s="2"/>
      <c r="V25" s="7">
        <f t="shared" si="17"/>
        <v>1.0401252731950842E-2</v>
      </c>
      <c r="W25" s="2"/>
      <c r="X25" s="6">
        <f t="shared" si="18"/>
        <v>-1045.4900000000002</v>
      </c>
      <c r="Y25" s="2"/>
      <c r="Z25" s="7">
        <f t="shared" si="19"/>
        <v>-0.24834199549630873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3090.03</v>
      </c>
      <c r="E26" s="2"/>
      <c r="F26" s="7">
        <f t="shared" si="12"/>
        <v>3.6378390927576394E-2</v>
      </c>
      <c r="G26" s="2"/>
      <c r="H26" s="6">
        <v>3401.61</v>
      </c>
      <c r="I26" s="2"/>
      <c r="J26" s="7">
        <f t="shared" si="13"/>
        <v>4.2299380395981023E-2</v>
      </c>
      <c r="K26" s="2"/>
      <c r="L26" s="6">
        <f t="shared" si="14"/>
        <v>-311.57999999999993</v>
      </c>
      <c r="M26" s="2"/>
      <c r="N26" s="7">
        <f t="shared" si="15"/>
        <v>-9.1597802217185373E-2</v>
      </c>
      <c r="O26" s="11"/>
      <c r="P26" s="6">
        <v>15450.470000000001</v>
      </c>
      <c r="Q26" s="2"/>
      <c r="R26" s="7">
        <f t="shared" si="16"/>
        <v>3.8940227938322573E-2</v>
      </c>
      <c r="S26" s="2"/>
      <c r="T26" s="6">
        <v>14864.66</v>
      </c>
      <c r="U26" s="2"/>
      <c r="V26" s="7">
        <f t="shared" si="17"/>
        <v>3.6725770196423743E-2</v>
      </c>
      <c r="W26" s="2"/>
      <c r="X26" s="6">
        <f t="shared" si="18"/>
        <v>585.81000000000131</v>
      </c>
      <c r="Y26" s="2"/>
      <c r="Z26" s="7">
        <f t="shared" si="19"/>
        <v>3.940957949929573E-2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69.959999999999994</v>
      </c>
      <c r="E27" s="2"/>
      <c r="F27" s="7">
        <f t="shared" si="12"/>
        <v>8.2362702928231893E-4</v>
      </c>
      <c r="G27" s="2"/>
      <c r="H27" s="6">
        <v>70.84</v>
      </c>
      <c r="I27" s="2"/>
      <c r="J27" s="7">
        <f t="shared" si="13"/>
        <v>8.809028981133333E-4</v>
      </c>
      <c r="K27" s="2"/>
      <c r="L27" s="6">
        <f t="shared" si="14"/>
        <v>-0.88000000000000966</v>
      </c>
      <c r="M27" s="2"/>
      <c r="N27" s="7">
        <f t="shared" si="15"/>
        <v>-1.2422360248447341E-2</v>
      </c>
      <c r="O27" s="11"/>
      <c r="P27" s="6">
        <v>310.64</v>
      </c>
      <c r="Q27" s="2"/>
      <c r="R27" s="7">
        <f t="shared" si="16"/>
        <v>7.8291420304757865E-4</v>
      </c>
      <c r="S27" s="2"/>
      <c r="T27" s="6">
        <v>312.73</v>
      </c>
      <c r="U27" s="2"/>
      <c r="V27" s="7">
        <f t="shared" si="17"/>
        <v>7.7265474713364435E-4</v>
      </c>
      <c r="W27" s="2"/>
      <c r="X27" s="6">
        <f t="shared" si="18"/>
        <v>-2.0900000000000318</v>
      </c>
      <c r="Y27" s="2"/>
      <c r="Z27" s="7">
        <f t="shared" si="19"/>
        <v>-6.683081252198483E-3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523.63</v>
      </c>
      <c r="E28" s="2"/>
      <c r="F28" s="7">
        <f t="shared" si="12"/>
        <v>6.1646057939265392E-3</v>
      </c>
      <c r="G28" s="2"/>
      <c r="H28" s="6">
        <v>471.44</v>
      </c>
      <c r="I28" s="2"/>
      <c r="J28" s="7">
        <f t="shared" si="13"/>
        <v>5.8624062999230635E-3</v>
      </c>
      <c r="K28" s="2"/>
      <c r="L28" s="6">
        <f t="shared" si="14"/>
        <v>52.19</v>
      </c>
      <c r="M28" s="2"/>
      <c r="N28" s="7">
        <f t="shared" si="15"/>
        <v>0.11070337688783302</v>
      </c>
      <c r="O28" s="11"/>
      <c r="P28" s="6">
        <v>3167.08</v>
      </c>
      <c r="Q28" s="2"/>
      <c r="R28" s="7">
        <f t="shared" si="16"/>
        <v>7.9820754384107833E-3</v>
      </c>
      <c r="S28" s="2"/>
      <c r="T28" s="6">
        <v>3015.08</v>
      </c>
      <c r="U28" s="2"/>
      <c r="V28" s="7">
        <f t="shared" si="17"/>
        <v>7.4492881239014751E-3</v>
      </c>
      <c r="W28" s="2"/>
      <c r="X28" s="6">
        <f t="shared" si="18"/>
        <v>152</v>
      </c>
      <c r="Y28" s="2"/>
      <c r="Z28" s="7">
        <f t="shared" si="19"/>
        <v>5.041325603300742E-2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714.17</v>
      </c>
      <c r="E29" s="2"/>
      <c r="F29" s="7">
        <f t="shared" si="12"/>
        <v>8.4078003931182636E-3</v>
      </c>
      <c r="G29" s="2"/>
      <c r="H29" s="6">
        <v>658.1</v>
      </c>
      <c r="I29" s="2"/>
      <c r="J29" s="7">
        <f t="shared" si="13"/>
        <v>8.1835431570918219E-3</v>
      </c>
      <c r="K29" s="2"/>
      <c r="L29" s="6">
        <f t="shared" si="14"/>
        <v>56.069999999999936</v>
      </c>
      <c r="M29" s="2"/>
      <c r="N29" s="7">
        <f t="shared" si="15"/>
        <v>8.5199817656890955E-2</v>
      </c>
      <c r="O29" s="11"/>
      <c r="P29" s="6">
        <v>5103.3999999999996</v>
      </c>
      <c r="Q29" s="2"/>
      <c r="R29" s="7">
        <f t="shared" si="16"/>
        <v>1.286223391653687E-2</v>
      </c>
      <c r="S29" s="2"/>
      <c r="T29" s="6">
        <v>4058.51</v>
      </c>
      <c r="U29" s="2"/>
      <c r="V29" s="7">
        <f t="shared" si="17"/>
        <v>1.0027266388863771E-2</v>
      </c>
      <c r="W29" s="2"/>
      <c r="X29" s="6">
        <f t="shared" si="18"/>
        <v>1044.8899999999994</v>
      </c>
      <c r="Y29" s="2"/>
      <c r="Z29" s="7">
        <f t="shared" si="19"/>
        <v>0.25745655425266895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392.9</v>
      </c>
      <c r="E30" s="2"/>
      <c r="F30" s="7">
        <f t="shared" si="12"/>
        <v>4.6255440223702564E-3</v>
      </c>
      <c r="G30" s="2"/>
      <c r="H30" s="6">
        <v>383.14</v>
      </c>
      <c r="I30" s="2"/>
      <c r="J30" s="7">
        <f t="shared" si="13"/>
        <v>4.7643864537428356E-3</v>
      </c>
      <c r="K30" s="2"/>
      <c r="L30" s="6">
        <f t="shared" si="14"/>
        <v>9.7599999999999909</v>
      </c>
      <c r="M30" s="2"/>
      <c r="N30" s="7">
        <f t="shared" si="15"/>
        <v>2.5473717179098999E-2</v>
      </c>
      <c r="O30" s="11"/>
      <c r="P30" s="6">
        <v>5603.88</v>
      </c>
      <c r="Q30" s="2"/>
      <c r="R30" s="7">
        <f t="shared" si="16"/>
        <v>1.4123606889564337E-2</v>
      </c>
      <c r="S30" s="2"/>
      <c r="T30" s="6">
        <v>3338.47</v>
      </c>
      <c r="U30" s="2"/>
      <c r="V30" s="7">
        <f t="shared" si="17"/>
        <v>8.2482802854323446E-3</v>
      </c>
      <c r="W30" s="2"/>
      <c r="X30" s="6">
        <f t="shared" si="18"/>
        <v>2265.4100000000003</v>
      </c>
      <c r="Y30" s="2"/>
      <c r="Z30" s="7">
        <f t="shared" si="19"/>
        <v>0.67857731236165086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332.21</v>
      </c>
      <c r="E31" s="2"/>
      <c r="F31" s="7">
        <f t="shared" si="12"/>
        <v>3.911051106316169E-3</v>
      </c>
      <c r="G31" s="2"/>
      <c r="H31" s="6">
        <v>299.18</v>
      </c>
      <c r="I31" s="2"/>
      <c r="J31" s="7">
        <f t="shared" si="13"/>
        <v>3.7203349669331881E-3</v>
      </c>
      <c r="K31" s="2"/>
      <c r="L31" s="6">
        <f t="shared" si="14"/>
        <v>33.029999999999973</v>
      </c>
      <c r="M31" s="2"/>
      <c r="N31" s="7">
        <f t="shared" si="15"/>
        <v>0.11040176482385176</v>
      </c>
      <c r="O31" s="11"/>
      <c r="P31" s="6">
        <v>1646.37</v>
      </c>
      <c r="Q31" s="2"/>
      <c r="R31" s="7">
        <f t="shared" si="16"/>
        <v>4.1493898289706481E-3</v>
      </c>
      <c r="S31" s="2"/>
      <c r="T31" s="6">
        <v>1462.89</v>
      </c>
      <c r="U31" s="2"/>
      <c r="V31" s="7">
        <f t="shared" si="17"/>
        <v>3.6143283440486585E-3</v>
      </c>
      <c r="W31" s="2"/>
      <c r="X31" s="6">
        <f t="shared" si="18"/>
        <v>183.47999999999979</v>
      </c>
      <c r="Y31" s="2"/>
      <c r="Z31" s="7">
        <f t="shared" si="19"/>
        <v>0.1254229641326414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23181.29</v>
      </c>
      <c r="E32" s="1"/>
      <c r="F32" s="5">
        <f t="shared" ref="F32:F38" si="20">IF(D$12=0,0,D32/D$12)</f>
        <v>0.27290933415711732</v>
      </c>
      <c r="G32" s="1"/>
      <c r="H32" s="1">
        <f>SUM(OSRRefH22_1x_0)</f>
        <v>21519.239999999998</v>
      </c>
      <c r="I32" s="1"/>
      <c r="J32" s="5">
        <f t="shared" ref="J32:J38" si="21">IF(H$12=0,0,H32/H$12)</f>
        <v>0.26759402712021968</v>
      </c>
      <c r="K32" s="1"/>
      <c r="L32" s="1">
        <f t="shared" ref="L32:L38" si="22">+D32-H32</f>
        <v>1662.0500000000029</v>
      </c>
      <c r="M32" s="1"/>
      <c r="N32" s="5">
        <f t="shared" ref="N32:N38" si="23">IF(H32=0,0,L32/H32)</f>
        <v>7.7235534340432246E-2</v>
      </c>
      <c r="O32" s="13"/>
      <c r="P32" s="1">
        <f>SUM(OSRRefP22_1x_0)</f>
        <v>124206.26999999999</v>
      </c>
      <c r="Q32" s="1"/>
      <c r="R32" s="5">
        <f t="shared" ref="R32:R38" si="24">IF(P$12=0,0,P32/P$12)</f>
        <v>0.31304034538553432</v>
      </c>
      <c r="S32" s="1"/>
      <c r="T32" s="1">
        <f>SUM(OSRRefT22_1x_0)</f>
        <v>116814.13</v>
      </c>
      <c r="U32" s="1"/>
      <c r="V32" s="5">
        <f t="shared" ref="V32:V38" si="25">IF(T$12=0,0,T32/T$12)</f>
        <v>0.28860995771683773</v>
      </c>
      <c r="W32" s="1"/>
      <c r="X32" s="1">
        <f t="shared" ref="X32:X38" si="26">+P32-T32</f>
        <v>7392.1399999999849</v>
      </c>
      <c r="Y32" s="1"/>
      <c r="Z32" s="5">
        <f t="shared" ref="Z32:Z38" si="27">IF(T32=0,0,X32/T32)</f>
        <v>6.3281214353092252E-2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4866.91</v>
      </c>
      <c r="E33" s="2"/>
      <c r="F33" s="7">
        <f t="shared" si="20"/>
        <v>5.7297293097261448E-2</v>
      </c>
      <c r="G33" s="2"/>
      <c r="H33" s="6">
        <v>4760.03</v>
      </c>
      <c r="I33" s="2"/>
      <c r="J33" s="7">
        <f t="shared" si="21"/>
        <v>5.9191476878972464E-2</v>
      </c>
      <c r="K33" s="2"/>
      <c r="L33" s="6">
        <f t="shared" si="22"/>
        <v>106.88000000000011</v>
      </c>
      <c r="M33" s="2"/>
      <c r="N33" s="7">
        <f t="shared" si="23"/>
        <v>2.2453639998067262E-2</v>
      </c>
      <c r="O33" s="11"/>
      <c r="P33" s="6">
        <v>26604.329999999998</v>
      </c>
      <c r="Q33" s="2"/>
      <c r="R33" s="7">
        <f t="shared" si="24"/>
        <v>6.7051596122729817E-2</v>
      </c>
      <c r="S33" s="2"/>
      <c r="T33" s="6">
        <v>25129.550000000003</v>
      </c>
      <c r="U33" s="2"/>
      <c r="V33" s="7">
        <f t="shared" si="25"/>
        <v>6.2086995493979703E-2</v>
      </c>
      <c r="W33" s="2"/>
      <c r="X33" s="6">
        <f t="shared" si="26"/>
        <v>1474.7799999999952</v>
      </c>
      <c r="Y33" s="2"/>
      <c r="Z33" s="7">
        <f t="shared" si="27"/>
        <v>5.8687083533131117E-2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3225.44</v>
      </c>
      <c r="E34" s="2"/>
      <c r="F34" s="7">
        <f t="shared" si="20"/>
        <v>3.7972549532995468E-2</v>
      </c>
      <c r="G34" s="2"/>
      <c r="H34" s="6">
        <v>2950.95</v>
      </c>
      <c r="I34" s="2"/>
      <c r="J34" s="7">
        <f t="shared" si="21"/>
        <v>3.6695375595532757E-2</v>
      </c>
      <c r="K34" s="2"/>
      <c r="L34" s="6">
        <f t="shared" si="22"/>
        <v>274.49000000000024</v>
      </c>
      <c r="M34" s="2"/>
      <c r="N34" s="7">
        <f t="shared" si="23"/>
        <v>9.3017502838069185E-2</v>
      </c>
      <c r="O34" s="11"/>
      <c r="P34" s="6">
        <v>16989.289999999997</v>
      </c>
      <c r="Q34" s="2"/>
      <c r="R34" s="7">
        <f t="shared" si="24"/>
        <v>4.2818556659458523E-2</v>
      </c>
      <c r="S34" s="2"/>
      <c r="T34" s="6">
        <v>16405.34</v>
      </c>
      <c r="U34" s="2"/>
      <c r="V34" s="7">
        <f t="shared" si="25"/>
        <v>4.0532292486622518E-2</v>
      </c>
      <c r="W34" s="2"/>
      <c r="X34" s="6">
        <f t="shared" si="26"/>
        <v>583.94999999999709</v>
      </c>
      <c r="Y34" s="2"/>
      <c r="Z34" s="7">
        <f t="shared" si="27"/>
        <v>3.5595117199643353E-2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7812.93</v>
      </c>
      <c r="E35" s="2"/>
      <c r="F35" s="7">
        <f t="shared" si="20"/>
        <v>9.1980279100782006E-2</v>
      </c>
      <c r="G35" s="2"/>
      <c r="H35" s="6">
        <v>6336.79</v>
      </c>
      <c r="I35" s="2"/>
      <c r="J35" s="7">
        <f t="shared" si="21"/>
        <v>7.8798654372326207E-2</v>
      </c>
      <c r="K35" s="2"/>
      <c r="L35" s="6">
        <f t="shared" si="22"/>
        <v>1476.1400000000003</v>
      </c>
      <c r="M35" s="2"/>
      <c r="N35" s="7">
        <f t="shared" si="23"/>
        <v>0.23294759649601776</v>
      </c>
      <c r="O35" s="11"/>
      <c r="P35" s="6">
        <v>39315.299999999996</v>
      </c>
      <c r="Q35" s="2"/>
      <c r="R35" s="7">
        <f t="shared" si="24"/>
        <v>9.9087389798726722E-2</v>
      </c>
      <c r="S35" s="2"/>
      <c r="T35" s="6">
        <v>31870.300000000003</v>
      </c>
      <c r="U35" s="2"/>
      <c r="V35" s="7">
        <f t="shared" si="25"/>
        <v>7.8741209949711843E-2</v>
      </c>
      <c r="W35" s="2"/>
      <c r="X35" s="6">
        <f t="shared" si="26"/>
        <v>7444.9999999999927</v>
      </c>
      <c r="Y35" s="2"/>
      <c r="Z35" s="7">
        <f t="shared" si="27"/>
        <v>0.23360307245303596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>
        <v>220.31</v>
      </c>
      <c r="I36" s="2"/>
      <c r="J36" s="7">
        <f t="shared" si="21"/>
        <v>2.7395781688784367E-3</v>
      </c>
      <c r="K36" s="2"/>
      <c r="L36" s="6">
        <f t="shared" si="22"/>
        <v>-220.31</v>
      </c>
      <c r="M36" s="2"/>
      <c r="N36" s="7">
        <f t="shared" si="23"/>
        <v>-1</v>
      </c>
      <c r="O36" s="11"/>
      <c r="P36" s="6">
        <v>200.5</v>
      </c>
      <c r="Q36" s="2"/>
      <c r="R36" s="7">
        <f t="shared" si="24"/>
        <v>5.0532544975225187E-4</v>
      </c>
      <c r="S36" s="2"/>
      <c r="T36" s="6">
        <v>220.31</v>
      </c>
      <c r="U36" s="2"/>
      <c r="V36" s="7">
        <f t="shared" si="25"/>
        <v>5.4431479979859037E-4</v>
      </c>
      <c r="W36" s="2"/>
      <c r="X36" s="6">
        <f t="shared" si="26"/>
        <v>-19.810000000000002</v>
      </c>
      <c r="Y36" s="2"/>
      <c r="Z36" s="7">
        <f t="shared" si="27"/>
        <v>-8.9918750851073495E-2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7276.01</v>
      </c>
      <c r="E37" s="2"/>
      <c r="F37" s="7">
        <f t="shared" si="20"/>
        <v>8.5659212426078421E-2</v>
      </c>
      <c r="G37" s="2"/>
      <c r="H37" s="6">
        <v>6858.47</v>
      </c>
      <c r="I37" s="2"/>
      <c r="J37" s="7">
        <f t="shared" si="21"/>
        <v>8.5285800389940047E-2</v>
      </c>
      <c r="K37" s="2"/>
      <c r="L37" s="6">
        <f t="shared" si="22"/>
        <v>417.53999999999996</v>
      </c>
      <c r="M37" s="2"/>
      <c r="N37" s="7">
        <f t="shared" si="23"/>
        <v>6.0879467286435597E-2</v>
      </c>
      <c r="O37" s="11"/>
      <c r="P37" s="6">
        <v>41096.85</v>
      </c>
      <c r="Q37" s="2"/>
      <c r="R37" s="7">
        <f t="shared" si="24"/>
        <v>0.103577477354867</v>
      </c>
      <c r="S37" s="2"/>
      <c r="T37" s="6">
        <v>42069.939999999995</v>
      </c>
      <c r="U37" s="2"/>
      <c r="V37" s="7">
        <f t="shared" si="25"/>
        <v>0.10394122358784762</v>
      </c>
      <c r="W37" s="2"/>
      <c r="X37" s="6">
        <f t="shared" si="26"/>
        <v>-973.08999999999651</v>
      </c>
      <c r="Y37" s="2"/>
      <c r="Z37" s="7">
        <f t="shared" si="27"/>
        <v>-2.313029208028337E-2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392.69</v>
      </c>
      <c r="I38" s="2"/>
      <c r="J38" s="7">
        <f t="shared" si="21"/>
        <v>4.8831417145698032E-3</v>
      </c>
      <c r="K38" s="2"/>
      <c r="L38" s="6">
        <f t="shared" si="22"/>
        <v>-392.69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1118.69</v>
      </c>
      <c r="U38" s="2"/>
      <c r="V38" s="7">
        <f t="shared" si="25"/>
        <v>2.7639213988774232E-3</v>
      </c>
      <c r="W38" s="2"/>
      <c r="X38" s="6">
        <f t="shared" si="26"/>
        <v>-1118.69</v>
      </c>
      <c r="Y38" s="2"/>
      <c r="Z38" s="7">
        <f t="shared" si="27"/>
        <v>-1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652.66999999999996</v>
      </c>
      <c r="E39" s="1"/>
      <c r="F39" s="5">
        <f t="shared" ref="F39:F47" si="28">IF(D$12=0,0,D39/D$12)</f>
        <v>7.6837714865879234E-3</v>
      </c>
      <c r="G39" s="1"/>
      <c r="H39" s="1">
        <f>SUM(OSRRefH22_2x_0)</f>
        <v>601.91999999999996</v>
      </c>
      <c r="I39" s="1"/>
      <c r="J39" s="5">
        <f t="shared" ref="J39:J47" si="29">IF(H$12=0,0,H39/H$12)</f>
        <v>7.4849389106772662E-3</v>
      </c>
      <c r="K39" s="1"/>
      <c r="L39" s="1">
        <f t="shared" ref="L39:L47" si="30">+D39-H39</f>
        <v>50.75</v>
      </c>
      <c r="M39" s="1"/>
      <c r="N39" s="5">
        <f t="shared" ref="N39:N47" si="31">IF(H39=0,0,L39/H39)</f>
        <v>8.4313530037214257E-2</v>
      </c>
      <c r="O39" s="13"/>
      <c r="P39" s="1">
        <f>SUM(OSRRefP22_2x_0)</f>
        <v>3241.65</v>
      </c>
      <c r="Q39" s="1"/>
      <c r="R39" s="5">
        <f t="shared" ref="R39:R47" si="32">IF(P$12=0,0,P39/P$12)</f>
        <v>8.1700161804956987E-3</v>
      </c>
      <c r="S39" s="1"/>
      <c r="T39" s="1">
        <f>SUM(OSRRefT22_2x_0)</f>
        <v>1856.9</v>
      </c>
      <c r="U39" s="1"/>
      <c r="V39" s="5">
        <f t="shared" ref="V39:V47" si="33">IF(T$12=0,0,T39/T$12)</f>
        <v>4.5877996992692233E-3</v>
      </c>
      <c r="W39" s="1"/>
      <c r="X39" s="1">
        <f t="shared" ref="X39:X47" si="34">+P39-T39</f>
        <v>1384.75</v>
      </c>
      <c r="Y39" s="1"/>
      <c r="Z39" s="5">
        <f t="shared" ref="Z39:Z47" si="35">IF(T39=0,0,X39/T39)</f>
        <v>0.74573213420216489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652.66999999999996</v>
      </c>
      <c r="E40" s="2"/>
      <c r="F40" s="7">
        <f t="shared" si="28"/>
        <v>7.6837714865879234E-3</v>
      </c>
      <c r="G40" s="2"/>
      <c r="H40" s="6">
        <v>601.91999999999996</v>
      </c>
      <c r="I40" s="2"/>
      <c r="J40" s="7">
        <f t="shared" si="29"/>
        <v>7.4849389106772662E-3</v>
      </c>
      <c r="K40" s="2"/>
      <c r="L40" s="6">
        <f t="shared" si="30"/>
        <v>50.75</v>
      </c>
      <c r="M40" s="2"/>
      <c r="N40" s="7">
        <f t="shared" si="31"/>
        <v>8.4313530037214257E-2</v>
      </c>
      <c r="O40" s="11"/>
      <c r="P40" s="6">
        <v>3241.65</v>
      </c>
      <c r="Q40" s="2"/>
      <c r="R40" s="7">
        <f t="shared" si="32"/>
        <v>8.1700161804956987E-3</v>
      </c>
      <c r="S40" s="2"/>
      <c r="T40" s="6">
        <v>1856.9</v>
      </c>
      <c r="U40" s="2"/>
      <c r="V40" s="7">
        <f t="shared" si="33"/>
        <v>4.5877996992692233E-3</v>
      </c>
      <c r="W40" s="2"/>
      <c r="X40" s="6">
        <f t="shared" si="34"/>
        <v>1384.75</v>
      </c>
      <c r="Y40" s="2"/>
      <c r="Z40" s="7">
        <f t="shared" si="35"/>
        <v>0.74573213420216489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-4.97</v>
      </c>
      <c r="E41" s="1"/>
      <c r="F41" s="5">
        <f t="shared" si="28"/>
        <v>-5.8510953909850273E-5</v>
      </c>
      <c r="G41" s="1"/>
      <c r="H41" s="1">
        <f>SUM(OSRRefH22_3x_0)</f>
        <v>3.7</v>
      </c>
      <c r="I41" s="1"/>
      <c r="J41" s="5">
        <f t="shared" si="29"/>
        <v>4.6009891629296064E-5</v>
      </c>
      <c r="K41" s="1"/>
      <c r="L41" s="1">
        <f t="shared" si="30"/>
        <v>-8.67</v>
      </c>
      <c r="M41" s="1"/>
      <c r="N41" s="5">
        <f t="shared" si="31"/>
        <v>-2.3432432432432431</v>
      </c>
      <c r="O41" s="13"/>
      <c r="P41" s="1">
        <f>SUM(OSRRefP22_3x_0)</f>
        <v>-11.59</v>
      </c>
      <c r="Q41" s="1"/>
      <c r="R41" s="5">
        <f t="shared" si="32"/>
        <v>-2.9210583354756109E-5</v>
      </c>
      <c r="S41" s="1"/>
      <c r="T41" s="1">
        <f>SUM(OSRRefT22_3x_0)</f>
        <v>50.47</v>
      </c>
      <c r="U41" s="1"/>
      <c r="V41" s="5">
        <f t="shared" si="33"/>
        <v>1.2469505671932666E-4</v>
      </c>
      <c r="W41" s="1"/>
      <c r="X41" s="1">
        <f t="shared" si="34"/>
        <v>-62.06</v>
      </c>
      <c r="Y41" s="1"/>
      <c r="Z41" s="5">
        <f t="shared" si="35"/>
        <v>-1.2296413711115515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>
        <v>-4.97</v>
      </c>
      <c r="E42" s="2"/>
      <c r="F42" s="7">
        <f t="shared" si="28"/>
        <v>-5.8510953909850273E-5</v>
      </c>
      <c r="G42" s="2"/>
      <c r="H42" s="6">
        <v>3.7</v>
      </c>
      <c r="I42" s="2"/>
      <c r="J42" s="7">
        <f t="shared" si="29"/>
        <v>4.6009891629296064E-5</v>
      </c>
      <c r="K42" s="2"/>
      <c r="L42" s="6">
        <f t="shared" si="30"/>
        <v>-8.67</v>
      </c>
      <c r="M42" s="2"/>
      <c r="N42" s="7">
        <f t="shared" si="31"/>
        <v>-2.3432432432432431</v>
      </c>
      <c r="O42" s="11"/>
      <c r="P42" s="6">
        <v>-11.59</v>
      </c>
      <c r="Q42" s="2"/>
      <c r="R42" s="7">
        <f t="shared" si="32"/>
        <v>-2.9210583354756109E-5</v>
      </c>
      <c r="S42" s="2"/>
      <c r="T42" s="6">
        <v>50.47</v>
      </c>
      <c r="U42" s="2"/>
      <c r="V42" s="7">
        <f t="shared" si="33"/>
        <v>1.2469505671932666E-4</v>
      </c>
      <c r="W42" s="2"/>
      <c r="X42" s="6">
        <f t="shared" si="34"/>
        <v>-62.06</v>
      </c>
      <c r="Y42" s="2"/>
      <c r="Z42" s="7">
        <f t="shared" si="35"/>
        <v>-1.2296413711115515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2871.42</v>
      </c>
      <c r="E43" s="1"/>
      <c r="F43" s="5">
        <f t="shared" si="28"/>
        <v>3.3804733053485372E-2</v>
      </c>
      <c r="G43" s="1"/>
      <c r="H43" s="1">
        <f>SUM(OSRRefH22_4x_0)</f>
        <v>2836.45</v>
      </c>
      <c r="I43" s="1"/>
      <c r="J43" s="5">
        <f t="shared" si="29"/>
        <v>3.5271555976193733E-2</v>
      </c>
      <c r="K43" s="1"/>
      <c r="L43" s="1">
        <f t="shared" si="30"/>
        <v>34.970000000000255</v>
      </c>
      <c r="M43" s="1"/>
      <c r="N43" s="5">
        <f t="shared" si="31"/>
        <v>1.2328791270778705E-2</v>
      </c>
      <c r="O43" s="13"/>
      <c r="P43" s="1">
        <f>SUM(OSRRefP22_4x_0)</f>
        <v>14852.710000000001</v>
      </c>
      <c r="Q43" s="1"/>
      <c r="R43" s="5">
        <f t="shared" si="32"/>
        <v>3.743367760992404E-2</v>
      </c>
      <c r="S43" s="1"/>
      <c r="T43" s="1">
        <f>SUM(OSRRefT22_4x_0)</f>
        <v>14535.03</v>
      </c>
      <c r="U43" s="1"/>
      <c r="V43" s="5">
        <f t="shared" si="33"/>
        <v>3.5911361011831081E-2</v>
      </c>
      <c r="W43" s="1"/>
      <c r="X43" s="1">
        <f t="shared" si="34"/>
        <v>317.68000000000029</v>
      </c>
      <c r="Y43" s="1"/>
      <c r="Z43" s="5">
        <f t="shared" si="35"/>
        <v>2.1856164039565126E-2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2871.42</v>
      </c>
      <c r="E44" s="2"/>
      <c r="F44" s="7">
        <f t="shared" si="28"/>
        <v>3.3804733053485372E-2</v>
      </c>
      <c r="G44" s="2"/>
      <c r="H44" s="6">
        <v>2836.45</v>
      </c>
      <c r="I44" s="2"/>
      <c r="J44" s="7">
        <f t="shared" si="29"/>
        <v>3.5271555976193733E-2</v>
      </c>
      <c r="K44" s="2"/>
      <c r="L44" s="6">
        <f t="shared" si="30"/>
        <v>34.970000000000255</v>
      </c>
      <c r="M44" s="2"/>
      <c r="N44" s="7">
        <f t="shared" si="31"/>
        <v>1.2328791270778705E-2</v>
      </c>
      <c r="O44" s="11"/>
      <c r="P44" s="6">
        <v>14852.710000000001</v>
      </c>
      <c r="Q44" s="2"/>
      <c r="R44" s="7">
        <f t="shared" si="32"/>
        <v>3.743367760992404E-2</v>
      </c>
      <c r="S44" s="2"/>
      <c r="T44" s="6">
        <v>14535.03</v>
      </c>
      <c r="U44" s="2"/>
      <c r="V44" s="7">
        <f t="shared" si="33"/>
        <v>3.5911361011831081E-2</v>
      </c>
      <c r="W44" s="2"/>
      <c r="X44" s="6">
        <f t="shared" si="34"/>
        <v>317.68000000000029</v>
      </c>
      <c r="Y44" s="2"/>
      <c r="Z44" s="7">
        <f t="shared" si="35"/>
        <v>2.1856164039565126E-2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13266.91</v>
      </c>
      <c r="E45" s="1"/>
      <c r="F45" s="5">
        <f t="shared" si="28"/>
        <v>0.15618904618433235</v>
      </c>
      <c r="G45" s="1"/>
      <c r="H45" s="1">
        <f>SUM(OSRRefH22_5x_0)</f>
        <v>13266.9</v>
      </c>
      <c r="I45" s="1"/>
      <c r="J45" s="5">
        <f t="shared" si="29"/>
        <v>0.1649753057450562</v>
      </c>
      <c r="K45" s="1"/>
      <c r="L45" s="1">
        <f t="shared" si="30"/>
        <v>1.0000000000218279E-2</v>
      </c>
      <c r="M45" s="1"/>
      <c r="N45" s="5">
        <f t="shared" si="31"/>
        <v>7.537555872297431E-7</v>
      </c>
      <c r="O45" s="13"/>
      <c r="P45" s="1">
        <f>SUM(OSRRefP22_5x_0)</f>
        <v>66334.55</v>
      </c>
      <c r="Q45" s="1"/>
      <c r="R45" s="5">
        <f t="shared" si="32"/>
        <v>0.16718471976490396</v>
      </c>
      <c r="S45" s="1"/>
      <c r="T45" s="1">
        <f>SUM(OSRRefT22_5x_0)</f>
        <v>66334.5</v>
      </c>
      <c r="U45" s="1"/>
      <c r="V45" s="5">
        <f t="shared" si="33"/>
        <v>0.16389110838018972</v>
      </c>
      <c r="W45" s="1"/>
      <c r="X45" s="1">
        <f t="shared" si="34"/>
        <v>5.0000000002910383E-2</v>
      </c>
      <c r="Y45" s="1"/>
      <c r="Z45" s="5">
        <f t="shared" si="35"/>
        <v>7.5375558725716452E-7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6">
        <v>10612.46</v>
      </c>
      <c r="E46" s="2"/>
      <c r="F46" s="7">
        <f t="shared" si="28"/>
        <v>0.12493866356743051</v>
      </c>
      <c r="G46" s="2"/>
      <c r="H46" s="6">
        <v>10612.46</v>
      </c>
      <c r="I46" s="2"/>
      <c r="J46" s="7">
        <f t="shared" si="29"/>
        <v>0.13196706338384845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53062.3</v>
      </c>
      <c r="Q46" s="2"/>
      <c r="R46" s="7">
        <f t="shared" si="32"/>
        <v>0.13373431726877266</v>
      </c>
      <c r="S46" s="2"/>
      <c r="T46" s="6">
        <v>53062.3</v>
      </c>
      <c r="U46" s="2"/>
      <c r="V46" s="7">
        <f t="shared" si="33"/>
        <v>0.13109979211725634</v>
      </c>
      <c r="W46" s="2"/>
      <c r="X46" s="6">
        <f t="shared" si="34"/>
        <v>0</v>
      </c>
      <c r="Y46" s="2"/>
      <c r="Z46" s="7">
        <f t="shared" si="35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2654.45</v>
      </c>
      <c r="E47" s="2"/>
      <c r="F47" s="7">
        <f t="shared" si="28"/>
        <v>3.1250382616901821E-2</v>
      </c>
      <c r="G47" s="2"/>
      <c r="H47" s="6">
        <v>2654.44</v>
      </c>
      <c r="I47" s="2"/>
      <c r="J47" s="7">
        <f t="shared" si="29"/>
        <v>3.3008242361207737E-2</v>
      </c>
      <c r="K47" s="2"/>
      <c r="L47" s="6">
        <f t="shared" si="30"/>
        <v>9.9999999997635314E-3</v>
      </c>
      <c r="M47" s="2"/>
      <c r="N47" s="7">
        <f t="shared" si="31"/>
        <v>3.7672729463704327E-6</v>
      </c>
      <c r="O47" s="11"/>
      <c r="P47" s="6">
        <v>13272.25</v>
      </c>
      <c r="Q47" s="2"/>
      <c r="R47" s="7">
        <f t="shared" si="32"/>
        <v>3.34504024961313E-2</v>
      </c>
      <c r="S47" s="2"/>
      <c r="T47" s="6">
        <v>13272.2</v>
      </c>
      <c r="U47" s="2"/>
      <c r="V47" s="7">
        <f t="shared" si="33"/>
        <v>3.2791316262933377E-2</v>
      </c>
      <c r="W47" s="2"/>
      <c r="X47" s="6">
        <f t="shared" si="34"/>
        <v>4.9999999999272404E-2</v>
      </c>
      <c r="Y47" s="2"/>
      <c r="Z47" s="7">
        <f t="shared" si="35"/>
        <v>3.7672729464046956E-6</v>
      </c>
    </row>
    <row r="48" spans="1:26" s="25" customFormat="1" outlineLevel="1" collapsed="1" x14ac:dyDescent="0.25">
      <c r="A48" s="27"/>
      <c r="B48" s="13" t="str">
        <f>CONCATENATE("     ","Employees' Appreciation                           ")</f>
        <v xml:space="preserve">     Employees' Appreciation                           </v>
      </c>
      <c r="C48" s="13"/>
      <c r="D48" s="1">
        <f>SUM(OSRRefD22_6x_0)</f>
        <v>35.1</v>
      </c>
      <c r="E48" s="1"/>
      <c r="F48" s="5">
        <f t="shared" ref="F48:F61" si="36">IF(D$12=0,0,D48/D$12)</f>
        <v>4.1322625397097483E-4</v>
      </c>
      <c r="G48" s="1"/>
      <c r="H48" s="1">
        <f>SUM(OSRRefH22_6x_0)</f>
        <v>28.93</v>
      </c>
      <c r="I48" s="1"/>
      <c r="J48" s="5">
        <f t="shared" ref="J48:J61" si="37">IF(H$12=0,0,H48/H$12)</f>
        <v>3.597476121177122E-4</v>
      </c>
      <c r="K48" s="1"/>
      <c r="L48" s="1">
        <f t="shared" ref="L48:L61" si="38">+D48-H48</f>
        <v>6.1700000000000017</v>
      </c>
      <c r="M48" s="1"/>
      <c r="N48" s="5">
        <f t="shared" ref="N48:N61" si="39">IF(H48=0,0,L48/H48)</f>
        <v>0.21327341859661259</v>
      </c>
      <c r="O48" s="13"/>
      <c r="P48" s="1">
        <f>SUM(OSRRefP22_6x_0)</f>
        <v>83.73</v>
      </c>
      <c r="Q48" s="1"/>
      <c r="R48" s="5">
        <f t="shared" ref="R48:R61" si="40">IF(P$12=0,0,P48/P$12)</f>
        <v>2.1102693220825962E-4</v>
      </c>
      <c r="S48" s="1"/>
      <c r="T48" s="1">
        <f>SUM(OSRRefT22_6x_0)</f>
        <v>76.97</v>
      </c>
      <c r="U48" s="1"/>
      <c r="V48" s="5">
        <f t="shared" ref="V48:V61" si="41">IF(T$12=0,0,T48/T$12)</f>
        <v>1.9016799119648452E-4</v>
      </c>
      <c r="W48" s="1"/>
      <c r="X48" s="1">
        <f t="shared" ref="X48:X61" si="42">+P48-T48</f>
        <v>6.7600000000000051</v>
      </c>
      <c r="Y48" s="1"/>
      <c r="Z48" s="5">
        <f t="shared" ref="Z48:Z61" si="43">IF(T48=0,0,X48/T48)</f>
        <v>8.7826425880213138E-2</v>
      </c>
    </row>
    <row r="49" spans="1:26" s="24" customFormat="1" hidden="1" outlineLevel="2" x14ac:dyDescent="0.25">
      <c r="A49" s="26"/>
      <c r="B49" s="11" t="str">
        <f>CONCATENATE("          ", "6277", " - ", "EMPLOYEE APPRECIATION")</f>
        <v xml:space="preserve">          6277 - EMPLOYEE APPRECIATION</v>
      </c>
      <c r="C49" s="11"/>
      <c r="D49" s="6">
        <v>35.1</v>
      </c>
      <c r="E49" s="2"/>
      <c r="F49" s="7">
        <f t="shared" si="36"/>
        <v>4.1322625397097483E-4</v>
      </c>
      <c r="G49" s="2"/>
      <c r="H49" s="6">
        <v>28.93</v>
      </c>
      <c r="I49" s="2"/>
      <c r="J49" s="7">
        <f t="shared" si="37"/>
        <v>3.597476121177122E-4</v>
      </c>
      <c r="K49" s="2"/>
      <c r="L49" s="6">
        <f t="shared" si="38"/>
        <v>6.1700000000000017</v>
      </c>
      <c r="M49" s="2"/>
      <c r="N49" s="7">
        <f t="shared" si="39"/>
        <v>0.21327341859661259</v>
      </c>
      <c r="O49" s="11"/>
      <c r="P49" s="6">
        <v>83.73</v>
      </c>
      <c r="Q49" s="2"/>
      <c r="R49" s="7">
        <f t="shared" si="40"/>
        <v>2.1102693220825962E-4</v>
      </c>
      <c r="S49" s="2"/>
      <c r="T49" s="6">
        <v>76.97</v>
      </c>
      <c r="U49" s="2"/>
      <c r="V49" s="7">
        <f t="shared" si="41"/>
        <v>1.9016799119648452E-4</v>
      </c>
      <c r="W49" s="2"/>
      <c r="X49" s="6">
        <f t="shared" si="42"/>
        <v>6.7600000000000051</v>
      </c>
      <c r="Y49" s="2"/>
      <c r="Z49" s="7">
        <f t="shared" si="43"/>
        <v>8.7826425880213138E-2</v>
      </c>
    </row>
    <row r="50" spans="1:26" s="25" customFormat="1" outlineLevel="1" collapsed="1" x14ac:dyDescent="0.25">
      <c r="A50" s="27"/>
      <c r="B50" s="13" t="str">
        <f>CONCATENATE("     ","Equipment Rental                                  ")</f>
        <v xml:space="preserve">     Equipment Rental                                  </v>
      </c>
      <c r="C50" s="13"/>
      <c r="D50" s="1">
        <f>SUM(OSRRefD22_7x_0)</f>
        <v>100.99</v>
      </c>
      <c r="E50" s="1"/>
      <c r="F50" s="5">
        <f t="shared" si="36"/>
        <v>1.1889378743170581E-3</v>
      </c>
      <c r="G50" s="1"/>
      <c r="H50" s="1">
        <f>SUM(OSRRefH22_7x_0)</f>
        <v>269.60000000000002</v>
      </c>
      <c r="I50" s="1"/>
      <c r="J50" s="5">
        <f t="shared" si="37"/>
        <v>3.3525045360157349E-3</v>
      </c>
      <c r="K50" s="1"/>
      <c r="L50" s="1">
        <f t="shared" si="38"/>
        <v>-168.61</v>
      </c>
      <c r="M50" s="1"/>
      <c r="N50" s="5">
        <f t="shared" si="39"/>
        <v>-0.62540801186943618</v>
      </c>
      <c r="O50" s="13"/>
      <c r="P50" s="1">
        <f>SUM(OSRRefP22_7x_0)</f>
        <v>573.91999999999996</v>
      </c>
      <c r="Q50" s="1"/>
      <c r="R50" s="5">
        <f t="shared" si="40"/>
        <v>1.4464657462434534E-3</v>
      </c>
      <c r="S50" s="1"/>
      <c r="T50" s="1">
        <f>SUM(OSRRefT22_7x_0)</f>
        <v>738.77</v>
      </c>
      <c r="U50" s="1"/>
      <c r="V50" s="5">
        <f t="shared" si="41"/>
        <v>1.8252618793845245E-3</v>
      </c>
      <c r="W50" s="1"/>
      <c r="X50" s="1">
        <f t="shared" si="42"/>
        <v>-164.85000000000002</v>
      </c>
      <c r="Y50" s="1"/>
      <c r="Z50" s="5">
        <f t="shared" si="43"/>
        <v>-0.22314116707500309</v>
      </c>
    </row>
    <row r="51" spans="1:26" s="24" customFormat="1" hidden="1" outlineLevel="2" x14ac:dyDescent="0.25">
      <c r="A51" s="26"/>
      <c r="B51" s="11" t="str">
        <f>CONCATENATE("          ", "6351", " - ", "EQUIPMENT RENTAL")</f>
        <v xml:space="preserve">          6351 - EQUIPMENT RENTAL</v>
      </c>
      <c r="C51" s="11"/>
      <c r="D51" s="6">
        <v>100.99</v>
      </c>
      <c r="E51" s="2"/>
      <c r="F51" s="7">
        <f t="shared" si="36"/>
        <v>1.1889378743170581E-3</v>
      </c>
      <c r="G51" s="2"/>
      <c r="H51" s="6">
        <v>269.60000000000002</v>
      </c>
      <c r="I51" s="2"/>
      <c r="J51" s="7">
        <f t="shared" si="37"/>
        <v>3.3525045360157349E-3</v>
      </c>
      <c r="K51" s="2"/>
      <c r="L51" s="6">
        <f t="shared" si="38"/>
        <v>-168.61</v>
      </c>
      <c r="M51" s="2"/>
      <c r="N51" s="7">
        <f t="shared" si="39"/>
        <v>-0.62540801186943618</v>
      </c>
      <c r="O51" s="11"/>
      <c r="P51" s="6">
        <v>573.91999999999996</v>
      </c>
      <c r="Q51" s="2"/>
      <c r="R51" s="7">
        <f t="shared" si="40"/>
        <v>1.4464657462434534E-3</v>
      </c>
      <c r="S51" s="2"/>
      <c r="T51" s="6">
        <v>738.77</v>
      </c>
      <c r="U51" s="2"/>
      <c r="V51" s="7">
        <f t="shared" si="41"/>
        <v>1.8252618793845245E-3</v>
      </c>
      <c r="W51" s="2"/>
      <c r="X51" s="6">
        <f t="shared" si="42"/>
        <v>-164.85000000000002</v>
      </c>
      <c r="Y51" s="2"/>
      <c r="Z51" s="7">
        <f t="shared" si="43"/>
        <v>-0.22314116707500309</v>
      </c>
    </row>
    <row r="52" spans="1:26" s="25" customFormat="1" outlineLevel="1" collapsed="1" x14ac:dyDescent="0.25">
      <c r="A52" s="27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SUM(OSRRefD22_8x_0)</f>
        <v>17.059999999999999</v>
      </c>
      <c r="E52" s="1"/>
      <c r="F52" s="5">
        <f t="shared" si="36"/>
        <v>2.0084444138874157E-4</v>
      </c>
      <c r="G52" s="1"/>
      <c r="H52" s="1">
        <f>SUM(OSRRefH22_8x_0)</f>
        <v>0</v>
      </c>
      <c r="I52" s="1"/>
      <c r="J52" s="5">
        <f t="shared" si="37"/>
        <v>0</v>
      </c>
      <c r="K52" s="1"/>
      <c r="L52" s="1">
        <f t="shared" si="38"/>
        <v>17.059999999999999</v>
      </c>
      <c r="M52" s="1"/>
      <c r="N52" s="5">
        <f t="shared" si="39"/>
        <v>0</v>
      </c>
      <c r="O52" s="13"/>
      <c r="P52" s="1">
        <f>SUM(OSRRefP22_8x_0)</f>
        <v>1371.61</v>
      </c>
      <c r="Q52" s="1"/>
      <c r="R52" s="5">
        <f t="shared" si="40"/>
        <v>3.456904938327612E-3</v>
      </c>
      <c r="S52" s="1"/>
      <c r="T52" s="1">
        <f>SUM(OSRRefT22_8x_0)</f>
        <v>1631.97</v>
      </c>
      <c r="U52" s="1"/>
      <c r="V52" s="5">
        <f t="shared" si="41"/>
        <v>4.0320703727806523E-3</v>
      </c>
      <c r="W52" s="1"/>
      <c r="X52" s="1">
        <f t="shared" si="42"/>
        <v>-260.36000000000013</v>
      </c>
      <c r="Y52" s="1"/>
      <c r="Z52" s="5">
        <f t="shared" si="43"/>
        <v>-0.15953724639546077</v>
      </c>
    </row>
    <row r="53" spans="1:26" s="24" customFormat="1" hidden="1" outlineLevel="2" x14ac:dyDescent="0.25">
      <c r="A53" s="26"/>
      <c r="B53" s="11" t="str">
        <f>CONCATENATE("          ", "6279", " - ", "GENERAL EXPENSE")</f>
        <v xml:space="preserve">          6279 - GENERAL EXPENSE</v>
      </c>
      <c r="C53" s="11"/>
      <c r="D53" s="6">
        <v>17.059999999999999</v>
      </c>
      <c r="E53" s="2"/>
      <c r="F53" s="7">
        <f t="shared" si="36"/>
        <v>2.0084444138874157E-4</v>
      </c>
      <c r="G53" s="2"/>
      <c r="H53" s="6"/>
      <c r="I53" s="2"/>
      <c r="J53" s="7">
        <f t="shared" si="37"/>
        <v>0</v>
      </c>
      <c r="K53" s="2"/>
      <c r="L53" s="6">
        <f t="shared" si="38"/>
        <v>17.059999999999999</v>
      </c>
      <c r="M53" s="2"/>
      <c r="N53" s="7">
        <f t="shared" si="39"/>
        <v>0</v>
      </c>
      <c r="O53" s="11"/>
      <c r="P53" s="6">
        <v>1371.61</v>
      </c>
      <c r="Q53" s="2"/>
      <c r="R53" s="7">
        <f t="shared" si="40"/>
        <v>3.456904938327612E-3</v>
      </c>
      <c r="S53" s="2"/>
      <c r="T53" s="6">
        <v>1631.97</v>
      </c>
      <c r="U53" s="2"/>
      <c r="V53" s="7">
        <f t="shared" si="41"/>
        <v>4.0320703727806523E-3</v>
      </c>
      <c r="W53" s="2"/>
      <c r="X53" s="6">
        <f t="shared" si="42"/>
        <v>-260.36000000000013</v>
      </c>
      <c r="Y53" s="2"/>
      <c r="Z53" s="7">
        <f t="shared" si="43"/>
        <v>-0.15953724639546077</v>
      </c>
    </row>
    <row r="54" spans="1:26" s="25" customFormat="1" outlineLevel="1" collapsed="1" x14ac:dyDescent="0.25">
      <c r="A54" s="27"/>
      <c r="B54" s="13" t="str">
        <f>CONCATENATE("     ","Insurance                                         ")</f>
        <v xml:space="preserve">     Insurance                                         </v>
      </c>
      <c r="C54" s="13"/>
      <c r="D54" s="1">
        <f>SUM(OSRRefD22_9x_0)</f>
        <v>641.28</v>
      </c>
      <c r="E54" s="1"/>
      <c r="F54" s="5">
        <f t="shared" si="36"/>
        <v>7.549678978532955E-3</v>
      </c>
      <c r="G54" s="1"/>
      <c r="H54" s="1">
        <f>SUM(OSRRefH22_9x_0)</f>
        <v>604.16</v>
      </c>
      <c r="I54" s="1"/>
      <c r="J54" s="5">
        <f t="shared" si="37"/>
        <v>7.5127935477717588E-3</v>
      </c>
      <c r="K54" s="1"/>
      <c r="L54" s="1">
        <f t="shared" si="38"/>
        <v>37.120000000000005</v>
      </c>
      <c r="M54" s="1"/>
      <c r="N54" s="5">
        <f t="shared" si="39"/>
        <v>6.1440677966101705E-2</v>
      </c>
      <c r="O54" s="13"/>
      <c r="P54" s="1">
        <f>SUM(OSRRefP22_9x_0)</f>
        <v>3206.4</v>
      </c>
      <c r="Q54" s="1"/>
      <c r="R54" s="5">
        <f t="shared" si="40"/>
        <v>8.0811746737437431E-3</v>
      </c>
      <c r="S54" s="1"/>
      <c r="T54" s="1">
        <f>SUM(OSRRefT22_9x_0)</f>
        <v>3020.8</v>
      </c>
      <c r="U54" s="1"/>
      <c r="V54" s="5">
        <f t="shared" si="41"/>
        <v>7.4634203950414502E-3</v>
      </c>
      <c r="W54" s="1"/>
      <c r="X54" s="1">
        <f t="shared" si="42"/>
        <v>185.59999999999991</v>
      </c>
      <c r="Y54" s="1"/>
      <c r="Z54" s="5">
        <f t="shared" si="43"/>
        <v>6.1440677966101663E-2</v>
      </c>
    </row>
    <row r="55" spans="1:26" s="24" customFormat="1" hidden="1" outlineLevel="2" x14ac:dyDescent="0.25">
      <c r="A55" s="26"/>
      <c r="B55" s="11" t="str">
        <f>CONCATENATE("          ", "6314", " - ", "LIABILITY INSURANCE")</f>
        <v xml:space="preserve">          6314 - LIABILITY INSURANCE</v>
      </c>
      <c r="C55" s="11"/>
      <c r="D55" s="6">
        <v>641.28</v>
      </c>
      <c r="E55" s="2"/>
      <c r="F55" s="7">
        <f t="shared" si="36"/>
        <v>7.549678978532955E-3</v>
      </c>
      <c r="G55" s="2"/>
      <c r="H55" s="6">
        <v>604.16</v>
      </c>
      <c r="I55" s="2"/>
      <c r="J55" s="7">
        <f t="shared" si="37"/>
        <v>7.5127935477717588E-3</v>
      </c>
      <c r="K55" s="2"/>
      <c r="L55" s="6">
        <f t="shared" si="38"/>
        <v>37.120000000000005</v>
      </c>
      <c r="M55" s="2"/>
      <c r="N55" s="7">
        <f t="shared" si="39"/>
        <v>6.1440677966101705E-2</v>
      </c>
      <c r="O55" s="11"/>
      <c r="P55" s="6">
        <v>3206.4</v>
      </c>
      <c r="Q55" s="2"/>
      <c r="R55" s="7">
        <f t="shared" si="40"/>
        <v>8.0811746737437431E-3</v>
      </c>
      <c r="S55" s="2"/>
      <c r="T55" s="6">
        <v>3020.8</v>
      </c>
      <c r="U55" s="2"/>
      <c r="V55" s="7">
        <f t="shared" si="41"/>
        <v>7.4634203950414502E-3</v>
      </c>
      <c r="W55" s="2"/>
      <c r="X55" s="6">
        <f t="shared" si="42"/>
        <v>185.59999999999991</v>
      </c>
      <c r="Y55" s="2"/>
      <c r="Z55" s="7">
        <f t="shared" si="43"/>
        <v>6.1440677966101663E-2</v>
      </c>
    </row>
    <row r="56" spans="1:26" s="25" customFormat="1" outlineLevel="1" collapsed="1" x14ac:dyDescent="0.25">
      <c r="A56" s="27"/>
      <c r="B56" s="13" t="str">
        <f>CONCATENATE("     ","Interest                                          ")</f>
        <v xml:space="preserve">     Interest                                          </v>
      </c>
      <c r="C56" s="13"/>
      <c r="D56" s="1">
        <f>SUM(OSRRefD22_10x_0)</f>
        <v>7754</v>
      </c>
      <c r="E56" s="1"/>
      <c r="F56" s="5">
        <f t="shared" si="36"/>
        <v>9.1286506361565198E-2</v>
      </c>
      <c r="G56" s="1"/>
      <c r="H56" s="1">
        <f>SUM(OSRRefH22_10x_0)</f>
        <v>7949</v>
      </c>
      <c r="I56" s="1"/>
      <c r="J56" s="5">
        <f t="shared" si="37"/>
        <v>9.8846656367911997E-2</v>
      </c>
      <c r="K56" s="1"/>
      <c r="L56" s="1">
        <f t="shared" si="38"/>
        <v>-195</v>
      </c>
      <c r="M56" s="1"/>
      <c r="N56" s="5">
        <f t="shared" si="39"/>
        <v>-2.4531387595924017E-2</v>
      </c>
      <c r="O56" s="13"/>
      <c r="P56" s="1">
        <f>SUM(OSRRefP22_10x_0)</f>
        <v>38377.049999999996</v>
      </c>
      <c r="Q56" s="1"/>
      <c r="R56" s="5">
        <f t="shared" si="40"/>
        <v>9.6722693523265124E-2</v>
      </c>
      <c r="S56" s="1"/>
      <c r="T56" s="1">
        <f>SUM(OSRRefT22_10x_0)</f>
        <v>39345.100000000006</v>
      </c>
      <c r="U56" s="1"/>
      <c r="V56" s="5">
        <f t="shared" si="41"/>
        <v>9.7209024690461263E-2</v>
      </c>
      <c r="W56" s="1"/>
      <c r="X56" s="1">
        <f t="shared" si="42"/>
        <v>-968.05000000001019</v>
      </c>
      <c r="Y56" s="1"/>
      <c r="Z56" s="5">
        <f t="shared" si="43"/>
        <v>-2.4604080304790433E-2</v>
      </c>
    </row>
    <row r="57" spans="1:26" s="24" customFormat="1" hidden="1" outlineLevel="2" x14ac:dyDescent="0.25">
      <c r="A57" s="26"/>
      <c r="B57" s="11" t="str">
        <f>CONCATENATE("          ", "6401", " - ", "INTEREST EXPENSE")</f>
        <v xml:space="preserve">          6401 - INTEREST EXPENSE</v>
      </c>
      <c r="C57" s="11"/>
      <c r="D57" s="6">
        <v>7754</v>
      </c>
      <c r="E57" s="2"/>
      <c r="F57" s="7">
        <f t="shared" si="36"/>
        <v>9.1286506361565198E-2</v>
      </c>
      <c r="G57" s="2"/>
      <c r="H57" s="6">
        <v>7949</v>
      </c>
      <c r="I57" s="2"/>
      <c r="J57" s="7">
        <f t="shared" si="37"/>
        <v>9.8846656367911997E-2</v>
      </c>
      <c r="K57" s="2"/>
      <c r="L57" s="6">
        <f t="shared" si="38"/>
        <v>-195</v>
      </c>
      <c r="M57" s="2"/>
      <c r="N57" s="7">
        <f t="shared" si="39"/>
        <v>-2.4531387595924017E-2</v>
      </c>
      <c r="O57" s="11"/>
      <c r="P57" s="6">
        <v>38377.049999999996</v>
      </c>
      <c r="Q57" s="2"/>
      <c r="R57" s="7">
        <f t="shared" si="40"/>
        <v>9.6722693523265124E-2</v>
      </c>
      <c r="S57" s="2"/>
      <c r="T57" s="6">
        <v>39345.100000000006</v>
      </c>
      <c r="U57" s="2"/>
      <c r="V57" s="7">
        <f t="shared" si="41"/>
        <v>9.7209024690461263E-2</v>
      </c>
      <c r="W57" s="2"/>
      <c r="X57" s="6">
        <f t="shared" si="42"/>
        <v>-968.05000000001019</v>
      </c>
      <c r="Y57" s="2"/>
      <c r="Z57" s="7">
        <f t="shared" si="43"/>
        <v>-2.4604080304790433E-2</v>
      </c>
    </row>
    <row r="58" spans="1:26" s="25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SUM(OSRRefD22_11x_0)</f>
        <v>3954.92</v>
      </c>
      <c r="E58" s="1"/>
      <c r="F58" s="5">
        <f t="shared" si="36"/>
        <v>4.656059191894267E-2</v>
      </c>
      <c r="G58" s="1"/>
      <c r="H58" s="1">
        <f>SUM(OSRRefH22_11x_0)</f>
        <v>930.91000000000008</v>
      </c>
      <c r="I58" s="1"/>
      <c r="J58" s="5">
        <f t="shared" si="37"/>
        <v>1.1575964382872433E-2</v>
      </c>
      <c r="K58" s="1"/>
      <c r="L58" s="1">
        <f t="shared" si="38"/>
        <v>3024.01</v>
      </c>
      <c r="M58" s="1"/>
      <c r="N58" s="5">
        <f t="shared" si="39"/>
        <v>3.2484450698778615</v>
      </c>
      <c r="O58" s="13"/>
      <c r="P58" s="1">
        <f>SUM(OSRRefP22_11x_0)</f>
        <v>15740.45</v>
      </c>
      <c r="Q58" s="1"/>
      <c r="R58" s="5">
        <f t="shared" si="40"/>
        <v>3.9671072197270993E-2</v>
      </c>
      <c r="S58" s="1"/>
      <c r="T58" s="1">
        <f>SUM(OSRRefT22_11x_0)</f>
        <v>8542.74</v>
      </c>
      <c r="U58" s="1"/>
      <c r="V58" s="5">
        <f t="shared" si="41"/>
        <v>2.1106349293411149E-2</v>
      </c>
      <c r="W58" s="1"/>
      <c r="X58" s="1">
        <f t="shared" si="42"/>
        <v>7197.7100000000009</v>
      </c>
      <c r="Y58" s="1"/>
      <c r="Z58" s="5">
        <f t="shared" si="43"/>
        <v>0.84255285774821675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6"/>
        <v>0</v>
      </c>
      <c r="G59" s="2"/>
      <c r="H59" s="6">
        <v>171.43</v>
      </c>
      <c r="I59" s="2"/>
      <c r="J59" s="7">
        <f t="shared" si="37"/>
        <v>2.1317501951378984E-3</v>
      </c>
      <c r="K59" s="2"/>
      <c r="L59" s="6">
        <f t="shared" si="38"/>
        <v>-171.43</v>
      </c>
      <c r="M59" s="2"/>
      <c r="N59" s="7">
        <f t="shared" si="39"/>
        <v>-1</v>
      </c>
      <c r="O59" s="11"/>
      <c r="P59" s="6">
        <v>2623.84</v>
      </c>
      <c r="Q59" s="2"/>
      <c r="R59" s="7">
        <f t="shared" si="40"/>
        <v>6.6129333071219387E-3</v>
      </c>
      <c r="S59" s="2"/>
      <c r="T59" s="6">
        <v>171.43</v>
      </c>
      <c r="U59" s="2"/>
      <c r="V59" s="7">
        <f t="shared" si="41"/>
        <v>4.235481191478932E-4</v>
      </c>
      <c r="W59" s="2"/>
      <c r="X59" s="6">
        <f t="shared" si="42"/>
        <v>2452.4100000000003</v>
      </c>
      <c r="Y59" s="2"/>
      <c r="Z59" s="7">
        <f t="shared" si="43"/>
        <v>14.305605786618447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6">
        <v>1805</v>
      </c>
      <c r="E60" s="2"/>
      <c r="F60" s="7">
        <f t="shared" si="36"/>
        <v>2.124995408597178E-2</v>
      </c>
      <c r="G60" s="2"/>
      <c r="H60" s="6"/>
      <c r="I60" s="2"/>
      <c r="J60" s="7">
        <f t="shared" si="37"/>
        <v>0</v>
      </c>
      <c r="K60" s="2"/>
      <c r="L60" s="6">
        <f t="shared" si="38"/>
        <v>1805</v>
      </c>
      <c r="M60" s="2"/>
      <c r="N60" s="7">
        <f t="shared" si="39"/>
        <v>0</v>
      </c>
      <c r="O60" s="11"/>
      <c r="P60" s="6">
        <v>1907.71</v>
      </c>
      <c r="Q60" s="2"/>
      <c r="R60" s="7">
        <f t="shared" si="40"/>
        <v>4.808051938887125E-3</v>
      </c>
      <c r="S60" s="2"/>
      <c r="T60" s="6">
        <v>101.2</v>
      </c>
      <c r="U60" s="2"/>
      <c r="V60" s="7">
        <f t="shared" si="41"/>
        <v>2.5003248939956132E-4</v>
      </c>
      <c r="W60" s="2"/>
      <c r="X60" s="6">
        <f t="shared" si="42"/>
        <v>1806.51</v>
      </c>
      <c r="Y60" s="2"/>
      <c r="Z60" s="7">
        <f t="shared" si="43"/>
        <v>17.850889328063239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2149.92</v>
      </c>
      <c r="E61" s="2"/>
      <c r="F61" s="7">
        <f t="shared" si="36"/>
        <v>2.5310637832970887E-2</v>
      </c>
      <c r="G61" s="2"/>
      <c r="H61" s="6">
        <v>759.48</v>
      </c>
      <c r="I61" s="2"/>
      <c r="J61" s="7">
        <f t="shared" si="37"/>
        <v>9.4442141877345339E-3</v>
      </c>
      <c r="K61" s="2"/>
      <c r="L61" s="6">
        <f t="shared" si="38"/>
        <v>1390.44</v>
      </c>
      <c r="M61" s="2"/>
      <c r="N61" s="7">
        <f t="shared" si="39"/>
        <v>1.8307789540211723</v>
      </c>
      <c r="O61" s="11"/>
      <c r="P61" s="6">
        <v>11208.9</v>
      </c>
      <c r="Q61" s="2"/>
      <c r="R61" s="7">
        <f t="shared" si="40"/>
        <v>2.8250086951261928E-2</v>
      </c>
      <c r="S61" s="2"/>
      <c r="T61" s="6">
        <v>8270.11</v>
      </c>
      <c r="U61" s="2"/>
      <c r="V61" s="7">
        <f t="shared" si="41"/>
        <v>2.0432768684863694E-2</v>
      </c>
      <c r="W61" s="2"/>
      <c r="X61" s="6">
        <f t="shared" si="42"/>
        <v>2938.7899999999991</v>
      </c>
      <c r="Y61" s="2"/>
      <c r="Z61" s="7">
        <f t="shared" si="43"/>
        <v>0.35535077526175574</v>
      </c>
    </row>
    <row r="62" spans="1:26" s="25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SUM(OSRRefD22_12x_0)</f>
        <v>4299.68</v>
      </c>
      <c r="E62" s="1"/>
      <c r="F62" s="5">
        <f t="shared" ref="F62:F67" si="44">IF(D$12=0,0,D62/D$12)</f>
        <v>5.0619392013502025E-2</v>
      </c>
      <c r="G62" s="1"/>
      <c r="H62" s="1">
        <f>SUM(OSRRefH22_12x_0)</f>
        <v>1127.01</v>
      </c>
      <c r="I62" s="1"/>
      <c r="J62" s="5">
        <f t="shared" ref="J62:J67" si="45">IF(H$12=0,0,H62/H$12)</f>
        <v>1.4014488639225123E-2</v>
      </c>
      <c r="K62" s="1"/>
      <c r="L62" s="1">
        <f t="shared" ref="L62:L67" si="46">+D62-H62</f>
        <v>3172.67</v>
      </c>
      <c r="M62" s="1"/>
      <c r="N62" s="5">
        <f t="shared" ref="N62:N67" si="47">IF(H62=0,0,L62/H62)</f>
        <v>2.8151214274939886</v>
      </c>
      <c r="O62" s="13"/>
      <c r="P62" s="1">
        <f>SUM(OSRRefP22_12x_0)</f>
        <v>21095.15</v>
      </c>
      <c r="Q62" s="1"/>
      <c r="R62" s="5">
        <f t="shared" ref="R62:R67" si="48">IF(P$12=0,0,P62/P$12)</f>
        <v>5.3166664146340241E-2</v>
      </c>
      <c r="S62" s="1"/>
      <c r="T62" s="1">
        <f>SUM(OSRRefT22_12x_0)</f>
        <v>21176.97</v>
      </c>
      <c r="U62" s="1"/>
      <c r="V62" s="5">
        <f t="shared" ref="V62:V67" si="49">IF(T$12=0,0,T62/T$12)</f>
        <v>5.2321447895650471E-2</v>
      </c>
      <c r="W62" s="1"/>
      <c r="X62" s="1">
        <f t="shared" ref="X62:X67" si="50">+P62-T62</f>
        <v>-81.819999999999709</v>
      </c>
      <c r="Y62" s="1"/>
      <c r="Z62" s="5">
        <f t="shared" ref="Z62:Z67" si="51">IF(T62=0,0,X62/T62)</f>
        <v>-3.863631104921984E-3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328.54</v>
      </c>
      <c r="E63" s="2"/>
      <c r="F63" s="7">
        <f t="shared" si="44"/>
        <v>3.8678448284793182E-3</v>
      </c>
      <c r="G63" s="2"/>
      <c r="H63" s="6">
        <v>328.54</v>
      </c>
      <c r="I63" s="2"/>
      <c r="J63" s="7">
        <f t="shared" si="45"/>
        <v>4.085429674564575E-3</v>
      </c>
      <c r="K63" s="2"/>
      <c r="L63" s="6">
        <f t="shared" si="46"/>
        <v>0</v>
      </c>
      <c r="M63" s="2"/>
      <c r="N63" s="7">
        <f t="shared" si="47"/>
        <v>0</v>
      </c>
      <c r="O63" s="11"/>
      <c r="P63" s="6">
        <v>1642.7</v>
      </c>
      <c r="Q63" s="2"/>
      <c r="R63" s="7">
        <f t="shared" si="48"/>
        <v>4.1401402309627147E-3</v>
      </c>
      <c r="S63" s="2"/>
      <c r="T63" s="6">
        <v>1642.7</v>
      </c>
      <c r="U63" s="2"/>
      <c r="V63" s="7">
        <f t="shared" si="49"/>
        <v>4.0585807345519696E-3</v>
      </c>
      <c r="W63" s="2"/>
      <c r="X63" s="6">
        <f t="shared" si="50"/>
        <v>0</v>
      </c>
      <c r="Y63" s="2"/>
      <c r="Z63" s="7">
        <f t="shared" si="51"/>
        <v>0</v>
      </c>
    </row>
    <row r="64" spans="1:26" s="24" customFormat="1" hidden="1" outlineLevel="2" x14ac:dyDescent="0.25">
      <c r="A64" s="26"/>
      <c r="B64" s="11" t="str">
        <f>CONCATENATE("          ", "6283", " - ", "PLANT SERVICE")</f>
        <v xml:space="preserve">          6283 - PLANT SERVICE</v>
      </c>
      <c r="C64" s="11"/>
      <c r="D64" s="6">
        <v>61.55</v>
      </c>
      <c r="E64" s="2"/>
      <c r="F64" s="7">
        <f t="shared" si="44"/>
        <v>7.2461754791776345E-4</v>
      </c>
      <c r="G64" s="2"/>
      <c r="H64" s="6">
        <v>56</v>
      </c>
      <c r="I64" s="2"/>
      <c r="J64" s="7">
        <f t="shared" si="45"/>
        <v>6.9636592736231878E-4</v>
      </c>
      <c r="K64" s="2"/>
      <c r="L64" s="6">
        <f t="shared" si="46"/>
        <v>5.5499999999999972</v>
      </c>
      <c r="M64" s="2"/>
      <c r="N64" s="7">
        <f t="shared" si="47"/>
        <v>9.910714285714281E-2</v>
      </c>
      <c r="O64" s="11"/>
      <c r="P64" s="6">
        <v>246.2</v>
      </c>
      <c r="Q64" s="2"/>
      <c r="R64" s="7">
        <f t="shared" si="48"/>
        <v>6.2050436772570776E-4</v>
      </c>
      <c r="S64" s="2"/>
      <c r="T64" s="6">
        <v>280</v>
      </c>
      <c r="U64" s="2"/>
      <c r="V64" s="7">
        <f t="shared" si="49"/>
        <v>6.9178949636242257E-4</v>
      </c>
      <c r="W64" s="2"/>
      <c r="X64" s="6">
        <f t="shared" si="50"/>
        <v>-33.800000000000011</v>
      </c>
      <c r="Y64" s="2"/>
      <c r="Z64" s="7">
        <f t="shared" si="51"/>
        <v>-0.12071428571428576</v>
      </c>
    </row>
    <row r="65" spans="1:26" s="24" customFormat="1" hidden="1" outlineLevel="2" x14ac:dyDescent="0.25">
      <c r="A65" s="26"/>
      <c r="B65" s="11" t="str">
        <f>CONCATENATE("          ", "6284", " - ", "TRASH REMOVAL EXPENSE")</f>
        <v xml:space="preserve">          6284 - TRASH REMOVAL EXPENSE</v>
      </c>
      <c r="C65" s="11"/>
      <c r="D65" s="6">
        <v>623</v>
      </c>
      <c r="E65" s="2"/>
      <c r="F65" s="7">
        <f t="shared" si="44"/>
        <v>7.3344716872910908E-3</v>
      </c>
      <c r="G65" s="2"/>
      <c r="H65" s="6">
        <v>623</v>
      </c>
      <c r="I65" s="2"/>
      <c r="J65" s="7">
        <f t="shared" si="45"/>
        <v>7.7470709419057964E-3</v>
      </c>
      <c r="K65" s="2"/>
      <c r="L65" s="6">
        <f t="shared" si="46"/>
        <v>0</v>
      </c>
      <c r="M65" s="2"/>
      <c r="N65" s="7">
        <f t="shared" si="47"/>
        <v>0</v>
      </c>
      <c r="O65" s="11"/>
      <c r="P65" s="6">
        <v>2492</v>
      </c>
      <c r="Q65" s="2"/>
      <c r="R65" s="7">
        <f t="shared" si="48"/>
        <v>6.280653470237465E-3</v>
      </c>
      <c r="S65" s="2"/>
      <c r="T65" s="6">
        <v>3994.82</v>
      </c>
      <c r="U65" s="2"/>
      <c r="V65" s="7">
        <f t="shared" si="49"/>
        <v>9.8699089852090464E-3</v>
      </c>
      <c r="W65" s="2"/>
      <c r="X65" s="6">
        <f t="shared" si="50"/>
        <v>-1502.8200000000002</v>
      </c>
      <c r="Y65" s="2"/>
      <c r="Z65" s="7">
        <f t="shared" si="51"/>
        <v>-0.37619216885867202</v>
      </c>
    </row>
    <row r="66" spans="1:26" s="24" customFormat="1" hidden="1" outlineLevel="2" x14ac:dyDescent="0.25">
      <c r="A66" s="26"/>
      <c r="B66" s="11" t="str">
        <f>CONCATENATE("          ", "6285", " - ", "JANITORIAL SERVICES")</f>
        <v xml:space="preserve">          6285 - JANITORIAL SERVICES</v>
      </c>
      <c r="C66" s="11"/>
      <c r="D66" s="6">
        <v>3040.95</v>
      </c>
      <c r="E66" s="2"/>
      <c r="F66" s="7">
        <f t="shared" si="44"/>
        <v>3.5800580541681927E-2</v>
      </c>
      <c r="G66" s="2"/>
      <c r="H66" s="6"/>
      <c r="I66" s="2"/>
      <c r="J66" s="7">
        <f t="shared" si="45"/>
        <v>0</v>
      </c>
      <c r="K66" s="2"/>
      <c r="L66" s="6">
        <f t="shared" si="46"/>
        <v>3040.95</v>
      </c>
      <c r="M66" s="2"/>
      <c r="N66" s="7">
        <f t="shared" si="47"/>
        <v>0</v>
      </c>
      <c r="O66" s="11"/>
      <c r="P66" s="6">
        <v>15504.750000000002</v>
      </c>
      <c r="Q66" s="2"/>
      <c r="R66" s="7">
        <f t="shared" si="48"/>
        <v>3.9077031257088425E-2</v>
      </c>
      <c r="S66" s="2"/>
      <c r="T66" s="6">
        <v>14487.49</v>
      </c>
      <c r="U66" s="2"/>
      <c r="V66" s="7">
        <f t="shared" si="49"/>
        <v>3.579390503805583E-2</v>
      </c>
      <c r="W66" s="2"/>
      <c r="X66" s="6">
        <f t="shared" si="50"/>
        <v>1017.260000000002</v>
      </c>
      <c r="Y66" s="2"/>
      <c r="Z66" s="7">
        <f t="shared" si="51"/>
        <v>7.0216441909537269E-2</v>
      </c>
    </row>
    <row r="67" spans="1:26" s="24" customFormat="1" hidden="1" outlineLevel="2" x14ac:dyDescent="0.25">
      <c r="A67" s="26"/>
      <c r="B67" s="11" t="str">
        <f>CONCATENATE("          ", "6286", " - ", "LAUNDRY EXPENSE")</f>
        <v xml:space="preserve">          6286 - LAUNDRY EXPENSE</v>
      </c>
      <c r="C67" s="11"/>
      <c r="D67" s="6">
        <v>245.64</v>
      </c>
      <c r="E67" s="2"/>
      <c r="F67" s="7">
        <f t="shared" si="44"/>
        <v>2.8918774081319156E-3</v>
      </c>
      <c r="G67" s="2"/>
      <c r="H67" s="6">
        <v>119.47</v>
      </c>
      <c r="I67" s="2"/>
      <c r="J67" s="7">
        <f t="shared" si="45"/>
        <v>1.4856220953924325E-3</v>
      </c>
      <c r="K67" s="2"/>
      <c r="L67" s="6">
        <f t="shared" si="46"/>
        <v>126.16999999999999</v>
      </c>
      <c r="M67" s="2"/>
      <c r="N67" s="7">
        <f t="shared" si="47"/>
        <v>1.0560810245249852</v>
      </c>
      <c r="O67" s="11"/>
      <c r="P67" s="6">
        <v>1209.5</v>
      </c>
      <c r="Q67" s="2"/>
      <c r="R67" s="7">
        <f t="shared" si="48"/>
        <v>3.0483348203259285E-3</v>
      </c>
      <c r="S67" s="2"/>
      <c r="T67" s="6">
        <v>771.96</v>
      </c>
      <c r="U67" s="2"/>
      <c r="V67" s="7">
        <f t="shared" si="49"/>
        <v>1.907263641471199E-3</v>
      </c>
      <c r="W67" s="2"/>
      <c r="X67" s="6">
        <f t="shared" si="50"/>
        <v>437.53999999999996</v>
      </c>
      <c r="Y67" s="2"/>
      <c r="Z67" s="7">
        <f t="shared" si="51"/>
        <v>0.56679102544173265</v>
      </c>
    </row>
    <row r="68" spans="1:26" s="25" customFormat="1" outlineLevel="1" collapsed="1" x14ac:dyDescent="0.25">
      <c r="A68" s="27"/>
      <c r="B68" s="13" t="str">
        <f>CONCATENATE("     ","Subscriptions &amp; Dues                              ")</f>
        <v xml:space="preserve">     Subscriptions &amp; Dues                              </v>
      </c>
      <c r="C68" s="13"/>
      <c r="D68" s="1">
        <f>SUM(OSRRefD22_13x_0)</f>
        <v>196.71</v>
      </c>
      <c r="E68" s="1"/>
      <c r="F68" s="5">
        <f t="shared" ref="F68:F77" si="52">IF(D$12=0,0,D68/D$12)</f>
        <v>2.315832946399728E-3</v>
      </c>
      <c r="G68" s="1"/>
      <c r="H68" s="1">
        <f>SUM(OSRRefH22_13x_0)</f>
        <v>193.71</v>
      </c>
      <c r="I68" s="1"/>
      <c r="J68" s="5">
        <f t="shared" ref="J68:J77" si="53">IF(H$12=0,0,H68/H$12)</f>
        <v>2.4088043533813351E-3</v>
      </c>
      <c r="K68" s="1"/>
      <c r="L68" s="1">
        <f t="shared" ref="L68:L77" si="54">+D68-H68</f>
        <v>3</v>
      </c>
      <c r="M68" s="1"/>
      <c r="N68" s="5">
        <f t="shared" ref="N68:N77" si="55">IF(H68=0,0,L68/H68)</f>
        <v>1.5487068297971194E-2</v>
      </c>
      <c r="O68" s="13"/>
      <c r="P68" s="1">
        <f>SUM(OSRRefP22_13x_0)</f>
        <v>983.55</v>
      </c>
      <c r="Q68" s="1"/>
      <c r="R68" s="5">
        <f t="shared" ref="R68:R77" si="56">IF(P$12=0,0,P68/P$12)</f>
        <v>2.4788670628619817E-3</v>
      </c>
      <c r="S68" s="1"/>
      <c r="T68" s="1">
        <f>SUM(OSRRefT22_13x_0)</f>
        <v>774.84</v>
      </c>
      <c r="U68" s="1"/>
      <c r="V68" s="5">
        <f t="shared" ref="V68:V77" si="57">IF(T$12=0,0,T68/T$12)</f>
        <v>1.9143791905766412E-3</v>
      </c>
      <c r="W68" s="1"/>
      <c r="X68" s="1">
        <f t="shared" ref="X68:X77" si="58">+P68-T68</f>
        <v>208.70999999999992</v>
      </c>
      <c r="Y68" s="1"/>
      <c r="Z68" s="5">
        <f t="shared" ref="Z68:Z77" si="59">IF(T68=0,0,X68/T68)</f>
        <v>0.26935883537246386</v>
      </c>
    </row>
    <row r="69" spans="1:26" s="24" customFormat="1" hidden="1" outlineLevel="2" x14ac:dyDescent="0.25">
      <c r="A69" s="26"/>
      <c r="B69" s="11" t="str">
        <f>CONCATENATE("          ", "6275", " - ", "SUBSCRIPTIONS")</f>
        <v xml:space="preserve">          6275 - SUBSCRIPTIONS</v>
      </c>
      <c r="C69" s="11"/>
      <c r="D69" s="6">
        <v>196.71</v>
      </c>
      <c r="E69" s="2"/>
      <c r="F69" s="7">
        <f t="shared" si="52"/>
        <v>2.315832946399728E-3</v>
      </c>
      <c r="G69" s="2"/>
      <c r="H69" s="6">
        <v>193.71</v>
      </c>
      <c r="I69" s="2"/>
      <c r="J69" s="7">
        <f t="shared" si="53"/>
        <v>2.4088043533813351E-3</v>
      </c>
      <c r="K69" s="2"/>
      <c r="L69" s="6">
        <f t="shared" si="54"/>
        <v>3</v>
      </c>
      <c r="M69" s="2"/>
      <c r="N69" s="7">
        <f t="shared" si="55"/>
        <v>1.5487068297971194E-2</v>
      </c>
      <c r="O69" s="11"/>
      <c r="P69" s="6">
        <v>983.55</v>
      </c>
      <c r="Q69" s="2"/>
      <c r="R69" s="7">
        <f t="shared" si="56"/>
        <v>2.4788670628619817E-3</v>
      </c>
      <c r="S69" s="2"/>
      <c r="T69" s="6">
        <v>774.84</v>
      </c>
      <c r="U69" s="2"/>
      <c r="V69" s="7">
        <f t="shared" si="57"/>
        <v>1.9143791905766412E-3</v>
      </c>
      <c r="W69" s="2"/>
      <c r="X69" s="6">
        <f t="shared" si="58"/>
        <v>208.70999999999992</v>
      </c>
      <c r="Y69" s="2"/>
      <c r="Z69" s="7">
        <f t="shared" si="59"/>
        <v>0.26935883537246386</v>
      </c>
    </row>
    <row r="70" spans="1:26" s="25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SUM(OSRRefD22_14x_0)</f>
        <v>1247.02</v>
      </c>
      <c r="E70" s="1"/>
      <c r="F70" s="5">
        <f t="shared" si="52"/>
        <v>1.4680951658885612E-2</v>
      </c>
      <c r="G70" s="1"/>
      <c r="H70" s="1">
        <f>SUM(OSRRefH22_14x_0)</f>
        <v>2722.2799999999997</v>
      </c>
      <c r="I70" s="1"/>
      <c r="J70" s="5">
        <f t="shared" si="53"/>
        <v>3.3851839941783805E-2</v>
      </c>
      <c r="K70" s="1"/>
      <c r="L70" s="1">
        <f t="shared" si="54"/>
        <v>-1475.2599999999998</v>
      </c>
      <c r="M70" s="1"/>
      <c r="N70" s="5">
        <f t="shared" si="55"/>
        <v>-0.54192074290668113</v>
      </c>
      <c r="O70" s="13"/>
      <c r="P70" s="1">
        <f>SUM(OSRRefP22_14x_0)</f>
        <v>12575.39</v>
      </c>
      <c r="Q70" s="1"/>
      <c r="R70" s="5">
        <f t="shared" si="56"/>
        <v>3.1694087818254217E-2</v>
      </c>
      <c r="S70" s="1"/>
      <c r="T70" s="1">
        <f>SUM(OSRRefT22_14x_0)</f>
        <v>13790.470000000001</v>
      </c>
      <c r="U70" s="1"/>
      <c r="V70" s="5">
        <f t="shared" si="57"/>
        <v>3.4071793913932495E-2</v>
      </c>
      <c r="W70" s="1"/>
      <c r="X70" s="1">
        <f t="shared" si="58"/>
        <v>-1215.0800000000017</v>
      </c>
      <c r="Y70" s="1"/>
      <c r="Z70" s="5">
        <f t="shared" si="59"/>
        <v>-8.8110122425124129E-2</v>
      </c>
    </row>
    <row r="71" spans="1:26" s="24" customFormat="1" hidden="1" outlineLevel="2" x14ac:dyDescent="0.25">
      <c r="A71" s="26"/>
      <c r="B71" s="11" t="str">
        <f>CONCATENATE("          ", "6234", " - ", "EXPENDABLE SUPPLIES &amp; EQUIPMEN")</f>
        <v xml:space="preserve">          6234 - EXPENDABLE SUPPLIES &amp; EQUIPMEN</v>
      </c>
      <c r="C71" s="11"/>
      <c r="D71" s="6">
        <v>67.72</v>
      </c>
      <c r="E71" s="2"/>
      <c r="F71" s="7">
        <f t="shared" si="52"/>
        <v>7.9725589512576677E-4</v>
      </c>
      <c r="G71" s="2"/>
      <c r="H71" s="6"/>
      <c r="I71" s="2"/>
      <c r="J71" s="7">
        <f t="shared" si="53"/>
        <v>0</v>
      </c>
      <c r="K71" s="2"/>
      <c r="L71" s="6">
        <f t="shared" si="54"/>
        <v>67.72</v>
      </c>
      <c r="M71" s="2"/>
      <c r="N71" s="7">
        <f t="shared" si="55"/>
        <v>0</v>
      </c>
      <c r="O71" s="11"/>
      <c r="P71" s="6">
        <v>67.72</v>
      </c>
      <c r="Q71" s="2"/>
      <c r="R71" s="7">
        <f t="shared" si="56"/>
        <v>1.7067650602105986E-4</v>
      </c>
      <c r="S71" s="2"/>
      <c r="T71" s="6">
        <v>1042.92</v>
      </c>
      <c r="U71" s="2"/>
      <c r="V71" s="7">
        <f t="shared" si="57"/>
        <v>2.5767182198082063E-3</v>
      </c>
      <c r="W71" s="2"/>
      <c r="X71" s="6">
        <f t="shared" si="58"/>
        <v>-975.2</v>
      </c>
      <c r="Y71" s="2"/>
      <c r="Z71" s="7">
        <f t="shared" si="59"/>
        <v>-0.93506692747286457</v>
      </c>
    </row>
    <row r="72" spans="1:26" s="24" customFormat="1" hidden="1" outlineLevel="2" x14ac:dyDescent="0.25">
      <c r="A72" s="26"/>
      <c r="B72" s="11" t="str">
        <f>CONCATENATE("          ", "6237", " - ", "JANITORIAL SUPPLIES")</f>
        <v xml:space="preserve">          6237 - JANITORIAL SUPPLIES</v>
      </c>
      <c r="C72" s="11"/>
      <c r="D72" s="6">
        <v>890.25</v>
      </c>
      <c r="E72" s="2"/>
      <c r="F72" s="7">
        <f t="shared" si="52"/>
        <v>1.0480759903067245E-2</v>
      </c>
      <c r="G72" s="2"/>
      <c r="H72" s="6">
        <v>938.19</v>
      </c>
      <c r="I72" s="2"/>
      <c r="J72" s="7">
        <f t="shared" si="53"/>
        <v>1.1666491953429534E-2</v>
      </c>
      <c r="K72" s="2"/>
      <c r="L72" s="6">
        <f t="shared" si="54"/>
        <v>-47.940000000000055</v>
      </c>
      <c r="M72" s="2"/>
      <c r="N72" s="7">
        <f t="shared" si="55"/>
        <v>-5.1098391583794381E-2</v>
      </c>
      <c r="O72" s="11"/>
      <c r="P72" s="6">
        <v>3697.99</v>
      </c>
      <c r="Q72" s="2"/>
      <c r="R72" s="7">
        <f t="shared" si="56"/>
        <v>9.3201419447846885E-3</v>
      </c>
      <c r="S72" s="2"/>
      <c r="T72" s="6">
        <v>4288.42</v>
      </c>
      <c r="U72" s="2"/>
      <c r="V72" s="7">
        <f t="shared" si="57"/>
        <v>1.0595299685680501E-2</v>
      </c>
      <c r="W72" s="2"/>
      <c r="X72" s="6">
        <f t="shared" si="58"/>
        <v>-590.43000000000029</v>
      </c>
      <c r="Y72" s="2"/>
      <c r="Z72" s="7">
        <f t="shared" si="59"/>
        <v>-0.13768007797743698</v>
      </c>
    </row>
    <row r="73" spans="1:26" s="24" customFormat="1" hidden="1" outlineLevel="2" x14ac:dyDescent="0.25">
      <c r="A73" s="26"/>
      <c r="B73" s="11" t="str">
        <f>CONCATENATE("          ", "6239", " - ", "KITCHEN SUPPLIES")</f>
        <v xml:space="preserve">          6239 - KITCHEN SUPPLIES</v>
      </c>
      <c r="C73" s="11"/>
      <c r="D73" s="6">
        <v>39.67</v>
      </c>
      <c r="E73" s="2"/>
      <c r="F73" s="7">
        <f t="shared" si="52"/>
        <v>4.6702807678144077E-4</v>
      </c>
      <c r="G73" s="2"/>
      <c r="H73" s="6"/>
      <c r="I73" s="2"/>
      <c r="J73" s="7">
        <f t="shared" si="53"/>
        <v>0</v>
      </c>
      <c r="K73" s="2"/>
      <c r="L73" s="6">
        <f t="shared" si="54"/>
        <v>39.67</v>
      </c>
      <c r="M73" s="2"/>
      <c r="N73" s="7">
        <f t="shared" si="55"/>
        <v>0</v>
      </c>
      <c r="O73" s="11"/>
      <c r="P73" s="6">
        <v>231.26</v>
      </c>
      <c r="Q73" s="2"/>
      <c r="R73" s="7">
        <f t="shared" si="56"/>
        <v>5.8285069082147521E-4</v>
      </c>
      <c r="S73" s="2"/>
      <c r="T73" s="6">
        <v>1232.3599999999999</v>
      </c>
      <c r="U73" s="2"/>
      <c r="V73" s="7">
        <f t="shared" si="57"/>
        <v>3.044763227632839E-3</v>
      </c>
      <c r="W73" s="2"/>
      <c r="X73" s="6">
        <f t="shared" si="58"/>
        <v>-1001.0999999999999</v>
      </c>
      <c r="Y73" s="2"/>
      <c r="Z73" s="7">
        <f t="shared" si="59"/>
        <v>-0.81234379564412995</v>
      </c>
    </row>
    <row r="74" spans="1:26" s="24" customFormat="1" hidden="1" outlineLevel="2" x14ac:dyDescent="0.25">
      <c r="A74" s="26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52"/>
        <v>0</v>
      </c>
      <c r="G74" s="2"/>
      <c r="H74" s="6">
        <v>772.79</v>
      </c>
      <c r="I74" s="2"/>
      <c r="J74" s="7">
        <f t="shared" si="53"/>
        <v>9.6097254465415411E-3</v>
      </c>
      <c r="K74" s="2"/>
      <c r="L74" s="6">
        <f t="shared" si="54"/>
        <v>-772.79</v>
      </c>
      <c r="M74" s="2"/>
      <c r="N74" s="7">
        <f t="shared" si="55"/>
        <v>-1</v>
      </c>
      <c r="O74" s="11"/>
      <c r="P74" s="6">
        <v>5261.76</v>
      </c>
      <c r="Q74" s="2"/>
      <c r="R74" s="7">
        <f t="shared" si="56"/>
        <v>1.3261352810416006E-2</v>
      </c>
      <c r="S74" s="2"/>
      <c r="T74" s="6">
        <v>1092.54</v>
      </c>
      <c r="U74" s="2"/>
      <c r="V74" s="7">
        <f t="shared" si="57"/>
        <v>2.699313201270718E-3</v>
      </c>
      <c r="W74" s="2"/>
      <c r="X74" s="6">
        <f t="shared" si="58"/>
        <v>4169.22</v>
      </c>
      <c r="Y74" s="2"/>
      <c r="Z74" s="7">
        <f t="shared" si="59"/>
        <v>3.8160799604591138</v>
      </c>
    </row>
    <row r="75" spans="1:26" s="24" customFormat="1" hidden="1" outlineLevel="2" x14ac:dyDescent="0.25">
      <c r="A75" s="26"/>
      <c r="B75" s="11" t="str">
        <f>CONCATENATE("          ", "6243", " - ", "PAPER SUPPLIES")</f>
        <v xml:space="preserve">          6243 - PAPER SUPPLIES</v>
      </c>
      <c r="C75" s="11"/>
      <c r="D75" s="6">
        <v>233.91</v>
      </c>
      <c r="E75" s="2"/>
      <c r="F75" s="7">
        <f t="shared" si="52"/>
        <v>2.7537821386424705E-3</v>
      </c>
      <c r="G75" s="2"/>
      <c r="H75" s="6">
        <v>1011.3</v>
      </c>
      <c r="I75" s="2"/>
      <c r="J75" s="7">
        <f t="shared" si="53"/>
        <v>1.2575622541812732E-2</v>
      </c>
      <c r="K75" s="2"/>
      <c r="L75" s="6">
        <f t="shared" si="54"/>
        <v>-777.39</v>
      </c>
      <c r="M75" s="2"/>
      <c r="N75" s="7">
        <f t="shared" si="55"/>
        <v>-0.76870364876891129</v>
      </c>
      <c r="O75" s="11"/>
      <c r="P75" s="6">
        <v>2890.63</v>
      </c>
      <c r="Q75" s="2"/>
      <c r="R75" s="7">
        <f t="shared" si="56"/>
        <v>7.2853311960965183E-3</v>
      </c>
      <c r="S75" s="2"/>
      <c r="T75" s="6">
        <v>3827.62</v>
      </c>
      <c r="U75" s="2"/>
      <c r="V75" s="7">
        <f t="shared" si="57"/>
        <v>9.4568118288097698E-3</v>
      </c>
      <c r="W75" s="2"/>
      <c r="X75" s="6">
        <f t="shared" si="58"/>
        <v>-936.98999999999978</v>
      </c>
      <c r="Y75" s="2"/>
      <c r="Z75" s="7">
        <f t="shared" si="59"/>
        <v>-0.24479702791813185</v>
      </c>
    </row>
    <row r="76" spans="1:26" s="24" customFormat="1" hidden="1" outlineLevel="2" x14ac:dyDescent="0.25">
      <c r="A76" s="26"/>
      <c r="B76" s="11" t="str">
        <f>CONCATENATE("          ", "6247", " - ", "STORE SUPPLIES")</f>
        <v xml:space="preserve">          6247 - STORE SUPPLIES</v>
      </c>
      <c r="C76" s="11"/>
      <c r="D76" s="6"/>
      <c r="E76" s="2"/>
      <c r="F76" s="7">
        <f t="shared" si="52"/>
        <v>0</v>
      </c>
      <c r="G76" s="2"/>
      <c r="H76" s="6"/>
      <c r="I76" s="2"/>
      <c r="J76" s="7">
        <f t="shared" si="53"/>
        <v>0</v>
      </c>
      <c r="K76" s="2"/>
      <c r="L76" s="6">
        <f t="shared" si="54"/>
        <v>0</v>
      </c>
      <c r="M76" s="2"/>
      <c r="N76" s="7">
        <f t="shared" si="55"/>
        <v>0</v>
      </c>
      <c r="O76" s="11"/>
      <c r="P76" s="6">
        <v>410.56</v>
      </c>
      <c r="Q76" s="2"/>
      <c r="R76" s="7">
        <f t="shared" si="56"/>
        <v>1.0347452202009203E-3</v>
      </c>
      <c r="S76" s="2"/>
      <c r="T76" s="6">
        <v>848.66</v>
      </c>
      <c r="U76" s="2"/>
      <c r="V76" s="7">
        <f t="shared" si="57"/>
        <v>2.0967645499390484E-3</v>
      </c>
      <c r="W76" s="2"/>
      <c r="X76" s="6">
        <f t="shared" si="58"/>
        <v>-438.09999999999997</v>
      </c>
      <c r="Y76" s="2"/>
      <c r="Z76" s="7">
        <f t="shared" si="59"/>
        <v>-0.51622557914830436</v>
      </c>
    </row>
    <row r="77" spans="1:26" s="24" customFormat="1" hidden="1" outlineLevel="2" x14ac:dyDescent="0.25">
      <c r="A77" s="26"/>
      <c r="B77" s="11" t="str">
        <f>CONCATENATE("          ", "6248", " - ", "UNIFORMS")</f>
        <v xml:space="preserve">          6248 - UNIFORMS</v>
      </c>
      <c r="C77" s="11"/>
      <c r="D77" s="6">
        <v>15.47</v>
      </c>
      <c r="E77" s="2"/>
      <c r="F77" s="7">
        <f t="shared" si="52"/>
        <v>1.821256452686889E-4</v>
      </c>
      <c r="G77" s="2"/>
      <c r="H77" s="6"/>
      <c r="I77" s="2"/>
      <c r="J77" s="7">
        <f t="shared" si="53"/>
        <v>0</v>
      </c>
      <c r="K77" s="2"/>
      <c r="L77" s="6">
        <f t="shared" si="54"/>
        <v>15.47</v>
      </c>
      <c r="M77" s="2"/>
      <c r="N77" s="7">
        <f t="shared" si="55"/>
        <v>0</v>
      </c>
      <c r="O77" s="11"/>
      <c r="P77" s="6">
        <v>15.47</v>
      </c>
      <c r="Q77" s="2"/>
      <c r="R77" s="7">
        <f t="shared" si="56"/>
        <v>3.8989449913552807E-5</v>
      </c>
      <c r="S77" s="2"/>
      <c r="T77" s="6">
        <v>1457.95</v>
      </c>
      <c r="U77" s="2"/>
      <c r="V77" s="7">
        <f t="shared" si="57"/>
        <v>3.602123200791407E-3</v>
      </c>
      <c r="W77" s="2"/>
      <c r="X77" s="6">
        <f t="shared" si="58"/>
        <v>-1442.48</v>
      </c>
      <c r="Y77" s="2"/>
      <c r="Z77" s="7">
        <f t="shared" si="59"/>
        <v>-0.98938921087828802</v>
      </c>
    </row>
    <row r="78" spans="1:26" s="25" customFormat="1" outlineLevel="1" collapsed="1" x14ac:dyDescent="0.25">
      <c r="A78" s="27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SUM(OSRRefD22_15x_0)</f>
        <v>137.94999999999999</v>
      </c>
      <c r="E78" s="1"/>
      <c r="F78" s="5">
        <f t="shared" ref="F78:F83" si="60">IF(D$12=0,0,D78/D$12)</f>
        <v>1.6240615879001699E-3</v>
      </c>
      <c r="G78" s="1"/>
      <c r="H78" s="1">
        <f>SUM(OSRRefH22_15x_0)</f>
        <v>149.65</v>
      </c>
      <c r="I78" s="1"/>
      <c r="J78" s="5">
        <f t="shared" ref="J78:J83" si="61">IF(H$12=0,0,H78/H$12)</f>
        <v>1.8609135898173393E-3</v>
      </c>
      <c r="K78" s="1"/>
      <c r="L78" s="1">
        <f t="shared" ref="L78:L83" si="62">+D78-H78</f>
        <v>-11.700000000000017</v>
      </c>
      <c r="M78" s="1"/>
      <c r="N78" s="5">
        <f t="shared" ref="N78:N83" si="63">IF(H78=0,0,L78/H78)</f>
        <v>-7.8182425659873142E-2</v>
      </c>
      <c r="O78" s="13"/>
      <c r="P78" s="1">
        <f>SUM(OSRRefP22_15x_0)</f>
        <v>718.55</v>
      </c>
      <c r="Q78" s="1"/>
      <c r="R78" s="5">
        <f t="shared" ref="R78:R83" si="64">IF(P$12=0,0,P78/P$12)</f>
        <v>1.8109805582018981E-3</v>
      </c>
      <c r="S78" s="1"/>
      <c r="T78" s="1">
        <f>SUM(OSRRefT22_15x_0)</f>
        <v>810.4</v>
      </c>
      <c r="U78" s="1"/>
      <c r="V78" s="5">
        <f t="shared" ref="V78:V83" si="65">IF(T$12=0,0,T78/T$12)</f>
        <v>2.0022364566146685E-3</v>
      </c>
      <c r="W78" s="1"/>
      <c r="X78" s="1">
        <f t="shared" ref="X78:X83" si="66">+P78-T78</f>
        <v>-91.850000000000023</v>
      </c>
      <c r="Y78" s="1"/>
      <c r="Z78" s="5">
        <f t="shared" ref="Z78:Z83" si="67">IF(T78=0,0,X78/T78)</f>
        <v>-0.11333909180651533</v>
      </c>
    </row>
    <row r="79" spans="1:26" s="24" customFormat="1" hidden="1" outlineLevel="2" x14ac:dyDescent="0.25">
      <c r="A79" s="26"/>
      <c r="B79" s="11" t="str">
        <f>CONCATENATE("          ", "6309", " - ", "TELEPHONE")</f>
        <v xml:space="preserve">          6309 - TELEPHONE</v>
      </c>
      <c r="C79" s="11"/>
      <c r="D79" s="6">
        <v>137.94999999999999</v>
      </c>
      <c r="E79" s="2"/>
      <c r="F79" s="7">
        <f t="shared" si="60"/>
        <v>1.6240615879001699E-3</v>
      </c>
      <c r="G79" s="2"/>
      <c r="H79" s="6">
        <v>149.65</v>
      </c>
      <c r="I79" s="2"/>
      <c r="J79" s="7">
        <f t="shared" si="61"/>
        <v>1.8609135898173393E-3</v>
      </c>
      <c r="K79" s="2"/>
      <c r="L79" s="6">
        <f t="shared" si="62"/>
        <v>-11.700000000000017</v>
      </c>
      <c r="M79" s="2"/>
      <c r="N79" s="7">
        <f t="shared" si="63"/>
        <v>-7.8182425659873142E-2</v>
      </c>
      <c r="O79" s="11"/>
      <c r="P79" s="6">
        <v>718.55</v>
      </c>
      <c r="Q79" s="2"/>
      <c r="R79" s="7">
        <f t="shared" si="64"/>
        <v>1.8109805582018981E-3</v>
      </c>
      <c r="S79" s="2"/>
      <c r="T79" s="6">
        <v>810.4</v>
      </c>
      <c r="U79" s="2"/>
      <c r="V79" s="7">
        <f t="shared" si="65"/>
        <v>2.0022364566146685E-3</v>
      </c>
      <c r="W79" s="2"/>
      <c r="X79" s="6">
        <f t="shared" si="66"/>
        <v>-91.850000000000023</v>
      </c>
      <c r="Y79" s="2"/>
      <c r="Z79" s="7">
        <f t="shared" si="67"/>
        <v>-0.11333909180651533</v>
      </c>
    </row>
    <row r="80" spans="1:26" s="25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SUM(OSRRefD22_16x_0)</f>
        <v>0</v>
      </c>
      <c r="E80" s="1"/>
      <c r="F80" s="5">
        <f t="shared" si="60"/>
        <v>0</v>
      </c>
      <c r="G80" s="1"/>
      <c r="H80" s="1">
        <f>SUM(OSRRefH22_16x_0)</f>
        <v>0</v>
      </c>
      <c r="I80" s="1"/>
      <c r="J80" s="5">
        <f t="shared" si="61"/>
        <v>0</v>
      </c>
      <c r="K80" s="1"/>
      <c r="L80" s="1">
        <f t="shared" si="62"/>
        <v>0</v>
      </c>
      <c r="M80" s="1"/>
      <c r="N80" s="5">
        <f t="shared" si="63"/>
        <v>0</v>
      </c>
      <c r="O80" s="13"/>
      <c r="P80" s="1">
        <f>SUM(OSRRefP22_16x_0)</f>
        <v>144</v>
      </c>
      <c r="Q80" s="1"/>
      <c r="R80" s="5">
        <f t="shared" si="64"/>
        <v>3.6292700630585675E-4</v>
      </c>
      <c r="S80" s="1"/>
      <c r="T80" s="1">
        <f>SUM(OSRRefT22_16x_0)</f>
        <v>98.83</v>
      </c>
      <c r="U80" s="1"/>
      <c r="V80" s="5">
        <f t="shared" si="65"/>
        <v>2.4417698544820793E-4</v>
      </c>
      <c r="W80" s="1"/>
      <c r="X80" s="1">
        <f t="shared" si="66"/>
        <v>45.17</v>
      </c>
      <c r="Y80" s="1"/>
      <c r="Z80" s="5">
        <f t="shared" si="67"/>
        <v>0.45704745522614593</v>
      </c>
    </row>
    <row r="81" spans="1:26" s="24" customFormat="1" hidden="1" outlineLevel="2" x14ac:dyDescent="0.25">
      <c r="A81" s="26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60"/>
        <v>0</v>
      </c>
      <c r="G81" s="2"/>
      <c r="H81" s="6"/>
      <c r="I81" s="2"/>
      <c r="J81" s="7">
        <f t="shared" si="61"/>
        <v>0</v>
      </c>
      <c r="K81" s="2"/>
      <c r="L81" s="6">
        <f t="shared" si="62"/>
        <v>0</v>
      </c>
      <c r="M81" s="2"/>
      <c r="N81" s="7">
        <f t="shared" si="63"/>
        <v>0</v>
      </c>
      <c r="O81" s="11"/>
      <c r="P81" s="6">
        <v>144</v>
      </c>
      <c r="Q81" s="2"/>
      <c r="R81" s="7">
        <f t="shared" si="64"/>
        <v>3.6292700630585675E-4</v>
      </c>
      <c r="S81" s="2"/>
      <c r="T81" s="6">
        <v>98.83</v>
      </c>
      <c r="U81" s="2"/>
      <c r="V81" s="7">
        <f t="shared" si="65"/>
        <v>2.4417698544820793E-4</v>
      </c>
      <c r="W81" s="2"/>
      <c r="X81" s="6">
        <f t="shared" si="66"/>
        <v>45.17</v>
      </c>
      <c r="Y81" s="2"/>
      <c r="Z81" s="7">
        <f t="shared" si="67"/>
        <v>0.45704745522614593</v>
      </c>
    </row>
    <row r="82" spans="1:26" s="25" customFormat="1" outlineLevel="1" collapsed="1" x14ac:dyDescent="0.25">
      <c r="A82" s="27"/>
      <c r="B82" s="13" t="str">
        <f>CONCATENATE("     ","Utilities                                         ")</f>
        <v xml:space="preserve">     Utilities                                         </v>
      </c>
      <c r="C82" s="13"/>
      <c r="D82" s="1">
        <f>SUM(OSRRefD22_17x_0)</f>
        <v>2031</v>
      </c>
      <c r="E82" s="1"/>
      <c r="F82" s="5">
        <f t="shared" si="60"/>
        <v>2.3910613157123926E-2</v>
      </c>
      <c r="G82" s="1"/>
      <c r="H82" s="1">
        <f>SUM(OSRRefH22_17x_0)</f>
        <v>2031</v>
      </c>
      <c r="I82" s="1"/>
      <c r="J82" s="5">
        <f t="shared" si="61"/>
        <v>2.5255699972729813E-2</v>
      </c>
      <c r="K82" s="1"/>
      <c r="L82" s="1">
        <f t="shared" si="62"/>
        <v>0</v>
      </c>
      <c r="M82" s="1"/>
      <c r="N82" s="5">
        <f t="shared" si="63"/>
        <v>0</v>
      </c>
      <c r="O82" s="13"/>
      <c r="P82" s="1">
        <f>SUM(OSRRefP22_17x_0)</f>
        <v>8124</v>
      </c>
      <c r="Q82" s="1"/>
      <c r="R82" s="5">
        <f t="shared" si="64"/>
        <v>2.0475131939088752E-2</v>
      </c>
      <c r="S82" s="1"/>
      <c r="T82" s="1">
        <f>SUM(OSRRefT22_17x_0)</f>
        <v>7154</v>
      </c>
      <c r="U82" s="1"/>
      <c r="V82" s="5">
        <f t="shared" si="65"/>
        <v>1.7675221632059895E-2</v>
      </c>
      <c r="W82" s="1"/>
      <c r="X82" s="1">
        <f t="shared" si="66"/>
        <v>970</v>
      </c>
      <c r="Y82" s="1"/>
      <c r="Z82" s="5">
        <f t="shared" si="67"/>
        <v>0.13558848196812973</v>
      </c>
    </row>
    <row r="83" spans="1:26" s="24" customFormat="1" hidden="1" outlineLevel="2" x14ac:dyDescent="0.25">
      <c r="A83" s="26"/>
      <c r="B83" s="11" t="str">
        <f>CONCATENATE("          ", "6274", " - ", "UTILITIES")</f>
        <v xml:space="preserve">          6274 - UTILITIES</v>
      </c>
      <c r="C83" s="11"/>
      <c r="D83" s="6">
        <v>2031</v>
      </c>
      <c r="E83" s="2"/>
      <c r="F83" s="7">
        <f t="shared" si="60"/>
        <v>2.3910613157123926E-2</v>
      </c>
      <c r="G83" s="2"/>
      <c r="H83" s="6">
        <v>2031</v>
      </c>
      <c r="I83" s="2"/>
      <c r="J83" s="7">
        <f t="shared" si="61"/>
        <v>2.5255699972729813E-2</v>
      </c>
      <c r="K83" s="2"/>
      <c r="L83" s="6">
        <f t="shared" si="62"/>
        <v>0</v>
      </c>
      <c r="M83" s="2"/>
      <c r="N83" s="7">
        <f t="shared" si="63"/>
        <v>0</v>
      </c>
      <c r="O83" s="11"/>
      <c r="P83" s="6">
        <v>8124</v>
      </c>
      <c r="Q83" s="2"/>
      <c r="R83" s="7">
        <f t="shared" si="64"/>
        <v>2.0475131939088752E-2</v>
      </c>
      <c r="S83" s="2"/>
      <c r="T83" s="6">
        <v>7154</v>
      </c>
      <c r="U83" s="2"/>
      <c r="V83" s="7">
        <f t="shared" si="65"/>
        <v>1.7675221632059895E-2</v>
      </c>
      <c r="W83" s="2"/>
      <c r="X83" s="6">
        <f t="shared" si="66"/>
        <v>970</v>
      </c>
      <c r="Y83" s="2"/>
      <c r="Z83" s="7">
        <f t="shared" si="67"/>
        <v>0.13558848196812973</v>
      </c>
    </row>
    <row r="84" spans="1:26" s="53" customFormat="1" x14ac:dyDescent="0.25">
      <c r="A84" s="37"/>
      <c r="B84" s="37"/>
      <c r="C84" s="37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7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8" t="s">
        <v>0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9" t="s">
        <v>3</v>
      </c>
      <c r="C87" s="29"/>
      <c r="D87" s="21">
        <f>+D20-D22+D85</f>
        <v>-11134.939999999988</v>
      </c>
      <c r="E87" s="14"/>
      <c r="F87" s="20">
        <f>IF(D$12=0,0,D87/D$12)</f>
        <v>-0.13108973060944618</v>
      </c>
      <c r="G87" s="14"/>
      <c r="H87" s="21">
        <f>+H20-H22+H85</f>
        <v>-7329.890000000014</v>
      </c>
      <c r="I87" s="14"/>
      <c r="J87" s="20">
        <f>IF(H$12=0,0,H87/H$12)</f>
        <v>-9.1147957987746372E-2</v>
      </c>
      <c r="K87" s="15"/>
      <c r="L87" s="21">
        <f>+D87-H87</f>
        <v>-3805.0499999999738</v>
      </c>
      <c r="M87" s="15"/>
      <c r="N87" s="20">
        <f>IF(H87=0,0,L87/H87)</f>
        <v>0.51911420225951088</v>
      </c>
      <c r="O87" s="28"/>
      <c r="P87" s="21">
        <f>+P20-P22+P85</f>
        <v>-84654.320000000065</v>
      </c>
      <c r="Q87" s="14"/>
      <c r="R87" s="20">
        <f>IF(P$12=0,0,P87/P$12)</f>
        <v>-0.21335652033651414</v>
      </c>
      <c r="S87" s="14"/>
      <c r="T87" s="21">
        <f>+T20-T22+T85</f>
        <v>-60890.580000000016</v>
      </c>
      <c r="U87" s="14"/>
      <c r="V87" s="20">
        <f>IF(T$12=0,0,T87/T$12)</f>
        <v>-0.1504409416836279</v>
      </c>
      <c r="W87" s="15"/>
      <c r="X87" s="21">
        <f>+P87-T87</f>
        <v>-23763.740000000049</v>
      </c>
      <c r="Y87" s="15"/>
      <c r="Z87" s="20">
        <f>IF(T87=0,0,X87/T87)</f>
        <v>0.39026956222128351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1"/>
      <c r="B89" s="10" t="s">
        <v>13</v>
      </c>
      <c r="C89" s="10"/>
      <c r="D89" s="4">
        <v>10625.81</v>
      </c>
      <c r="E89" s="4"/>
      <c r="F89" s="12">
        <f>IF(D$12=0,0,D89/D$12)</f>
        <v>0.12509583081787246</v>
      </c>
      <c r="G89" s="4"/>
      <c r="H89" s="4">
        <v>12802.1</v>
      </c>
      <c r="I89" s="4"/>
      <c r="J89" s="12">
        <f>IF(H$12=0,0,H89/H$12)</f>
        <v>0.15919546854794894</v>
      </c>
      <c r="K89" s="4"/>
      <c r="L89" s="4">
        <f>+D89-H89</f>
        <v>-2176.2900000000009</v>
      </c>
      <c r="M89" s="4"/>
      <c r="N89" s="12">
        <f>IF(H89=0,0,L89/H89)</f>
        <v>-0.16999476648362385</v>
      </c>
      <c r="O89" s="10"/>
      <c r="P89" s="4">
        <v>42015.68</v>
      </c>
      <c r="Q89" s="4"/>
      <c r="R89" s="12">
        <f>IF(P$12=0,0,P89/P$12)</f>
        <v>0.10589322889100597</v>
      </c>
      <c r="S89" s="4"/>
      <c r="T89" s="4">
        <v>42588.49</v>
      </c>
      <c r="U89" s="4"/>
      <c r="V89" s="12">
        <f>IF(T$12=0,0,T89/T$12)</f>
        <v>0.1052223930283431</v>
      </c>
      <c r="W89" s="4"/>
      <c r="X89" s="4">
        <f>+P89-T89</f>
        <v>-572.80999999999767</v>
      </c>
      <c r="Y89" s="4"/>
      <c r="Z89" s="12">
        <f>IF(T89=0,0,X89/T89)</f>
        <v>-1.3449878124347628E-2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4</v>
      </c>
      <c r="C91" s="29"/>
      <c r="D91" s="31">
        <f>+D87-D89</f>
        <v>-21760.749999999985</v>
      </c>
      <c r="E91" s="14"/>
      <c r="F91" s="32">
        <f>IF(D$12=0,0,D91/D$12)</f>
        <v>-0.25618556142731863</v>
      </c>
      <c r="G91" s="14"/>
      <c r="H91" s="31">
        <f>+H87-H89</f>
        <v>-20131.990000000013</v>
      </c>
      <c r="I91" s="14"/>
      <c r="J91" s="32">
        <f>IF(H$12=0,0,H91/H$12)</f>
        <v>-0.2503434265356953</v>
      </c>
      <c r="K91" s="15"/>
      <c r="L91" s="31">
        <f>D91-H91</f>
        <v>-1628.7599999999729</v>
      </c>
      <c r="M91" s="15"/>
      <c r="N91" s="32">
        <f>IF(H91=0,0,L91/H91)</f>
        <v>8.0904073566496496E-2</v>
      </c>
      <c r="O91" s="28"/>
      <c r="P91" s="31">
        <f>+P87-P89</f>
        <v>-126670.00000000006</v>
      </c>
      <c r="Q91" s="14"/>
      <c r="R91" s="32">
        <f>IF(P$12=0,0,P91/P$12)</f>
        <v>-0.31924974922752009</v>
      </c>
      <c r="S91" s="14"/>
      <c r="T91" s="31">
        <f>+T87-T89</f>
        <v>-103479.07</v>
      </c>
      <c r="U91" s="14"/>
      <c r="V91" s="32">
        <f>IF(T$12=0,0,T91/T$12)</f>
        <v>-0.255663334711971</v>
      </c>
      <c r="W91" s="15"/>
      <c r="X91" s="31">
        <f>P91-T91</f>
        <v>-23190.930000000051</v>
      </c>
      <c r="Y91" s="15"/>
      <c r="Z91" s="32">
        <f>IF(T91=0,0,X91/T91)</f>
        <v>0.22411227700442274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5</v>
      </c>
      <c r="C94" s="29"/>
      <c r="D94" s="34">
        <f>SUM(D91:D93)</f>
        <v>-21760.749999999985</v>
      </c>
      <c r="E94" s="14"/>
      <c r="F94" s="30">
        <f>IF(D$12=0,0,D94/D$12)</f>
        <v>-0.25618556142731863</v>
      </c>
      <c r="G94" s="14"/>
      <c r="H94" s="34">
        <f>SUM(H91:H93)</f>
        <v>-20131.990000000013</v>
      </c>
      <c r="I94" s="14"/>
      <c r="J94" s="30">
        <f>IF(H$12=0,0,H94/H$12)</f>
        <v>-0.2503434265356953</v>
      </c>
      <c r="K94" s="15"/>
      <c r="L94" s="34">
        <f>+D94-H94</f>
        <v>-1628.7599999999729</v>
      </c>
      <c r="M94" s="15"/>
      <c r="N94" s="30">
        <f>IF(H94=0,0,L94/H94)</f>
        <v>8.0904073566496496E-2</v>
      </c>
      <c r="O94" s="28"/>
      <c r="P94" s="34">
        <f>SUM(P91:P93)</f>
        <v>-126670.00000000006</v>
      </c>
      <c r="Q94" s="14"/>
      <c r="R94" s="30">
        <f>IF(P$12=0,0,P94/P$12)</f>
        <v>-0.31924974922752009</v>
      </c>
      <c r="S94" s="14"/>
      <c r="T94" s="34">
        <f>SUM(T91:T93)</f>
        <v>-103479.07</v>
      </c>
      <c r="U94" s="14"/>
      <c r="V94" s="30">
        <f>IF(T$12=0,0,T94/T$12)</f>
        <v>-0.255663334711971</v>
      </c>
      <c r="W94" s="15"/>
      <c r="X94" s="34">
        <f>+P94-T94</f>
        <v>-23190.930000000051</v>
      </c>
      <c r="Y94" s="15"/>
      <c r="Z94" s="30">
        <f>IF(T94=0,0,X94/T94)</f>
        <v>0.22411227700442274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9">
        <v>43815.492130868057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62" t="s">
        <v>313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61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","418", " - ", "Nugget")</f>
        <v>Department 418 - Nugget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138334.53</v>
      </c>
      <c r="E12" s="4"/>
      <c r="F12" s="12"/>
      <c r="G12" s="4"/>
      <c r="H12" s="4">
        <f>SUM(OSRRefH13x_0)</f>
        <v>121472.10999999999</v>
      </c>
      <c r="I12" s="4"/>
      <c r="J12" s="12"/>
      <c r="K12" s="4"/>
      <c r="L12" s="4">
        <f t="shared" ref="L12:L14" si="0">+D12-H12</f>
        <v>16862.420000000013</v>
      </c>
      <c r="M12" s="4"/>
      <c r="N12" s="12">
        <f t="shared" ref="N12:N14" si="1">IF(H12=0,0,L12/H12)</f>
        <v>0.1388172149146007</v>
      </c>
      <c r="O12" s="10"/>
      <c r="P12" s="4">
        <f>SUM(OSRRefP13x_0)</f>
        <v>656573.16</v>
      </c>
      <c r="Q12" s="4"/>
      <c r="R12" s="12"/>
      <c r="S12" s="4"/>
      <c r="T12" s="4">
        <f>SUM(OSRRefT13x_0)</f>
        <v>645308.86</v>
      </c>
      <c r="U12" s="4"/>
      <c r="V12" s="12"/>
      <c r="W12" s="4"/>
      <c r="X12" s="4">
        <f t="shared" ref="X12:X14" si="2">+P12-T12</f>
        <v>11264.300000000047</v>
      </c>
      <c r="Y12" s="4"/>
      <c r="Z12" s="12">
        <f t="shared" ref="Z12:Z14" si="3">IF(T12=0,0,X12/T12)</f>
        <v>1.7455672311705198E-2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>--49116.37</f>
        <v>49116.37</v>
      </c>
      <c r="E13" s="2"/>
      <c r="F13" s="19"/>
      <c r="G13" s="2"/>
      <c r="H13" s="2">
        <f>--49959.18</f>
        <v>49959.18</v>
      </c>
      <c r="I13" s="2"/>
      <c r="J13" s="19"/>
      <c r="K13" s="2"/>
      <c r="L13" s="2">
        <f t="shared" si="0"/>
        <v>-842.80999999999767</v>
      </c>
      <c r="M13" s="2"/>
      <c r="N13" s="19">
        <f t="shared" si="1"/>
        <v>-1.6869972645667877E-2</v>
      </c>
      <c r="O13" s="11"/>
      <c r="P13" s="2">
        <f>--235107.97</f>
        <v>235107.97</v>
      </c>
      <c r="Q13" s="2"/>
      <c r="R13" s="19"/>
      <c r="S13" s="2"/>
      <c r="T13" s="2">
        <f>--267636.36</f>
        <v>267636.36</v>
      </c>
      <c r="U13" s="2"/>
      <c r="V13" s="19"/>
      <c r="W13" s="2"/>
      <c r="X13" s="2">
        <f t="shared" si="2"/>
        <v>-32528.389999999985</v>
      </c>
      <c r="Y13" s="2"/>
      <c r="Z13" s="19">
        <f t="shared" si="3"/>
        <v>-0.12153950233069971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>--89218.16</f>
        <v>89218.16</v>
      </c>
      <c r="E14" s="2"/>
      <c r="F14" s="19"/>
      <c r="G14" s="2"/>
      <c r="H14" s="2">
        <f>--71512.93</f>
        <v>71512.929999999993</v>
      </c>
      <c r="I14" s="2"/>
      <c r="J14" s="19"/>
      <c r="K14" s="2"/>
      <c r="L14" s="2">
        <f t="shared" si="0"/>
        <v>17705.23000000001</v>
      </c>
      <c r="M14" s="2"/>
      <c r="N14" s="19">
        <f t="shared" si="1"/>
        <v>0.24758082209748661</v>
      </c>
      <c r="O14" s="11"/>
      <c r="P14" s="2">
        <f>--421465.19</f>
        <v>421465.19</v>
      </c>
      <c r="Q14" s="2"/>
      <c r="R14" s="19"/>
      <c r="S14" s="2"/>
      <c r="T14" s="2">
        <f>--377672.5</f>
        <v>377672.5</v>
      </c>
      <c r="U14" s="2"/>
      <c r="V14" s="19"/>
      <c r="W14" s="2"/>
      <c r="X14" s="2">
        <f t="shared" si="2"/>
        <v>43792.69</v>
      </c>
      <c r="Y14" s="2"/>
      <c r="Z14" s="19">
        <f t="shared" si="3"/>
        <v>0.11595414016111844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48400.07</v>
      </c>
      <c r="E16" s="4"/>
      <c r="F16" s="12">
        <f t="shared" ref="F16:F18" si="4">IF(D$12=0,0,D16/D$12)</f>
        <v>0.34987699744958833</v>
      </c>
      <c r="G16" s="4"/>
      <c r="H16" s="4">
        <f>SUM(OSRRefH16x_0)</f>
        <v>38870.539999999994</v>
      </c>
      <c r="I16" s="4"/>
      <c r="J16" s="12">
        <f t="shared" ref="J16:J18" si="5">IF(H$12=0,0,H16/H$12)</f>
        <v>0.31999559405035444</v>
      </c>
      <c r="K16" s="4"/>
      <c r="L16" s="4">
        <f t="shared" ref="L16:L18" si="6">+D16-H16</f>
        <v>9529.5300000000061</v>
      </c>
      <c r="M16" s="4"/>
      <c r="N16" s="12">
        <f t="shared" ref="N16:N18" si="7">IF(H16=0,0,L16/H16)</f>
        <v>0.24516073098032617</v>
      </c>
      <c r="O16" s="10"/>
      <c r="P16" s="4">
        <f>SUM(OSRRefP16x_0)</f>
        <v>216522.62</v>
      </c>
      <c r="Q16" s="4"/>
      <c r="R16" s="12">
        <f t="shared" ref="R16:R18" si="8">IF(P$12=0,0,P16/P$12)</f>
        <v>0.32977683705499017</v>
      </c>
      <c r="S16" s="4"/>
      <c r="T16" s="4">
        <f>SUM(OSRRefT16x_0)</f>
        <v>206497.38</v>
      </c>
      <c r="U16" s="4"/>
      <c r="V16" s="12">
        <f t="shared" ref="V16:V18" si="9">IF(T$12=0,0,T16/T$12)</f>
        <v>0.31999774495580302</v>
      </c>
      <c r="W16" s="4"/>
      <c r="X16" s="4">
        <f t="shared" ref="X16:X18" si="10">+P16-T16</f>
        <v>10025.239999999991</v>
      </c>
      <c r="Y16" s="4"/>
      <c r="Z16" s="12">
        <f t="shared" ref="Z16:Z18" si="11">IF(T16=0,0,X16/T16)</f>
        <v>4.8548993696675424E-2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41430.07</v>
      </c>
      <c r="E17" s="2"/>
      <c r="F17" s="19">
        <f t="shared" si="4"/>
        <v>0.29949189114243568</v>
      </c>
      <c r="G17" s="2"/>
      <c r="H17" s="2">
        <v>34235.539999999994</v>
      </c>
      <c r="I17" s="2"/>
      <c r="J17" s="19">
        <f t="shared" si="5"/>
        <v>0.28183868708627846</v>
      </c>
      <c r="K17" s="2"/>
      <c r="L17" s="2">
        <f t="shared" si="6"/>
        <v>7194.5300000000061</v>
      </c>
      <c r="M17" s="2"/>
      <c r="N17" s="19">
        <f t="shared" si="7"/>
        <v>0.21014799240788978</v>
      </c>
      <c r="O17" s="11"/>
      <c r="P17" s="2">
        <v>221059.62</v>
      </c>
      <c r="Q17" s="2"/>
      <c r="R17" s="19">
        <f t="shared" si="8"/>
        <v>0.33668695808400084</v>
      </c>
      <c r="S17" s="2"/>
      <c r="T17" s="2">
        <v>200241.38</v>
      </c>
      <c r="U17" s="2"/>
      <c r="V17" s="19">
        <f t="shared" si="9"/>
        <v>0.31030316242674866</v>
      </c>
      <c r="W17" s="2"/>
      <c r="X17" s="2">
        <f t="shared" si="10"/>
        <v>20818.239999999991</v>
      </c>
      <c r="Y17" s="2"/>
      <c r="Z17" s="19">
        <f t="shared" si="11"/>
        <v>0.10396572376798437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6970</v>
      </c>
      <c r="E18" s="2"/>
      <c r="F18" s="19">
        <f t="shared" si="4"/>
        <v>5.038510630715267E-2</v>
      </c>
      <c r="G18" s="2"/>
      <c r="H18" s="2">
        <v>4635</v>
      </c>
      <c r="I18" s="2"/>
      <c r="J18" s="19">
        <f t="shared" si="5"/>
        <v>3.8156906964075955E-2</v>
      </c>
      <c r="K18" s="2"/>
      <c r="L18" s="2">
        <f t="shared" si="6"/>
        <v>2335</v>
      </c>
      <c r="M18" s="2"/>
      <c r="N18" s="19">
        <f t="shared" si="7"/>
        <v>0.50377562028047462</v>
      </c>
      <c r="O18" s="11"/>
      <c r="P18" s="2">
        <v>-4537</v>
      </c>
      <c r="Q18" s="2"/>
      <c r="R18" s="19">
        <f t="shared" si="8"/>
        <v>-6.9101210290106888E-3</v>
      </c>
      <c r="S18" s="2"/>
      <c r="T18" s="2">
        <v>6256</v>
      </c>
      <c r="U18" s="2"/>
      <c r="V18" s="19">
        <f t="shared" si="9"/>
        <v>9.6945825290543821E-3</v>
      </c>
      <c r="W18" s="2"/>
      <c r="X18" s="2">
        <f t="shared" si="10"/>
        <v>-10793</v>
      </c>
      <c r="Y18" s="2"/>
      <c r="Z18" s="19">
        <f t="shared" si="11"/>
        <v>-1.7252237851662404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89934.459999999992</v>
      </c>
      <c r="E20" s="14"/>
      <c r="F20" s="20">
        <f>IF(D$12=0,0,D20/D$12)</f>
        <v>0.65012300255041167</v>
      </c>
      <c r="G20" s="14"/>
      <c r="H20" s="21">
        <f>H12-H16</f>
        <v>82601.569999999992</v>
      </c>
      <c r="I20" s="14"/>
      <c r="J20" s="20">
        <f>IF(H$12=0,0,H20/H$12)</f>
        <v>0.68000440594964562</v>
      </c>
      <c r="K20" s="15"/>
      <c r="L20" s="21">
        <f>+D20-H20</f>
        <v>7332.8899999999994</v>
      </c>
      <c r="M20" s="15"/>
      <c r="N20" s="20">
        <f>IF(H20=0,0,L20/H20)</f>
        <v>8.877422063527364E-2</v>
      </c>
      <c r="O20" s="28"/>
      <c r="P20" s="21">
        <f>P12-P16</f>
        <v>440050.54000000004</v>
      </c>
      <c r="Q20" s="14"/>
      <c r="R20" s="20">
        <f>IF(P$12=0,0,P20/P$12)</f>
        <v>0.67022316294500983</v>
      </c>
      <c r="S20" s="14"/>
      <c r="T20" s="21">
        <f>T12-T16</f>
        <v>438811.48</v>
      </c>
      <c r="U20" s="14"/>
      <c r="V20" s="20">
        <f>IF(T$12=0,0,T20/T$12)</f>
        <v>0.68000225504419698</v>
      </c>
      <c r="W20" s="15"/>
      <c r="X20" s="21">
        <f>+P20-T20</f>
        <v>1239.0600000000559</v>
      </c>
      <c r="Y20" s="15"/>
      <c r="Z20" s="20">
        <f>IF(T20=0,0,X20/T20)</f>
        <v>2.8236727079247242E-3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62506.18</v>
      </c>
      <c r="E22" s="22"/>
      <c r="F22" s="33">
        <f t="shared" ref="F22:F31" si="12">IF(D$12=0,0,D22/D$12)</f>
        <v>0.45184799485710475</v>
      </c>
      <c r="G22" s="22"/>
      <c r="H22" s="22">
        <f>SUM(OSRRefH22x_0)</f>
        <v>53211.319999999992</v>
      </c>
      <c r="I22" s="22"/>
      <c r="J22" s="33">
        <f t="shared" ref="J22:J31" si="13">IF(H$12=0,0,H22/H$12)</f>
        <v>0.43805380510802028</v>
      </c>
      <c r="K22" s="4"/>
      <c r="L22" s="22">
        <f t="shared" ref="L22:L31" si="14">+D22-H22</f>
        <v>9294.8600000000079</v>
      </c>
      <c r="M22" s="4"/>
      <c r="N22" s="33">
        <f t="shared" ref="N22:N31" si="15">IF(H22=0,0,L22/H22)</f>
        <v>0.17467824515535432</v>
      </c>
      <c r="O22" s="10"/>
      <c r="P22" s="22">
        <f>SUM(OSRRefP22x_0)</f>
        <v>304107.54999999981</v>
      </c>
      <c r="Q22" s="22"/>
      <c r="R22" s="33">
        <f t="shared" ref="R22:R31" si="16">IF(P$12=0,0,P22/P$12)</f>
        <v>0.46317389824463706</v>
      </c>
      <c r="S22" s="22"/>
      <c r="T22" s="22">
        <f>SUM(OSRRefT22x_0)</f>
        <v>286250.36000000004</v>
      </c>
      <c r="U22" s="22"/>
      <c r="V22" s="33">
        <f t="shared" ref="V22:V31" si="17">IF(T$12=0,0,T22/T$12)</f>
        <v>0.44358659510734139</v>
      </c>
      <c r="W22" s="4"/>
      <c r="X22" s="22">
        <f t="shared" ref="X22:X31" si="18">+P22-T22</f>
        <v>17857.189999999769</v>
      </c>
      <c r="Y22" s="4"/>
      <c r="Z22" s="33">
        <f t="shared" ref="Z22:Z31" si="19">IF(T22=0,0,X22/T22)</f>
        <v>6.2383118050924953E-2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11150.01</v>
      </c>
      <c r="E23" s="1"/>
      <c r="F23" s="5">
        <f t="shared" si="12"/>
        <v>8.0601784673718133E-2</v>
      </c>
      <c r="G23" s="1"/>
      <c r="H23" s="1">
        <f>SUM(OSRRefH22_0x_0)</f>
        <v>8958.0400000000009</v>
      </c>
      <c r="I23" s="1"/>
      <c r="J23" s="5">
        <f t="shared" si="13"/>
        <v>7.3745652397081127E-2</v>
      </c>
      <c r="K23" s="1"/>
      <c r="L23" s="1">
        <f t="shared" si="14"/>
        <v>2191.9699999999993</v>
      </c>
      <c r="M23" s="1"/>
      <c r="N23" s="5">
        <f t="shared" si="15"/>
        <v>0.24469303553009353</v>
      </c>
      <c r="O23" s="13"/>
      <c r="P23" s="1">
        <f>SUM(OSRRefP22_0x_0)</f>
        <v>38712.910000000003</v>
      </c>
      <c r="Q23" s="1"/>
      <c r="R23" s="5">
        <f t="shared" si="16"/>
        <v>5.8962066009521315E-2</v>
      </c>
      <c r="S23" s="1"/>
      <c r="T23" s="1">
        <f>SUM(OSRRefT22_0x_0)</f>
        <v>42979.86</v>
      </c>
      <c r="U23" s="1"/>
      <c r="V23" s="5">
        <f t="shared" si="17"/>
        <v>6.660354857052482E-2</v>
      </c>
      <c r="W23" s="1"/>
      <c r="X23" s="1">
        <f t="shared" si="18"/>
        <v>-4266.9499999999971</v>
      </c>
      <c r="Y23" s="1"/>
      <c r="Z23" s="5">
        <f t="shared" si="19"/>
        <v>-9.9277894344001985E-2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>
        <v>1921.61</v>
      </c>
      <c r="E24" s="2"/>
      <c r="F24" s="7">
        <f t="shared" si="12"/>
        <v>1.3891036460672544E-2</v>
      </c>
      <c r="G24" s="2"/>
      <c r="H24" s="6">
        <v>1243.54</v>
      </c>
      <c r="I24" s="2"/>
      <c r="J24" s="7">
        <f t="shared" si="13"/>
        <v>1.0237247052018773E-2</v>
      </c>
      <c r="K24" s="2"/>
      <c r="L24" s="6">
        <f t="shared" si="14"/>
        <v>678.06999999999994</v>
      </c>
      <c r="M24" s="2"/>
      <c r="N24" s="7">
        <f t="shared" si="15"/>
        <v>0.54527397590748983</v>
      </c>
      <c r="O24" s="11"/>
      <c r="P24" s="6">
        <v>9276.0499999999993</v>
      </c>
      <c r="Q24" s="2"/>
      <c r="R24" s="7">
        <f t="shared" si="16"/>
        <v>1.4127976233448225E-2</v>
      </c>
      <c r="S24" s="2"/>
      <c r="T24" s="6">
        <v>7675.05</v>
      </c>
      <c r="U24" s="2"/>
      <c r="V24" s="7">
        <f t="shared" si="17"/>
        <v>1.1893607039581016E-2</v>
      </c>
      <c r="W24" s="2"/>
      <c r="X24" s="6">
        <f t="shared" si="18"/>
        <v>1600.9999999999991</v>
      </c>
      <c r="Y24" s="2"/>
      <c r="Z24" s="7">
        <f t="shared" si="19"/>
        <v>0.20859798958964423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>
        <v>1646.25</v>
      </c>
      <c r="E25" s="2"/>
      <c r="F25" s="7">
        <f t="shared" si="12"/>
        <v>1.1900499463149222E-2</v>
      </c>
      <c r="G25" s="2"/>
      <c r="H25" s="6">
        <v>1318.38</v>
      </c>
      <c r="I25" s="2"/>
      <c r="J25" s="7">
        <f t="shared" si="13"/>
        <v>1.0853355556267198E-2</v>
      </c>
      <c r="K25" s="2"/>
      <c r="L25" s="6">
        <f t="shared" si="14"/>
        <v>327.86999999999989</v>
      </c>
      <c r="M25" s="2"/>
      <c r="N25" s="7">
        <f t="shared" si="15"/>
        <v>0.24869157602512162</v>
      </c>
      <c r="O25" s="11"/>
      <c r="P25" s="6">
        <v>4007.16</v>
      </c>
      <c r="Q25" s="2"/>
      <c r="R25" s="7">
        <f t="shared" si="16"/>
        <v>6.1031431744788343E-3</v>
      </c>
      <c r="S25" s="2"/>
      <c r="T25" s="6">
        <v>5695.17</v>
      </c>
      <c r="U25" s="2"/>
      <c r="V25" s="7">
        <f t="shared" si="17"/>
        <v>8.825494818093773E-3</v>
      </c>
      <c r="W25" s="2"/>
      <c r="X25" s="6">
        <f t="shared" si="18"/>
        <v>-1688.0100000000002</v>
      </c>
      <c r="Y25" s="2"/>
      <c r="Z25" s="7">
        <f t="shared" si="19"/>
        <v>-0.29639325955151474</v>
      </c>
    </row>
    <row r="26" spans="1:26" s="24" customFormat="1" hidden="1" outlineLevel="2" x14ac:dyDescent="0.25">
      <c r="A26" s="26"/>
      <c r="B26" s="11" t="str">
        <f>CONCATENATE("          ", "6113", " - ", "GROUP INSURANCE")</f>
        <v xml:space="preserve">          6113 - GROUP INSURANCE</v>
      </c>
      <c r="C26" s="11"/>
      <c r="D26" s="6">
        <v>5096.34</v>
      </c>
      <c r="E26" s="2"/>
      <c r="F26" s="7">
        <f t="shared" si="12"/>
        <v>3.6840693354002071E-2</v>
      </c>
      <c r="G26" s="2"/>
      <c r="H26" s="6">
        <v>4110.21</v>
      </c>
      <c r="I26" s="2"/>
      <c r="J26" s="7">
        <f t="shared" si="13"/>
        <v>3.3836656002764753E-2</v>
      </c>
      <c r="K26" s="2"/>
      <c r="L26" s="6">
        <f t="shared" si="14"/>
        <v>986.13000000000011</v>
      </c>
      <c r="M26" s="2"/>
      <c r="N26" s="7">
        <f t="shared" si="15"/>
        <v>0.23992204777858067</v>
      </c>
      <c r="O26" s="11"/>
      <c r="P26" s="6">
        <v>15331.96</v>
      </c>
      <c r="Q26" s="2"/>
      <c r="R26" s="7">
        <f t="shared" si="16"/>
        <v>2.3351487593553166E-2</v>
      </c>
      <c r="S26" s="2"/>
      <c r="T26" s="6">
        <v>17966.78</v>
      </c>
      <c r="U26" s="2"/>
      <c r="V26" s="7">
        <f t="shared" si="17"/>
        <v>2.7842140583657877E-2</v>
      </c>
      <c r="W26" s="2"/>
      <c r="X26" s="6">
        <f t="shared" si="18"/>
        <v>-2634.8199999999997</v>
      </c>
      <c r="Y26" s="2"/>
      <c r="Z26" s="7">
        <f t="shared" si="19"/>
        <v>-0.1466495387598668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110.32</v>
      </c>
      <c r="E27" s="2"/>
      <c r="F27" s="7">
        <f t="shared" si="12"/>
        <v>7.9748707715998309E-4</v>
      </c>
      <c r="G27" s="2"/>
      <c r="H27" s="6">
        <v>97.94</v>
      </c>
      <c r="I27" s="2"/>
      <c r="J27" s="7">
        <f t="shared" si="13"/>
        <v>8.0627561338977329E-4</v>
      </c>
      <c r="K27" s="2"/>
      <c r="L27" s="6">
        <f t="shared" si="14"/>
        <v>12.379999999999995</v>
      </c>
      <c r="M27" s="2"/>
      <c r="N27" s="7">
        <f t="shared" si="15"/>
        <v>0.12640392076781698</v>
      </c>
      <c r="O27" s="11"/>
      <c r="P27" s="6">
        <v>405.79</v>
      </c>
      <c r="Q27" s="2"/>
      <c r="R27" s="7">
        <f t="shared" si="16"/>
        <v>6.1804232143756836E-4</v>
      </c>
      <c r="S27" s="2"/>
      <c r="T27" s="6">
        <v>423.07</v>
      </c>
      <c r="U27" s="2"/>
      <c r="V27" s="7">
        <f t="shared" si="17"/>
        <v>6.5560854069166203E-4</v>
      </c>
      <c r="W27" s="2"/>
      <c r="X27" s="6">
        <f t="shared" si="18"/>
        <v>-17.279999999999973</v>
      </c>
      <c r="Y27" s="2"/>
      <c r="Z27" s="7">
        <f t="shared" si="19"/>
        <v>-4.0844304724986347E-2</v>
      </c>
    </row>
    <row r="28" spans="1:26" s="24" customFormat="1" hidden="1" outlineLevel="2" x14ac:dyDescent="0.25">
      <c r="A28" s="26"/>
      <c r="B28" s="11" t="str">
        <f>CONCATENATE("          ", "6115", " - ", "P.E.R.S.")</f>
        <v xml:space="preserve">          6115 - P.E.R.S.</v>
      </c>
      <c r="C28" s="11"/>
      <c r="D28" s="6">
        <v>617.47</v>
      </c>
      <c r="E28" s="2"/>
      <c r="F28" s="7">
        <f t="shared" si="12"/>
        <v>4.4635999413884589E-3</v>
      </c>
      <c r="G28" s="2"/>
      <c r="H28" s="6">
        <v>579.83000000000004</v>
      </c>
      <c r="I28" s="2"/>
      <c r="J28" s="7">
        <f t="shared" si="13"/>
        <v>4.7733590862956126E-3</v>
      </c>
      <c r="K28" s="2"/>
      <c r="L28" s="6">
        <f t="shared" si="14"/>
        <v>37.639999999999986</v>
      </c>
      <c r="M28" s="2"/>
      <c r="N28" s="7">
        <f t="shared" si="15"/>
        <v>6.4915578704102903E-2</v>
      </c>
      <c r="O28" s="11"/>
      <c r="P28" s="6">
        <v>2284.08</v>
      </c>
      <c r="Q28" s="2"/>
      <c r="R28" s="7">
        <f t="shared" si="16"/>
        <v>3.4787897817815153E-3</v>
      </c>
      <c r="S28" s="2"/>
      <c r="T28" s="6">
        <v>3180.62</v>
      </c>
      <c r="U28" s="2"/>
      <c r="V28" s="7">
        <f t="shared" si="17"/>
        <v>4.9288336131011745E-3</v>
      </c>
      <c r="W28" s="2"/>
      <c r="X28" s="6">
        <f t="shared" si="18"/>
        <v>-896.54</v>
      </c>
      <c r="Y28" s="2"/>
      <c r="Z28" s="7">
        <f t="shared" si="19"/>
        <v>-0.28187586068125081</v>
      </c>
    </row>
    <row r="29" spans="1:26" s="24" customFormat="1" hidden="1" outlineLevel="2" x14ac:dyDescent="0.25">
      <c r="A29" s="26"/>
      <c r="B29" s="11" t="str">
        <f>CONCATENATE("          ", "6118", " - ", "VACATION")</f>
        <v xml:space="preserve">          6118 - VACATION</v>
      </c>
      <c r="C29" s="11"/>
      <c r="D29" s="6">
        <v>629.32000000000005</v>
      </c>
      <c r="E29" s="2"/>
      <c r="F29" s="7">
        <f t="shared" si="12"/>
        <v>4.5492618509637471E-3</v>
      </c>
      <c r="G29" s="2"/>
      <c r="H29" s="6">
        <v>500.32</v>
      </c>
      <c r="I29" s="2"/>
      <c r="J29" s="7">
        <f t="shared" si="13"/>
        <v>4.118805543099565E-3</v>
      </c>
      <c r="K29" s="2"/>
      <c r="L29" s="6">
        <f t="shared" si="14"/>
        <v>129.00000000000006</v>
      </c>
      <c r="M29" s="2"/>
      <c r="N29" s="7">
        <f t="shared" si="15"/>
        <v>0.2578349856092102</v>
      </c>
      <c r="O29" s="11"/>
      <c r="P29" s="6">
        <v>2791.59</v>
      </c>
      <c r="Q29" s="2"/>
      <c r="R29" s="7">
        <f t="shared" si="16"/>
        <v>4.2517577172968817E-3</v>
      </c>
      <c r="S29" s="2"/>
      <c r="T29" s="6">
        <v>2764.08</v>
      </c>
      <c r="U29" s="2"/>
      <c r="V29" s="7">
        <f t="shared" si="17"/>
        <v>4.2833442578178761E-3</v>
      </c>
      <c r="W29" s="2"/>
      <c r="X29" s="6">
        <f t="shared" si="18"/>
        <v>27.510000000000218</v>
      </c>
      <c r="Y29" s="2"/>
      <c r="Z29" s="7">
        <f t="shared" si="19"/>
        <v>9.9526786489537999E-3</v>
      </c>
    </row>
    <row r="30" spans="1:26" s="24" customFormat="1" hidden="1" outlineLevel="2" x14ac:dyDescent="0.25">
      <c r="A30" s="26"/>
      <c r="B30" s="11" t="str">
        <f>CONCATENATE("          ", "6119", " - ", "SICK LEAVE")</f>
        <v xml:space="preserve">          6119 - SICK LEAVE</v>
      </c>
      <c r="C30" s="11"/>
      <c r="D30" s="6">
        <v>665.96</v>
      </c>
      <c r="E30" s="2"/>
      <c r="F30" s="7">
        <f t="shared" si="12"/>
        <v>4.8141270295999133E-3</v>
      </c>
      <c r="G30" s="2"/>
      <c r="H30" s="6">
        <v>516.36</v>
      </c>
      <c r="I30" s="2"/>
      <c r="J30" s="7">
        <f t="shared" si="13"/>
        <v>4.2508523149881903E-3</v>
      </c>
      <c r="K30" s="2"/>
      <c r="L30" s="6">
        <f t="shared" si="14"/>
        <v>149.60000000000002</v>
      </c>
      <c r="M30" s="2"/>
      <c r="N30" s="7">
        <f t="shared" si="15"/>
        <v>0.28972035014331088</v>
      </c>
      <c r="O30" s="11"/>
      <c r="P30" s="6">
        <v>2833.94</v>
      </c>
      <c r="Q30" s="2"/>
      <c r="R30" s="7">
        <f t="shared" si="16"/>
        <v>4.3162592878453936E-3</v>
      </c>
      <c r="S30" s="2"/>
      <c r="T30" s="6">
        <v>3099.64</v>
      </c>
      <c r="U30" s="2"/>
      <c r="V30" s="7">
        <f t="shared" si="17"/>
        <v>4.8033433168731014E-3</v>
      </c>
      <c r="W30" s="2"/>
      <c r="X30" s="6">
        <f t="shared" si="18"/>
        <v>-265.69999999999982</v>
      </c>
      <c r="Y30" s="2"/>
      <c r="Z30" s="7">
        <f t="shared" si="19"/>
        <v>-8.5719631957259498E-2</v>
      </c>
    </row>
    <row r="31" spans="1:26" s="24" customFormat="1" hidden="1" outlineLevel="2" x14ac:dyDescent="0.25">
      <c r="A31" s="26"/>
      <c r="B31" s="11" t="str">
        <f>CONCATENATE("          ", "6156", " - ", "EMPLOYEE MEALS")</f>
        <v xml:space="preserve">          6156 - EMPLOYEE MEALS</v>
      </c>
      <c r="C31" s="11"/>
      <c r="D31" s="6">
        <v>462.74</v>
      </c>
      <c r="E31" s="2"/>
      <c r="F31" s="7">
        <f t="shared" si="12"/>
        <v>3.3450794967821848E-3</v>
      </c>
      <c r="G31" s="2"/>
      <c r="H31" s="6">
        <v>591.46</v>
      </c>
      <c r="I31" s="2"/>
      <c r="J31" s="7">
        <f t="shared" si="13"/>
        <v>4.8691012282572523E-3</v>
      </c>
      <c r="K31" s="2"/>
      <c r="L31" s="6">
        <f t="shared" si="14"/>
        <v>-128.72000000000003</v>
      </c>
      <c r="M31" s="2"/>
      <c r="N31" s="7">
        <f t="shared" si="15"/>
        <v>-0.21763094714773615</v>
      </c>
      <c r="O31" s="11"/>
      <c r="P31" s="6">
        <v>1782.34</v>
      </c>
      <c r="Q31" s="2"/>
      <c r="R31" s="7">
        <f t="shared" si="16"/>
        <v>2.7146098996797246E-3</v>
      </c>
      <c r="S31" s="2"/>
      <c r="T31" s="6">
        <v>2175.4499999999998</v>
      </c>
      <c r="U31" s="2"/>
      <c r="V31" s="7">
        <f t="shared" si="17"/>
        <v>3.3711764007083368E-3</v>
      </c>
      <c r="W31" s="2"/>
      <c r="X31" s="6">
        <f t="shared" si="18"/>
        <v>-393.1099999999999</v>
      </c>
      <c r="Y31" s="2"/>
      <c r="Z31" s="7">
        <f t="shared" si="19"/>
        <v>-0.18070284308993539</v>
      </c>
    </row>
    <row r="32" spans="1:26" s="25" customFormat="1" outlineLevel="1" collapsed="1" x14ac:dyDescent="0.25">
      <c r="A32" s="27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35430.97</v>
      </c>
      <c r="E32" s="1"/>
      <c r="F32" s="5">
        <f t="shared" ref="F32:F38" si="20">IF(D$12=0,0,D32/D$12)</f>
        <v>0.25612527833795368</v>
      </c>
      <c r="G32" s="1"/>
      <c r="H32" s="1">
        <f>SUM(OSRRefH22_1x_0)</f>
        <v>29180.579999999998</v>
      </c>
      <c r="I32" s="1"/>
      <c r="J32" s="5">
        <f t="shared" ref="J32:J38" si="21">IF(H$12=0,0,H32/H$12)</f>
        <v>0.24022452561332805</v>
      </c>
      <c r="K32" s="1"/>
      <c r="L32" s="1">
        <f t="shared" ref="L32:L38" si="22">+D32-H32</f>
        <v>6250.3900000000031</v>
      </c>
      <c r="M32" s="1"/>
      <c r="N32" s="5">
        <f t="shared" ref="N32:N38" si="23">IF(H32=0,0,L32/H32)</f>
        <v>0.21419690766941588</v>
      </c>
      <c r="O32" s="13"/>
      <c r="P32" s="1">
        <f>SUM(OSRRefP22_1x_0)</f>
        <v>166712.15</v>
      </c>
      <c r="Q32" s="1"/>
      <c r="R32" s="5">
        <f t="shared" ref="R32:R38" si="24">IF(P$12=0,0,P32/P$12)</f>
        <v>0.25391252667105674</v>
      </c>
      <c r="S32" s="1"/>
      <c r="T32" s="1">
        <f>SUM(OSRRefT22_1x_0)</f>
        <v>153578.81</v>
      </c>
      <c r="U32" s="1"/>
      <c r="V32" s="5">
        <f t="shared" ref="V32:V38" si="25">IF(T$12=0,0,T32/T$12)</f>
        <v>0.23799271871147096</v>
      </c>
      <c r="W32" s="1"/>
      <c r="X32" s="1">
        <f t="shared" ref="X32:X38" si="26">+P32-T32</f>
        <v>13133.339999999997</v>
      </c>
      <c r="Y32" s="1"/>
      <c r="Z32" s="5">
        <f t="shared" ref="Z32:Z38" si="27">IF(T32=0,0,X32/T32)</f>
        <v>8.5515312952353234E-2</v>
      </c>
    </row>
    <row r="33" spans="1:26" s="24" customFormat="1" hidden="1" outlineLevel="2" x14ac:dyDescent="0.25">
      <c r="A33" s="26"/>
      <c r="B33" s="11" t="str">
        <f>CONCATENATE("          ", "6002", " - ", "STAFF SALARIES")</f>
        <v xml:space="preserve">          6002 - STAFF SALARIES</v>
      </c>
      <c r="C33" s="11"/>
      <c r="D33" s="6">
        <v>8840</v>
      </c>
      <c r="E33" s="2"/>
      <c r="F33" s="7">
        <f t="shared" si="20"/>
        <v>6.3903061657852159E-2</v>
      </c>
      <c r="G33" s="2"/>
      <c r="H33" s="6">
        <v>8111.98</v>
      </c>
      <c r="I33" s="2"/>
      <c r="J33" s="7">
        <f t="shared" si="21"/>
        <v>6.6780596797075487E-2</v>
      </c>
      <c r="K33" s="2"/>
      <c r="L33" s="6">
        <f t="shared" si="22"/>
        <v>728.02000000000044</v>
      </c>
      <c r="M33" s="2"/>
      <c r="N33" s="7">
        <f t="shared" si="23"/>
        <v>8.974627649476459E-2</v>
      </c>
      <c r="O33" s="11"/>
      <c r="P33" s="6">
        <v>35968</v>
      </c>
      <c r="Q33" s="2"/>
      <c r="R33" s="7">
        <f t="shared" si="24"/>
        <v>5.4781404710481915E-2</v>
      </c>
      <c r="S33" s="2"/>
      <c r="T33" s="6">
        <v>44248.89</v>
      </c>
      <c r="U33" s="2"/>
      <c r="V33" s="7">
        <f t="shared" si="25"/>
        <v>6.8570095256401717E-2</v>
      </c>
      <c r="W33" s="2"/>
      <c r="X33" s="6">
        <f t="shared" si="26"/>
        <v>-8280.89</v>
      </c>
      <c r="Y33" s="2"/>
      <c r="Z33" s="7">
        <f t="shared" si="27"/>
        <v>-0.18714345150804912</v>
      </c>
    </row>
    <row r="34" spans="1:26" s="24" customFormat="1" hidden="1" outlineLevel="2" x14ac:dyDescent="0.25">
      <c r="A34" s="26"/>
      <c r="B34" s="11" t="str">
        <f>CONCATENATE("          ", "6004", " - ", "STAFF HOURLY")</f>
        <v xml:space="preserve">          6004 - STAFF HOURLY</v>
      </c>
      <c r="C34" s="11"/>
      <c r="D34" s="6">
        <v>5392.91</v>
      </c>
      <c r="E34" s="2"/>
      <c r="F34" s="7">
        <f t="shared" si="20"/>
        <v>3.8984554326385465E-2</v>
      </c>
      <c r="G34" s="2"/>
      <c r="H34" s="6">
        <v>2490.5</v>
      </c>
      <c r="I34" s="2"/>
      <c r="J34" s="7">
        <f t="shared" si="21"/>
        <v>2.0502648715001331E-2</v>
      </c>
      <c r="K34" s="2"/>
      <c r="L34" s="6">
        <f t="shared" si="22"/>
        <v>2902.41</v>
      </c>
      <c r="M34" s="2"/>
      <c r="N34" s="7">
        <f t="shared" si="23"/>
        <v>1.1653924914675768</v>
      </c>
      <c r="O34" s="11"/>
      <c r="P34" s="6">
        <v>17013.990000000002</v>
      </c>
      <c r="Q34" s="2"/>
      <c r="R34" s="7">
        <f t="shared" si="24"/>
        <v>2.5913319393074185E-2</v>
      </c>
      <c r="S34" s="2"/>
      <c r="T34" s="6">
        <v>11122.25</v>
      </c>
      <c r="U34" s="2"/>
      <c r="V34" s="7">
        <f t="shared" si="25"/>
        <v>1.7235545162048449E-2</v>
      </c>
      <c r="W34" s="2"/>
      <c r="X34" s="6">
        <f t="shared" si="26"/>
        <v>5891.7400000000016</v>
      </c>
      <c r="Y34" s="2"/>
      <c r="Z34" s="7">
        <f t="shared" si="27"/>
        <v>0.52972555013598877</v>
      </c>
    </row>
    <row r="35" spans="1:26" s="24" customFormat="1" hidden="1" outlineLevel="2" x14ac:dyDescent="0.25">
      <c r="A35" s="26"/>
      <c r="B35" s="11" t="str">
        <f>CONCATENATE("          ", "6005", " - ", "TEMPORARY WAGES-HOURLY")</f>
        <v xml:space="preserve">          6005 - TEMPORARY WAGES-HOURLY</v>
      </c>
      <c r="C35" s="11"/>
      <c r="D35" s="6">
        <v>10106.99</v>
      </c>
      <c r="E35" s="2"/>
      <c r="F35" s="7">
        <f t="shared" si="20"/>
        <v>7.3061946283404441E-2</v>
      </c>
      <c r="G35" s="2"/>
      <c r="H35" s="6">
        <v>5087.05</v>
      </c>
      <c r="I35" s="2"/>
      <c r="J35" s="7">
        <f t="shared" si="21"/>
        <v>4.1878337340151582E-2</v>
      </c>
      <c r="K35" s="2"/>
      <c r="L35" s="6">
        <f t="shared" si="22"/>
        <v>5019.9399999999996</v>
      </c>
      <c r="M35" s="2"/>
      <c r="N35" s="7">
        <f t="shared" si="23"/>
        <v>0.98680767832044103</v>
      </c>
      <c r="O35" s="11"/>
      <c r="P35" s="6">
        <v>49771.839999999997</v>
      </c>
      <c r="Q35" s="2"/>
      <c r="R35" s="7">
        <f t="shared" si="24"/>
        <v>7.580547459478848E-2</v>
      </c>
      <c r="S35" s="2"/>
      <c r="T35" s="6">
        <v>29464.84</v>
      </c>
      <c r="U35" s="2"/>
      <c r="V35" s="7">
        <f t="shared" si="25"/>
        <v>4.566005803794481E-2</v>
      </c>
      <c r="W35" s="2"/>
      <c r="X35" s="6">
        <f t="shared" si="26"/>
        <v>20306.999999999996</v>
      </c>
      <c r="Y35" s="2"/>
      <c r="Z35" s="7">
        <f t="shared" si="27"/>
        <v>0.68919430752042077</v>
      </c>
    </row>
    <row r="36" spans="1:26" s="24" customFormat="1" hidden="1" outlineLevel="2" x14ac:dyDescent="0.25">
      <c r="A36" s="26"/>
      <c r="B36" s="11" t="str">
        <f>CONCATENATE("          ", "6006", " - ", "TEMPORARY PART TIME")</f>
        <v xml:space="preserve">          6006 - TEMPORARY PART TIME</v>
      </c>
      <c r="C36" s="11"/>
      <c r="D36" s="6">
        <v>611</v>
      </c>
      <c r="E36" s="2"/>
      <c r="F36" s="7">
        <f t="shared" si="20"/>
        <v>4.4168292616456641E-3</v>
      </c>
      <c r="G36" s="2"/>
      <c r="H36" s="6"/>
      <c r="I36" s="2"/>
      <c r="J36" s="7">
        <f t="shared" si="21"/>
        <v>0</v>
      </c>
      <c r="K36" s="2"/>
      <c r="L36" s="6">
        <f t="shared" si="22"/>
        <v>611</v>
      </c>
      <c r="M36" s="2"/>
      <c r="N36" s="7">
        <f t="shared" si="23"/>
        <v>0</v>
      </c>
      <c r="O36" s="11"/>
      <c r="P36" s="6">
        <v>6646.26</v>
      </c>
      <c r="Q36" s="2"/>
      <c r="R36" s="7">
        <f t="shared" si="24"/>
        <v>1.0122649546015557E-2</v>
      </c>
      <c r="S36" s="2"/>
      <c r="T36" s="6"/>
      <c r="U36" s="2"/>
      <c r="V36" s="7">
        <f t="shared" si="25"/>
        <v>0</v>
      </c>
      <c r="W36" s="2"/>
      <c r="X36" s="6">
        <f t="shared" si="26"/>
        <v>6646.26</v>
      </c>
      <c r="Y36" s="2"/>
      <c r="Z36" s="7">
        <f t="shared" si="27"/>
        <v>0</v>
      </c>
    </row>
    <row r="37" spans="1:26" s="24" customFormat="1" hidden="1" outlineLevel="2" x14ac:dyDescent="0.25">
      <c r="A37" s="26"/>
      <c r="B37" s="11" t="str">
        <f>CONCATENATE("          ", "6007", " - ", "STUDENT HOURLY")</f>
        <v xml:space="preserve">          6007 - STUDENT HOURLY</v>
      </c>
      <c r="C37" s="11"/>
      <c r="D37" s="6">
        <v>10480.07</v>
      </c>
      <c r="E37" s="2"/>
      <c r="F37" s="7">
        <f t="shared" si="20"/>
        <v>7.5758886808665923E-2</v>
      </c>
      <c r="G37" s="2"/>
      <c r="H37" s="6">
        <v>12410.05</v>
      </c>
      <c r="I37" s="2"/>
      <c r="J37" s="7">
        <f t="shared" si="21"/>
        <v>0.10216378064067547</v>
      </c>
      <c r="K37" s="2"/>
      <c r="L37" s="6">
        <f t="shared" si="22"/>
        <v>-1929.9799999999996</v>
      </c>
      <c r="M37" s="2"/>
      <c r="N37" s="7">
        <f t="shared" si="23"/>
        <v>-0.15551750395848524</v>
      </c>
      <c r="O37" s="11"/>
      <c r="P37" s="6">
        <v>55482.060000000005</v>
      </c>
      <c r="Q37" s="2"/>
      <c r="R37" s="7">
        <f t="shared" si="24"/>
        <v>8.4502479510432632E-2</v>
      </c>
      <c r="S37" s="2"/>
      <c r="T37" s="6">
        <v>63342.62</v>
      </c>
      <c r="U37" s="2"/>
      <c r="V37" s="7">
        <f t="shared" si="25"/>
        <v>9.8158608886913482E-2</v>
      </c>
      <c r="W37" s="2"/>
      <c r="X37" s="6">
        <f t="shared" si="26"/>
        <v>-7860.5599999999977</v>
      </c>
      <c r="Y37" s="2"/>
      <c r="Z37" s="7">
        <f t="shared" si="27"/>
        <v>-0.12409590888409727</v>
      </c>
    </row>
    <row r="38" spans="1:26" s="24" customFormat="1" hidden="1" outlineLevel="2" x14ac:dyDescent="0.25">
      <c r="A38" s="26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1081</v>
      </c>
      <c r="I38" s="2"/>
      <c r="J38" s="7">
        <f t="shared" si="21"/>
        <v>8.8991621204241866E-3</v>
      </c>
      <c r="K38" s="2"/>
      <c r="L38" s="6">
        <f t="shared" si="22"/>
        <v>-1081</v>
      </c>
      <c r="M38" s="2"/>
      <c r="N38" s="7">
        <f t="shared" si="23"/>
        <v>-1</v>
      </c>
      <c r="O38" s="11"/>
      <c r="P38" s="6">
        <v>1830</v>
      </c>
      <c r="Q38" s="2"/>
      <c r="R38" s="7">
        <f t="shared" si="24"/>
        <v>2.7871989162639543E-3</v>
      </c>
      <c r="S38" s="2"/>
      <c r="T38" s="6">
        <v>5400.21</v>
      </c>
      <c r="U38" s="2"/>
      <c r="V38" s="7">
        <f t="shared" si="25"/>
        <v>8.3684113681625257E-3</v>
      </c>
      <c r="W38" s="2"/>
      <c r="X38" s="6">
        <f t="shared" si="26"/>
        <v>-3570.21</v>
      </c>
      <c r="Y38" s="2"/>
      <c r="Z38" s="7">
        <f t="shared" si="27"/>
        <v>-0.66112428961095959</v>
      </c>
    </row>
    <row r="39" spans="1:26" s="25" customFormat="1" outlineLevel="1" collapsed="1" x14ac:dyDescent="0.25">
      <c r="A39" s="27"/>
      <c r="B39" s="13" t="str">
        <f>CONCATENATE("     ","Advertising/Promo                                 ")</f>
        <v xml:space="preserve">     Advertising/Promo                                 </v>
      </c>
      <c r="C39" s="13"/>
      <c r="D39" s="1">
        <f>SUM(OSRRefD22_2x_0)</f>
        <v>600.17999999999995</v>
      </c>
      <c r="E39" s="1"/>
      <c r="F39" s="5">
        <f t="shared" ref="F39:F47" si="28">IF(D$12=0,0,D39/D$12)</f>
        <v>4.3386130707929538E-3</v>
      </c>
      <c r="G39" s="1"/>
      <c r="H39" s="1">
        <f>SUM(OSRRefH22_2x_0)</f>
        <v>195.46</v>
      </c>
      <c r="I39" s="1"/>
      <c r="J39" s="5">
        <f t="shared" ref="J39:J47" si="29">IF(H$12=0,0,H39/H$12)</f>
        <v>1.6090936429769766E-3</v>
      </c>
      <c r="K39" s="1"/>
      <c r="L39" s="1">
        <f t="shared" ref="L39:L47" si="30">+D39-H39</f>
        <v>404.71999999999991</v>
      </c>
      <c r="M39" s="1"/>
      <c r="N39" s="5">
        <f t="shared" ref="N39:N47" si="31">IF(H39=0,0,L39/H39)</f>
        <v>2.0706026808554174</v>
      </c>
      <c r="O39" s="13"/>
      <c r="P39" s="1">
        <f>SUM(OSRRefP22_2x_0)</f>
        <v>3041.11</v>
      </c>
      <c r="Q39" s="1"/>
      <c r="R39" s="5">
        <f t="shared" ref="R39:R47" si="32">IF(P$12=0,0,P39/P$12)</f>
        <v>4.6317915279997131E-3</v>
      </c>
      <c r="S39" s="1"/>
      <c r="T39" s="1">
        <f>SUM(OSRRefT22_2x_0)</f>
        <v>3080.82</v>
      </c>
      <c r="U39" s="1"/>
      <c r="V39" s="5">
        <f t="shared" ref="V39:V47" si="33">IF(T$12=0,0,T39/T$12)</f>
        <v>4.7741789877176026E-3</v>
      </c>
      <c r="W39" s="1"/>
      <c r="X39" s="1">
        <f t="shared" ref="X39:X47" si="34">+P39-T39</f>
        <v>-39.710000000000036</v>
      </c>
      <c r="Y39" s="1"/>
      <c r="Z39" s="5">
        <f t="shared" ref="Z39:Z47" si="35">IF(T39=0,0,X39/T39)</f>
        <v>-1.288942554255037E-2</v>
      </c>
    </row>
    <row r="40" spans="1:26" s="24" customFormat="1" hidden="1" outlineLevel="2" x14ac:dyDescent="0.25">
      <c r="A40" s="26"/>
      <c r="B40" s="11" t="str">
        <f>CONCATENATE("          ", "6362", " - ", "ADVERTISING EXPENSE")</f>
        <v xml:space="preserve">          6362 - ADVERTISING EXPENSE</v>
      </c>
      <c r="C40" s="11"/>
      <c r="D40" s="6">
        <v>600.17999999999995</v>
      </c>
      <c r="E40" s="2"/>
      <c r="F40" s="7">
        <f t="shared" si="28"/>
        <v>4.3386130707929538E-3</v>
      </c>
      <c r="G40" s="2"/>
      <c r="H40" s="6">
        <v>195.46</v>
      </c>
      <c r="I40" s="2"/>
      <c r="J40" s="7">
        <f t="shared" si="29"/>
        <v>1.6090936429769766E-3</v>
      </c>
      <c r="K40" s="2"/>
      <c r="L40" s="6">
        <f t="shared" si="30"/>
        <v>404.71999999999991</v>
      </c>
      <c r="M40" s="2"/>
      <c r="N40" s="7">
        <f t="shared" si="31"/>
        <v>2.0706026808554174</v>
      </c>
      <c r="O40" s="11"/>
      <c r="P40" s="6">
        <v>3041.11</v>
      </c>
      <c r="Q40" s="2"/>
      <c r="R40" s="7">
        <f t="shared" si="32"/>
        <v>4.6317915279997131E-3</v>
      </c>
      <c r="S40" s="2"/>
      <c r="T40" s="6">
        <v>3080.82</v>
      </c>
      <c r="U40" s="2"/>
      <c r="V40" s="7">
        <f t="shared" si="33"/>
        <v>4.7741789877176026E-3</v>
      </c>
      <c r="W40" s="2"/>
      <c r="X40" s="6">
        <f t="shared" si="34"/>
        <v>-39.710000000000036</v>
      </c>
      <c r="Y40" s="2"/>
      <c r="Z40" s="7">
        <f t="shared" si="35"/>
        <v>-1.288942554255037E-2</v>
      </c>
    </row>
    <row r="41" spans="1:26" s="25" customFormat="1" outlineLevel="1" collapsed="1" x14ac:dyDescent="0.25">
      <c r="A41" s="27"/>
      <c r="B41" s="13" t="str">
        <f>CONCATENATE("     ","Bad Debts/Over/Short                              ")</f>
        <v xml:space="preserve">     Bad Debts/Over/Short                              </v>
      </c>
      <c r="C41" s="13"/>
      <c r="D41" s="1">
        <f>SUM(OSRRefD22_3x_0)</f>
        <v>-2.54</v>
      </c>
      <c r="E41" s="1"/>
      <c r="F41" s="5">
        <f t="shared" si="28"/>
        <v>-1.8361286946939424E-5</v>
      </c>
      <c r="G41" s="1"/>
      <c r="H41" s="1">
        <f>SUM(OSRRefH22_3x_0)</f>
        <v>-4.7</v>
      </c>
      <c r="I41" s="1"/>
      <c r="J41" s="5">
        <f t="shared" si="29"/>
        <v>-3.8692009219235599E-5</v>
      </c>
      <c r="K41" s="1"/>
      <c r="L41" s="1">
        <f t="shared" si="30"/>
        <v>2.16</v>
      </c>
      <c r="M41" s="1"/>
      <c r="N41" s="5">
        <f t="shared" si="31"/>
        <v>-0.45957446808510638</v>
      </c>
      <c r="O41" s="13"/>
      <c r="P41" s="1">
        <f>SUM(OSRRefP22_3x_0)</f>
        <v>1.62</v>
      </c>
      <c r="Q41" s="1"/>
      <c r="R41" s="5">
        <f t="shared" si="32"/>
        <v>2.4673564176762877E-6</v>
      </c>
      <c r="S41" s="1"/>
      <c r="T41" s="1">
        <f>SUM(OSRRefT22_3x_0)</f>
        <v>5.0199999999999996</v>
      </c>
      <c r="U41" s="1"/>
      <c r="V41" s="5">
        <f t="shared" si="33"/>
        <v>7.7792206355263738E-6</v>
      </c>
      <c r="W41" s="1"/>
      <c r="X41" s="1">
        <f t="shared" si="34"/>
        <v>-3.3999999999999995</v>
      </c>
      <c r="Y41" s="1"/>
      <c r="Z41" s="5">
        <f t="shared" si="35"/>
        <v>-0.67729083665338641</v>
      </c>
    </row>
    <row r="42" spans="1:26" s="24" customFormat="1" hidden="1" outlineLevel="2" x14ac:dyDescent="0.25">
      <c r="A42" s="26"/>
      <c r="B42" s="11" t="str">
        <f>CONCATENATE("          ", "6272", " - ", "CASH (OVER/SHORT)")</f>
        <v xml:space="preserve">          6272 - CASH (OVER/SHORT)</v>
      </c>
      <c r="C42" s="11"/>
      <c r="D42" s="6">
        <v>-2.54</v>
      </c>
      <c r="E42" s="2"/>
      <c r="F42" s="7">
        <f t="shared" si="28"/>
        <v>-1.8361286946939424E-5</v>
      </c>
      <c r="G42" s="2"/>
      <c r="H42" s="6">
        <v>-4.7</v>
      </c>
      <c r="I42" s="2"/>
      <c r="J42" s="7">
        <f t="shared" si="29"/>
        <v>-3.8692009219235599E-5</v>
      </c>
      <c r="K42" s="2"/>
      <c r="L42" s="6">
        <f t="shared" si="30"/>
        <v>2.16</v>
      </c>
      <c r="M42" s="2"/>
      <c r="N42" s="7">
        <f t="shared" si="31"/>
        <v>-0.45957446808510638</v>
      </c>
      <c r="O42" s="11"/>
      <c r="P42" s="6">
        <v>1.62</v>
      </c>
      <c r="Q42" s="2"/>
      <c r="R42" s="7">
        <f t="shared" si="32"/>
        <v>2.4673564176762877E-6</v>
      </c>
      <c r="S42" s="2"/>
      <c r="T42" s="6">
        <v>5.0199999999999996</v>
      </c>
      <c r="U42" s="2"/>
      <c r="V42" s="7">
        <f t="shared" si="33"/>
        <v>7.7792206355263738E-6</v>
      </c>
      <c r="W42" s="2"/>
      <c r="X42" s="6">
        <f t="shared" si="34"/>
        <v>-3.3999999999999995</v>
      </c>
      <c r="Y42" s="2"/>
      <c r="Z42" s="7">
        <f t="shared" si="35"/>
        <v>-0.67729083665338641</v>
      </c>
    </row>
    <row r="43" spans="1:26" s="25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SUM(OSRRefD22_4x_0)</f>
        <v>4616.08</v>
      </c>
      <c r="E43" s="1"/>
      <c r="F43" s="5">
        <f t="shared" si="28"/>
        <v>3.3368964350404776E-2</v>
      </c>
      <c r="G43" s="1"/>
      <c r="H43" s="1">
        <f>SUM(OSRRefH22_4x_0)</f>
        <v>3931.22</v>
      </c>
      <c r="I43" s="1"/>
      <c r="J43" s="5">
        <f t="shared" si="29"/>
        <v>3.236314903890284E-2</v>
      </c>
      <c r="K43" s="1"/>
      <c r="L43" s="1">
        <f t="shared" si="30"/>
        <v>684.86000000000013</v>
      </c>
      <c r="M43" s="1"/>
      <c r="N43" s="5">
        <f t="shared" si="31"/>
        <v>0.17421055041437522</v>
      </c>
      <c r="O43" s="13"/>
      <c r="P43" s="1">
        <f>SUM(OSRRefP22_4x_0)</f>
        <v>23499.670000000002</v>
      </c>
      <c r="Q43" s="1"/>
      <c r="R43" s="5">
        <f t="shared" si="32"/>
        <v>3.5791396041836378E-2</v>
      </c>
      <c r="S43" s="1"/>
      <c r="T43" s="1">
        <f>SUM(OSRRefT22_4x_0)</f>
        <v>21907.91</v>
      </c>
      <c r="U43" s="1"/>
      <c r="V43" s="5">
        <f t="shared" si="33"/>
        <v>3.3949495130130403E-2</v>
      </c>
      <c r="W43" s="1"/>
      <c r="X43" s="1">
        <f t="shared" si="34"/>
        <v>1591.760000000002</v>
      </c>
      <c r="Y43" s="1"/>
      <c r="Z43" s="5">
        <f t="shared" si="35"/>
        <v>7.2656862293117061E-2</v>
      </c>
    </row>
    <row r="44" spans="1:26" s="24" customFormat="1" hidden="1" outlineLevel="2" x14ac:dyDescent="0.25">
      <c r="A44" s="26"/>
      <c r="B44" s="11" t="str">
        <f>CONCATENATE("          ", "6381", " - ", "BANK/CREDIT CARD FEES")</f>
        <v xml:space="preserve">          6381 - BANK/CREDIT CARD FEES</v>
      </c>
      <c r="C44" s="11"/>
      <c r="D44" s="6">
        <v>4616.08</v>
      </c>
      <c r="E44" s="2"/>
      <c r="F44" s="7">
        <f t="shared" si="28"/>
        <v>3.3368964350404776E-2</v>
      </c>
      <c r="G44" s="2"/>
      <c r="H44" s="6">
        <v>3931.22</v>
      </c>
      <c r="I44" s="2"/>
      <c r="J44" s="7">
        <f t="shared" si="29"/>
        <v>3.236314903890284E-2</v>
      </c>
      <c r="K44" s="2"/>
      <c r="L44" s="6">
        <f t="shared" si="30"/>
        <v>684.86000000000013</v>
      </c>
      <c r="M44" s="2"/>
      <c r="N44" s="7">
        <f t="shared" si="31"/>
        <v>0.17421055041437522</v>
      </c>
      <c r="O44" s="11"/>
      <c r="P44" s="6">
        <v>23499.670000000002</v>
      </c>
      <c r="Q44" s="2"/>
      <c r="R44" s="7">
        <f t="shared" si="32"/>
        <v>3.5791396041836378E-2</v>
      </c>
      <c r="S44" s="2"/>
      <c r="T44" s="6">
        <v>21907.91</v>
      </c>
      <c r="U44" s="2"/>
      <c r="V44" s="7">
        <f t="shared" si="33"/>
        <v>3.3949495130130403E-2</v>
      </c>
      <c r="W44" s="2"/>
      <c r="X44" s="6">
        <f t="shared" si="34"/>
        <v>1591.760000000002</v>
      </c>
      <c r="Y44" s="2"/>
      <c r="Z44" s="7">
        <f t="shared" si="35"/>
        <v>7.2656862293117061E-2</v>
      </c>
    </row>
    <row r="45" spans="1:26" s="25" customFormat="1" outlineLevel="1" collapsed="1" x14ac:dyDescent="0.25">
      <c r="A45" s="27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SUM(OSRRefD22_5x_0)</f>
        <v>8263.4700000000012</v>
      </c>
      <c r="E45" s="1"/>
      <c r="F45" s="5">
        <f t="shared" si="28"/>
        <v>5.9735410963553358E-2</v>
      </c>
      <c r="G45" s="1"/>
      <c r="H45" s="1">
        <f>SUM(OSRRefH22_5x_0)</f>
        <v>8410.08</v>
      </c>
      <c r="I45" s="1"/>
      <c r="J45" s="5">
        <f t="shared" si="29"/>
        <v>6.9234658062661464E-2</v>
      </c>
      <c r="K45" s="1"/>
      <c r="L45" s="1">
        <f t="shared" si="30"/>
        <v>-146.60999999999876</v>
      </c>
      <c r="M45" s="1"/>
      <c r="N45" s="5">
        <f t="shared" si="31"/>
        <v>-1.7432652245876229E-2</v>
      </c>
      <c r="O45" s="13"/>
      <c r="P45" s="1">
        <f>SUM(OSRRefP22_5x_0)</f>
        <v>41317.35</v>
      </c>
      <c r="Q45" s="1"/>
      <c r="R45" s="5">
        <f t="shared" si="32"/>
        <v>6.2928783138195901E-2</v>
      </c>
      <c r="S45" s="1"/>
      <c r="T45" s="1">
        <f>SUM(OSRRefT22_5x_0)</f>
        <v>42050.400000000001</v>
      </c>
      <c r="U45" s="1"/>
      <c r="V45" s="5">
        <f t="shared" si="33"/>
        <v>6.5163215022338294E-2</v>
      </c>
      <c r="W45" s="1"/>
      <c r="X45" s="1">
        <f t="shared" si="34"/>
        <v>-733.05000000000291</v>
      </c>
      <c r="Y45" s="1"/>
      <c r="Z45" s="5">
        <f t="shared" si="35"/>
        <v>-1.7432652245876444E-2</v>
      </c>
    </row>
    <row r="46" spans="1:26" s="24" customFormat="1" hidden="1" outlineLevel="2" x14ac:dyDescent="0.25">
      <c r="A46" s="26"/>
      <c r="B46" s="11" t="str">
        <f>CONCATENATE("          ", "6321", " - ", "BUILDING DEPRECIATION")</f>
        <v xml:space="preserve">          6321 - BUILDING DEPRECIATION</v>
      </c>
      <c r="C46" s="11"/>
      <c r="D46" s="6">
        <v>6537.05</v>
      </c>
      <c r="E46" s="2"/>
      <c r="F46" s="7">
        <f t="shared" si="28"/>
        <v>4.7255374345074944E-2</v>
      </c>
      <c r="G46" s="2"/>
      <c r="H46" s="6">
        <v>6537.05</v>
      </c>
      <c r="I46" s="2"/>
      <c r="J46" s="7">
        <f t="shared" si="29"/>
        <v>5.381523380140512E-2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>
        <v>32685.25</v>
      </c>
      <c r="Q46" s="2"/>
      <c r="R46" s="7">
        <f t="shared" si="32"/>
        <v>4.9781581080773997E-2</v>
      </c>
      <c r="S46" s="2"/>
      <c r="T46" s="6">
        <v>32685.25</v>
      </c>
      <c r="U46" s="2"/>
      <c r="V46" s="7">
        <f t="shared" si="33"/>
        <v>5.0650552047278571E-2</v>
      </c>
      <c r="W46" s="2"/>
      <c r="X46" s="6">
        <f t="shared" si="34"/>
        <v>0</v>
      </c>
      <c r="Y46" s="2"/>
      <c r="Z46" s="7">
        <f t="shared" si="35"/>
        <v>0</v>
      </c>
    </row>
    <row r="47" spans="1:26" s="24" customFormat="1" hidden="1" outlineLevel="2" x14ac:dyDescent="0.25">
      <c r="A47" s="26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1726.42</v>
      </c>
      <c r="E47" s="2"/>
      <c r="F47" s="7">
        <f t="shared" si="28"/>
        <v>1.2480036618478409E-2</v>
      </c>
      <c r="G47" s="2"/>
      <c r="H47" s="6">
        <v>1873.03</v>
      </c>
      <c r="I47" s="2"/>
      <c r="J47" s="7">
        <f t="shared" si="29"/>
        <v>1.5419424261256351E-2</v>
      </c>
      <c r="K47" s="2"/>
      <c r="L47" s="6">
        <f t="shared" si="30"/>
        <v>-146.6099999999999</v>
      </c>
      <c r="M47" s="2"/>
      <c r="N47" s="7">
        <f t="shared" si="31"/>
        <v>-7.827424013496842E-2</v>
      </c>
      <c r="O47" s="11"/>
      <c r="P47" s="6">
        <v>8632.1</v>
      </c>
      <c r="Q47" s="2"/>
      <c r="R47" s="7">
        <f t="shared" si="32"/>
        <v>1.3147202057421902E-2</v>
      </c>
      <c r="S47" s="2"/>
      <c r="T47" s="6">
        <v>9365.15</v>
      </c>
      <c r="U47" s="2"/>
      <c r="V47" s="7">
        <f t="shared" si="33"/>
        <v>1.4512662975059725E-2</v>
      </c>
      <c r="W47" s="2"/>
      <c r="X47" s="6">
        <f t="shared" si="34"/>
        <v>-733.04999999999927</v>
      </c>
      <c r="Y47" s="2"/>
      <c r="Z47" s="7">
        <f t="shared" si="35"/>
        <v>-7.8274240134968393E-2</v>
      </c>
    </row>
    <row r="48" spans="1:26" s="25" customFormat="1" outlineLevel="1" collapsed="1" x14ac:dyDescent="0.25">
      <c r="A48" s="27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SUM(OSRRefD22_6x_0)</f>
        <v>0</v>
      </c>
      <c r="E48" s="1"/>
      <c r="F48" s="5">
        <f t="shared" ref="F48:F56" si="36">IF(D$12=0,0,D48/D$12)</f>
        <v>0</v>
      </c>
      <c r="G48" s="1"/>
      <c r="H48" s="1">
        <f>SUM(OSRRefH22_6x_0)</f>
        <v>62</v>
      </c>
      <c r="I48" s="1"/>
      <c r="J48" s="5">
        <f t="shared" ref="J48:J56" si="37">IF(H$12=0,0,H48/H$12)</f>
        <v>5.1040522799842701E-4</v>
      </c>
      <c r="K48" s="1"/>
      <c r="L48" s="1">
        <f t="shared" ref="L48:L56" si="38">+D48-H48</f>
        <v>-62</v>
      </c>
      <c r="M48" s="1"/>
      <c r="N48" s="5">
        <f t="shared" ref="N48:N56" si="39">IF(H48=0,0,L48/H48)</f>
        <v>-1</v>
      </c>
      <c r="O48" s="13"/>
      <c r="P48" s="1">
        <f>SUM(OSRRefP22_6x_0)</f>
        <v>0</v>
      </c>
      <c r="Q48" s="1"/>
      <c r="R48" s="5">
        <f t="shared" ref="R48:R56" si="40">IF(P$12=0,0,P48/P$12)</f>
        <v>0</v>
      </c>
      <c r="S48" s="1"/>
      <c r="T48" s="1">
        <f>SUM(OSRRefT22_6x_0)</f>
        <v>62</v>
      </c>
      <c r="U48" s="1"/>
      <c r="V48" s="5">
        <f t="shared" ref="V48:V56" si="41">IF(T$12=0,0,T48/T$12)</f>
        <v>9.6078023785385497E-5</v>
      </c>
      <c r="W48" s="1"/>
      <c r="X48" s="1">
        <f t="shared" ref="X48:X56" si="42">+P48-T48</f>
        <v>-62</v>
      </c>
      <c r="Y48" s="1"/>
      <c r="Z48" s="5">
        <f t="shared" ref="Z48:Z56" si="43">IF(T48=0,0,X48/T48)</f>
        <v>-1</v>
      </c>
    </row>
    <row r="49" spans="1:26" s="24" customFormat="1" hidden="1" outlineLevel="2" x14ac:dyDescent="0.25">
      <c r="A49" s="26"/>
      <c r="B49" s="11" t="str">
        <f>CONCATENATE("          ", "6399", " - ", "DONATION-ON CAMPUS")</f>
        <v xml:space="preserve">          6399 - DONATION-ON CAMPUS</v>
      </c>
      <c r="C49" s="11"/>
      <c r="D49" s="6"/>
      <c r="E49" s="2"/>
      <c r="F49" s="7">
        <f t="shared" si="36"/>
        <v>0</v>
      </c>
      <c r="G49" s="2"/>
      <c r="H49" s="6">
        <v>62</v>
      </c>
      <c r="I49" s="2"/>
      <c r="J49" s="7">
        <f t="shared" si="37"/>
        <v>5.1040522799842701E-4</v>
      </c>
      <c r="K49" s="2"/>
      <c r="L49" s="6">
        <f t="shared" si="38"/>
        <v>-62</v>
      </c>
      <c r="M49" s="2"/>
      <c r="N49" s="7">
        <f t="shared" si="39"/>
        <v>-1</v>
      </c>
      <c r="O49" s="11"/>
      <c r="P49" s="6"/>
      <c r="Q49" s="2"/>
      <c r="R49" s="7">
        <f t="shared" si="40"/>
        <v>0</v>
      </c>
      <c r="S49" s="2"/>
      <c r="T49" s="6">
        <v>62</v>
      </c>
      <c r="U49" s="2"/>
      <c r="V49" s="7">
        <f t="shared" si="41"/>
        <v>9.6078023785385497E-5</v>
      </c>
      <c r="W49" s="2"/>
      <c r="X49" s="6">
        <f t="shared" si="42"/>
        <v>-62</v>
      </c>
      <c r="Y49" s="2"/>
      <c r="Z49" s="7">
        <f t="shared" si="43"/>
        <v>-1</v>
      </c>
    </row>
    <row r="50" spans="1:26" s="25" customFormat="1" outlineLevel="1" collapsed="1" x14ac:dyDescent="0.25">
      <c r="A50" s="27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SUM(OSRRefD22_7x_0)</f>
        <v>0</v>
      </c>
      <c r="E50" s="1"/>
      <c r="F50" s="5">
        <f t="shared" si="36"/>
        <v>0</v>
      </c>
      <c r="G50" s="1"/>
      <c r="H50" s="1">
        <f>SUM(OSRRefH22_7x_0)</f>
        <v>155.5</v>
      </c>
      <c r="I50" s="1"/>
      <c r="J50" s="5">
        <f t="shared" si="37"/>
        <v>1.2801292411896033E-3</v>
      </c>
      <c r="K50" s="1"/>
      <c r="L50" s="1">
        <f t="shared" si="38"/>
        <v>-155.5</v>
      </c>
      <c r="M50" s="1"/>
      <c r="N50" s="5">
        <f t="shared" si="39"/>
        <v>-1</v>
      </c>
      <c r="O50" s="13"/>
      <c r="P50" s="1">
        <f>SUM(OSRRefP22_7x_0)</f>
        <v>8.25</v>
      </c>
      <c r="Q50" s="1"/>
      <c r="R50" s="5">
        <f t="shared" si="40"/>
        <v>1.2565241015944057E-5</v>
      </c>
      <c r="S50" s="1"/>
      <c r="T50" s="1">
        <f>SUM(OSRRefT22_7x_0)</f>
        <v>155.5</v>
      </c>
      <c r="U50" s="1"/>
      <c r="V50" s="5">
        <f t="shared" si="41"/>
        <v>2.4096988223592654E-4</v>
      </c>
      <c r="W50" s="1"/>
      <c r="X50" s="1">
        <f t="shared" si="42"/>
        <v>-147.25</v>
      </c>
      <c r="Y50" s="1"/>
      <c r="Z50" s="5">
        <f t="shared" si="43"/>
        <v>-0.94694533762057875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36"/>
        <v>0</v>
      </c>
      <c r="G51" s="2"/>
      <c r="H51" s="6">
        <v>155.5</v>
      </c>
      <c r="I51" s="2"/>
      <c r="J51" s="7">
        <f t="shared" si="37"/>
        <v>1.2801292411896033E-3</v>
      </c>
      <c r="K51" s="2"/>
      <c r="L51" s="6">
        <f t="shared" si="38"/>
        <v>-155.5</v>
      </c>
      <c r="M51" s="2"/>
      <c r="N51" s="7">
        <f t="shared" si="39"/>
        <v>-1</v>
      </c>
      <c r="O51" s="11"/>
      <c r="P51" s="6">
        <v>8.25</v>
      </c>
      <c r="Q51" s="2"/>
      <c r="R51" s="7">
        <f t="shared" si="40"/>
        <v>1.2565241015944057E-5</v>
      </c>
      <c r="S51" s="2"/>
      <c r="T51" s="6">
        <v>155.5</v>
      </c>
      <c r="U51" s="2"/>
      <c r="V51" s="7">
        <f t="shared" si="41"/>
        <v>2.4096988223592654E-4</v>
      </c>
      <c r="W51" s="2"/>
      <c r="X51" s="6">
        <f t="shared" si="42"/>
        <v>-147.25</v>
      </c>
      <c r="Y51" s="2"/>
      <c r="Z51" s="7">
        <f t="shared" si="43"/>
        <v>-0.94694533762057875</v>
      </c>
    </row>
    <row r="52" spans="1:26" s="25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SUM(OSRRefD22_8x_0)</f>
        <v>251.44</v>
      </c>
      <c r="E52" s="1"/>
      <c r="F52" s="5">
        <f t="shared" si="36"/>
        <v>1.8176228306844284E-3</v>
      </c>
      <c r="G52" s="1"/>
      <c r="H52" s="1">
        <f>SUM(OSRRefH22_8x_0)</f>
        <v>0</v>
      </c>
      <c r="I52" s="1"/>
      <c r="J52" s="5">
        <f t="shared" si="37"/>
        <v>0</v>
      </c>
      <c r="K52" s="1"/>
      <c r="L52" s="1">
        <f t="shared" si="38"/>
        <v>251.44</v>
      </c>
      <c r="M52" s="1"/>
      <c r="N52" s="5">
        <f t="shared" si="39"/>
        <v>0</v>
      </c>
      <c r="O52" s="13"/>
      <c r="P52" s="1">
        <f>SUM(OSRRefP22_8x_0)</f>
        <v>2212.6799999999998</v>
      </c>
      <c r="Q52" s="1"/>
      <c r="R52" s="5">
        <f t="shared" si="40"/>
        <v>3.3700433322617082E-3</v>
      </c>
      <c r="S52" s="1"/>
      <c r="T52" s="1">
        <f>SUM(OSRRefT22_8x_0)</f>
        <v>0</v>
      </c>
      <c r="U52" s="1"/>
      <c r="V52" s="5">
        <f t="shared" si="41"/>
        <v>0</v>
      </c>
      <c r="W52" s="1"/>
      <c r="X52" s="1">
        <f t="shared" si="42"/>
        <v>2212.6799999999998</v>
      </c>
      <c r="Y52" s="1"/>
      <c r="Z52" s="5">
        <f t="shared" si="43"/>
        <v>0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6">
        <v>251.44</v>
      </c>
      <c r="E53" s="2"/>
      <c r="F53" s="7">
        <f t="shared" si="36"/>
        <v>1.8176228306844284E-3</v>
      </c>
      <c r="G53" s="2"/>
      <c r="H53" s="6"/>
      <c r="I53" s="2"/>
      <c r="J53" s="7">
        <f t="shared" si="37"/>
        <v>0</v>
      </c>
      <c r="K53" s="2"/>
      <c r="L53" s="6">
        <f t="shared" si="38"/>
        <v>251.44</v>
      </c>
      <c r="M53" s="2"/>
      <c r="N53" s="7">
        <f t="shared" si="39"/>
        <v>0</v>
      </c>
      <c r="O53" s="11"/>
      <c r="P53" s="6">
        <v>2212.6799999999998</v>
      </c>
      <c r="Q53" s="2"/>
      <c r="R53" s="7">
        <f t="shared" si="40"/>
        <v>3.3700433322617082E-3</v>
      </c>
      <c r="S53" s="2"/>
      <c r="T53" s="6"/>
      <c r="U53" s="2"/>
      <c r="V53" s="7">
        <f t="shared" si="41"/>
        <v>0</v>
      </c>
      <c r="W53" s="2"/>
      <c r="X53" s="6">
        <f t="shared" si="42"/>
        <v>2212.6799999999998</v>
      </c>
      <c r="Y53" s="2"/>
      <c r="Z53" s="7">
        <f t="shared" si="43"/>
        <v>0</v>
      </c>
    </row>
    <row r="54" spans="1:26" s="25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SUM(OSRRefD22_9x_0)</f>
        <v>651.57000000000005</v>
      </c>
      <c r="E54" s="1"/>
      <c r="F54" s="5">
        <f t="shared" si="36"/>
        <v>4.7101038330776852E-3</v>
      </c>
      <c r="G54" s="1"/>
      <c r="H54" s="1">
        <f>SUM(OSRRefH22_9x_0)</f>
        <v>300</v>
      </c>
      <c r="I54" s="1"/>
      <c r="J54" s="5">
        <f t="shared" si="37"/>
        <v>2.4697027161214211E-3</v>
      </c>
      <c r="K54" s="1"/>
      <c r="L54" s="1">
        <f t="shared" si="38"/>
        <v>351.57000000000005</v>
      </c>
      <c r="M54" s="1"/>
      <c r="N54" s="5">
        <f t="shared" si="39"/>
        <v>1.1719000000000002</v>
      </c>
      <c r="O54" s="13"/>
      <c r="P54" s="1">
        <f>SUM(OSRRefP22_9x_0)</f>
        <v>7411.62</v>
      </c>
      <c r="Q54" s="1"/>
      <c r="R54" s="5">
        <f t="shared" si="40"/>
        <v>1.1288338378011065E-2</v>
      </c>
      <c r="S54" s="1"/>
      <c r="T54" s="1">
        <f>SUM(OSRRefT22_9x_0)</f>
        <v>5743.57</v>
      </c>
      <c r="U54" s="1"/>
      <c r="V54" s="5">
        <f t="shared" si="41"/>
        <v>8.9004976624681709E-3</v>
      </c>
      <c r="W54" s="1"/>
      <c r="X54" s="1">
        <f t="shared" si="42"/>
        <v>1668.0500000000002</v>
      </c>
      <c r="Y54" s="1"/>
      <c r="Z54" s="5">
        <f t="shared" si="43"/>
        <v>0.29042041796304396</v>
      </c>
    </row>
    <row r="55" spans="1:26" s="24" customFormat="1" hidden="1" outlineLevel="2" x14ac:dyDescent="0.25">
      <c r="A55" s="26"/>
      <c r="B55" s="11" t="str">
        <f>CONCATENATE("          ", "6269", " - ", "ENTERTAINMENT")</f>
        <v xml:space="preserve">          6269 - ENTERTAINMENT</v>
      </c>
      <c r="C55" s="11"/>
      <c r="D55" s="6">
        <v>600</v>
      </c>
      <c r="E55" s="2"/>
      <c r="F55" s="7">
        <f t="shared" si="36"/>
        <v>4.3373118772297853E-3</v>
      </c>
      <c r="G55" s="2"/>
      <c r="H55" s="6">
        <v>300</v>
      </c>
      <c r="I55" s="2"/>
      <c r="J55" s="7">
        <f t="shared" si="37"/>
        <v>2.4697027161214211E-3</v>
      </c>
      <c r="K55" s="2"/>
      <c r="L55" s="6">
        <f t="shared" si="38"/>
        <v>300</v>
      </c>
      <c r="M55" s="2"/>
      <c r="N55" s="7">
        <f t="shared" si="39"/>
        <v>1</v>
      </c>
      <c r="O55" s="11"/>
      <c r="P55" s="6">
        <v>6100</v>
      </c>
      <c r="Q55" s="2"/>
      <c r="R55" s="7">
        <f t="shared" si="40"/>
        <v>9.2906630542131819E-3</v>
      </c>
      <c r="S55" s="2"/>
      <c r="T55" s="6">
        <v>4360</v>
      </c>
      <c r="U55" s="2"/>
      <c r="V55" s="7">
        <f t="shared" si="41"/>
        <v>6.756454575875496E-3</v>
      </c>
      <c r="W55" s="2"/>
      <c r="X55" s="6">
        <f t="shared" si="42"/>
        <v>1740</v>
      </c>
      <c r="Y55" s="2"/>
      <c r="Z55" s="7">
        <f t="shared" si="43"/>
        <v>0.39908256880733944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>
        <v>51.57</v>
      </c>
      <c r="E56" s="2"/>
      <c r="F56" s="7">
        <f t="shared" si="36"/>
        <v>3.7279195584790005E-4</v>
      </c>
      <c r="G56" s="2"/>
      <c r="H56" s="6"/>
      <c r="I56" s="2"/>
      <c r="J56" s="7">
        <f t="shared" si="37"/>
        <v>0</v>
      </c>
      <c r="K56" s="2"/>
      <c r="L56" s="6">
        <f t="shared" si="38"/>
        <v>51.57</v>
      </c>
      <c r="M56" s="2"/>
      <c r="N56" s="7">
        <f t="shared" si="39"/>
        <v>0</v>
      </c>
      <c r="O56" s="11"/>
      <c r="P56" s="6">
        <v>1311.62</v>
      </c>
      <c r="Q56" s="2"/>
      <c r="R56" s="7">
        <f t="shared" si="40"/>
        <v>1.9976753237978839E-3</v>
      </c>
      <c r="S56" s="2"/>
      <c r="T56" s="6">
        <v>1383.57</v>
      </c>
      <c r="U56" s="2"/>
      <c r="V56" s="7">
        <f t="shared" si="41"/>
        <v>2.1440430865926744E-3</v>
      </c>
      <c r="W56" s="2"/>
      <c r="X56" s="6">
        <f t="shared" si="42"/>
        <v>-71.950000000000045</v>
      </c>
      <c r="Y56" s="2"/>
      <c r="Z56" s="7">
        <f t="shared" si="43"/>
        <v>-5.2003151268096334E-2</v>
      </c>
    </row>
    <row r="57" spans="1:26" s="25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0</v>
      </c>
      <c r="E57" s="1"/>
      <c r="F57" s="5">
        <f t="shared" ref="F57:F60" si="44">IF(D$12=0,0,D57/D$12)</f>
        <v>0</v>
      </c>
      <c r="G57" s="1"/>
      <c r="H57" s="1">
        <f>SUM(OSRRefH22_10x_0)</f>
        <v>549.49</v>
      </c>
      <c r="I57" s="1"/>
      <c r="J57" s="5">
        <f t="shared" ref="J57:J60" si="45">IF(H$12=0,0,H57/H$12)</f>
        <v>4.5235898182718658E-3</v>
      </c>
      <c r="K57" s="1"/>
      <c r="L57" s="1">
        <f t="shared" ref="L57:L60" si="46">+D57-H57</f>
        <v>-549.49</v>
      </c>
      <c r="M57" s="1"/>
      <c r="N57" s="5">
        <f t="shared" ref="N57:N60" si="47">IF(H57=0,0,L57/H57)</f>
        <v>-1</v>
      </c>
      <c r="O57" s="13"/>
      <c r="P57" s="1">
        <f>SUM(OSRRefP22_10x_0)</f>
        <v>11849.689999999999</v>
      </c>
      <c r="Q57" s="1"/>
      <c r="R57" s="5">
        <f t="shared" ref="R57:R60" si="48">IF(P$12=0,0,P57/P$12)</f>
        <v>1.804778312899662E-2</v>
      </c>
      <c r="S57" s="1"/>
      <c r="T57" s="1">
        <f>SUM(OSRRefT22_10x_0)</f>
        <v>4555.6799999999994</v>
      </c>
      <c r="U57" s="1"/>
      <c r="V57" s="5">
        <f t="shared" ref="V57:V60" si="49">IF(T$12=0,0,T57/T$12)</f>
        <v>7.0596892161065312E-3</v>
      </c>
      <c r="W57" s="1"/>
      <c r="X57" s="1">
        <f t="shared" ref="X57:X60" si="50">+P57-T57</f>
        <v>7294.0099999999993</v>
      </c>
      <c r="Y57" s="1"/>
      <c r="Z57" s="5">
        <f t="shared" ref="Z57:Z60" si="51">IF(T57=0,0,X57/T57)</f>
        <v>1.6010804095107647</v>
      </c>
    </row>
    <row r="58" spans="1:26" s="24" customFormat="1" hidden="1" outlineLevel="2" x14ac:dyDescent="0.25">
      <c r="A58" s="26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44"/>
        <v>0</v>
      </c>
      <c r="G58" s="2"/>
      <c r="H58" s="6"/>
      <c r="I58" s="2"/>
      <c r="J58" s="7">
        <f t="shared" si="45"/>
        <v>0</v>
      </c>
      <c r="K58" s="2"/>
      <c r="L58" s="6">
        <f t="shared" si="46"/>
        <v>0</v>
      </c>
      <c r="M58" s="2"/>
      <c r="N58" s="7">
        <f t="shared" si="47"/>
        <v>0</v>
      </c>
      <c r="O58" s="11"/>
      <c r="P58" s="6">
        <v>2623.85</v>
      </c>
      <c r="Q58" s="2"/>
      <c r="R58" s="7">
        <f t="shared" si="48"/>
        <v>3.9962797139011892E-3</v>
      </c>
      <c r="S58" s="2"/>
      <c r="T58" s="6"/>
      <c r="U58" s="2"/>
      <c r="V58" s="7">
        <f t="shared" si="49"/>
        <v>0</v>
      </c>
      <c r="W58" s="2"/>
      <c r="X58" s="6">
        <f t="shared" si="50"/>
        <v>2623.85</v>
      </c>
      <c r="Y58" s="2"/>
      <c r="Z58" s="7">
        <f t="shared" si="51"/>
        <v>0</v>
      </c>
    </row>
    <row r="59" spans="1:26" s="24" customFormat="1" hidden="1" outlineLevel="2" x14ac:dyDescent="0.25">
      <c r="A59" s="26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44"/>
        <v>0</v>
      </c>
      <c r="G59" s="2"/>
      <c r="H59" s="6"/>
      <c r="I59" s="2"/>
      <c r="J59" s="7">
        <f t="shared" si="45"/>
        <v>0</v>
      </c>
      <c r="K59" s="2"/>
      <c r="L59" s="6">
        <f t="shared" si="46"/>
        <v>0</v>
      </c>
      <c r="M59" s="2"/>
      <c r="N59" s="7">
        <f t="shared" si="47"/>
        <v>0</v>
      </c>
      <c r="O59" s="11"/>
      <c r="P59" s="6">
        <v>189.04</v>
      </c>
      <c r="Q59" s="2"/>
      <c r="R59" s="7">
        <f t="shared" si="48"/>
        <v>2.8791917110958357E-4</v>
      </c>
      <c r="S59" s="2"/>
      <c r="T59" s="6">
        <v>188.2</v>
      </c>
      <c r="U59" s="2"/>
      <c r="V59" s="7">
        <f t="shared" si="49"/>
        <v>2.9164329155499273E-4</v>
      </c>
      <c r="W59" s="2"/>
      <c r="X59" s="6">
        <f t="shared" si="50"/>
        <v>0.84000000000000341</v>
      </c>
      <c r="Y59" s="2"/>
      <c r="Z59" s="7">
        <f t="shared" si="51"/>
        <v>4.4633368756642052E-3</v>
      </c>
    </row>
    <row r="60" spans="1:26" s="24" customFormat="1" hidden="1" outlineLevel="2" x14ac:dyDescent="0.25">
      <c r="A60" s="26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44"/>
        <v>0</v>
      </c>
      <c r="G60" s="2"/>
      <c r="H60" s="6">
        <v>549.49</v>
      </c>
      <c r="I60" s="2"/>
      <c r="J60" s="7">
        <f t="shared" si="45"/>
        <v>4.5235898182718658E-3</v>
      </c>
      <c r="K60" s="2"/>
      <c r="L60" s="6">
        <f t="shared" si="46"/>
        <v>-549.49</v>
      </c>
      <c r="M60" s="2"/>
      <c r="N60" s="7">
        <f t="shared" si="47"/>
        <v>-1</v>
      </c>
      <c r="O60" s="11"/>
      <c r="P60" s="6">
        <v>9036.7999999999993</v>
      </c>
      <c r="Q60" s="2"/>
      <c r="R60" s="7">
        <f t="shared" si="48"/>
        <v>1.3763584243985848E-2</v>
      </c>
      <c r="S60" s="2"/>
      <c r="T60" s="6">
        <v>4367.4799999999996</v>
      </c>
      <c r="U60" s="2"/>
      <c r="V60" s="7">
        <f t="shared" si="49"/>
        <v>6.7680459245515389E-3</v>
      </c>
      <c r="W60" s="2"/>
      <c r="X60" s="6">
        <f t="shared" si="50"/>
        <v>4669.32</v>
      </c>
      <c r="Y60" s="2"/>
      <c r="Z60" s="7">
        <f t="shared" si="51"/>
        <v>1.069110791577752</v>
      </c>
    </row>
    <row r="61" spans="1:26" s="25" customFormat="1" outlineLevel="1" collapsed="1" x14ac:dyDescent="0.25">
      <c r="A61" s="27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SUM(OSRRefD22_11x_0)</f>
        <v>177.45</v>
      </c>
      <c r="E61" s="1"/>
      <c r="F61" s="5">
        <f t="shared" ref="F61:F64" si="52">IF(D$12=0,0,D61/D$12)</f>
        <v>1.2827599876907088E-3</v>
      </c>
      <c r="G61" s="1"/>
      <c r="H61" s="1">
        <f>SUM(OSRRefH22_11x_0)</f>
        <v>213.6</v>
      </c>
      <c r="I61" s="1"/>
      <c r="J61" s="5">
        <f t="shared" ref="J61:J64" si="53">IF(H$12=0,0,H61/H$12)</f>
        <v>1.7584283338784518E-3</v>
      </c>
      <c r="K61" s="1"/>
      <c r="L61" s="1">
        <f t="shared" ref="L61:L64" si="54">+D61-H61</f>
        <v>-36.150000000000006</v>
      </c>
      <c r="M61" s="1"/>
      <c r="N61" s="5">
        <f t="shared" ref="N61:N64" si="55">IF(H61=0,0,L61/H61)</f>
        <v>-0.1692415730337079</v>
      </c>
      <c r="O61" s="13"/>
      <c r="P61" s="1">
        <f>SUM(OSRRefP22_11x_0)</f>
        <v>1483.45</v>
      </c>
      <c r="Q61" s="1"/>
      <c r="R61" s="5">
        <f t="shared" ref="R61:R64" si="56">IF(P$12=0,0,P61/P$12)</f>
        <v>2.2593826406184497E-3</v>
      </c>
      <c r="S61" s="1"/>
      <c r="T61" s="1">
        <f>SUM(OSRRefT22_11x_0)</f>
        <v>1277.02</v>
      </c>
      <c r="U61" s="1"/>
      <c r="V61" s="5">
        <f t="shared" ref="V61:V64" si="57">IF(T$12=0,0,T61/T$12)</f>
        <v>1.9789283537808545E-3</v>
      </c>
      <c r="W61" s="1"/>
      <c r="X61" s="1">
        <f t="shared" ref="X61:X64" si="58">+P61-T61</f>
        <v>206.43000000000006</v>
      </c>
      <c r="Y61" s="1"/>
      <c r="Z61" s="5">
        <f t="shared" ref="Z61:Z64" si="59">IF(T61=0,0,X61/T61)</f>
        <v>0.161649778390315</v>
      </c>
    </row>
    <row r="62" spans="1:26" s="24" customFormat="1" hidden="1" outlineLevel="2" x14ac:dyDescent="0.25">
      <c r="A62" s="26"/>
      <c r="B62" s="11" t="str">
        <f>CONCATENATE("          ", "6283", " - ", "PLANT SERVICE")</f>
        <v xml:space="preserve">          6283 - PLANT SERVICE</v>
      </c>
      <c r="C62" s="11"/>
      <c r="D62" s="6">
        <v>39.75</v>
      </c>
      <c r="E62" s="2"/>
      <c r="F62" s="7">
        <f t="shared" si="52"/>
        <v>2.8734691186647324E-4</v>
      </c>
      <c r="G62" s="2"/>
      <c r="H62" s="6">
        <v>30</v>
      </c>
      <c r="I62" s="2"/>
      <c r="J62" s="7">
        <f t="shared" si="53"/>
        <v>2.4697027161214212E-4</v>
      </c>
      <c r="K62" s="2"/>
      <c r="L62" s="6">
        <f t="shared" si="54"/>
        <v>9.75</v>
      </c>
      <c r="M62" s="2"/>
      <c r="N62" s="7">
        <f t="shared" si="55"/>
        <v>0.32500000000000001</v>
      </c>
      <c r="O62" s="11"/>
      <c r="P62" s="6">
        <v>159</v>
      </c>
      <c r="Q62" s="2"/>
      <c r="R62" s="7">
        <f t="shared" si="56"/>
        <v>2.4216646321637637E-4</v>
      </c>
      <c r="S62" s="2"/>
      <c r="T62" s="6">
        <v>150</v>
      </c>
      <c r="U62" s="2"/>
      <c r="V62" s="7">
        <f t="shared" si="57"/>
        <v>2.3244683173883588E-4</v>
      </c>
      <c r="W62" s="2"/>
      <c r="X62" s="6">
        <f t="shared" si="58"/>
        <v>9</v>
      </c>
      <c r="Y62" s="2"/>
      <c r="Z62" s="7">
        <f t="shared" si="59"/>
        <v>0.06</v>
      </c>
    </row>
    <row r="63" spans="1:26" s="24" customFormat="1" hidden="1" outlineLevel="2" x14ac:dyDescent="0.25">
      <c r="A63" s="26"/>
      <c r="B63" s="11" t="str">
        <f>CONCATENATE("          ", "6285", " - ", "JANITORIAL SERVICES")</f>
        <v xml:space="preserve">          6285 - JANITORIAL SERVICES</v>
      </c>
      <c r="C63" s="11"/>
      <c r="D63" s="6"/>
      <c r="E63" s="2"/>
      <c r="F63" s="7">
        <f t="shared" si="52"/>
        <v>0</v>
      </c>
      <c r="G63" s="2"/>
      <c r="H63" s="6"/>
      <c r="I63" s="2"/>
      <c r="J63" s="7">
        <f t="shared" si="53"/>
        <v>0</v>
      </c>
      <c r="K63" s="2"/>
      <c r="L63" s="6">
        <f t="shared" si="54"/>
        <v>0</v>
      </c>
      <c r="M63" s="2"/>
      <c r="N63" s="7">
        <f t="shared" si="55"/>
        <v>0</v>
      </c>
      <c r="O63" s="11"/>
      <c r="P63" s="6">
        <v>350</v>
      </c>
      <c r="Q63" s="2"/>
      <c r="R63" s="7">
        <f t="shared" si="56"/>
        <v>5.3307083097944483E-4</v>
      </c>
      <c r="S63" s="2"/>
      <c r="T63" s="6"/>
      <c r="U63" s="2"/>
      <c r="V63" s="7">
        <f t="shared" si="57"/>
        <v>0</v>
      </c>
      <c r="W63" s="2"/>
      <c r="X63" s="6">
        <f t="shared" si="58"/>
        <v>350</v>
      </c>
      <c r="Y63" s="2"/>
      <c r="Z63" s="7">
        <f t="shared" si="59"/>
        <v>0</v>
      </c>
    </row>
    <row r="64" spans="1:26" s="24" customFormat="1" hidden="1" outlineLevel="2" x14ac:dyDescent="0.25">
      <c r="A64" s="26"/>
      <c r="B64" s="11" t="str">
        <f>CONCATENATE("          ", "6286", " - ", "LAUNDRY EXPENSE")</f>
        <v xml:space="preserve">          6286 - LAUNDRY EXPENSE</v>
      </c>
      <c r="C64" s="11"/>
      <c r="D64" s="6">
        <v>137.69999999999999</v>
      </c>
      <c r="E64" s="2"/>
      <c r="F64" s="7">
        <f t="shared" si="52"/>
        <v>9.9541307582423546E-4</v>
      </c>
      <c r="G64" s="2"/>
      <c r="H64" s="6">
        <v>183.6</v>
      </c>
      <c r="I64" s="2"/>
      <c r="J64" s="7">
        <f t="shared" si="53"/>
        <v>1.5114580622663098E-3</v>
      </c>
      <c r="K64" s="2"/>
      <c r="L64" s="6">
        <f t="shared" si="54"/>
        <v>-45.900000000000006</v>
      </c>
      <c r="M64" s="2"/>
      <c r="N64" s="7">
        <f t="shared" si="55"/>
        <v>-0.25000000000000006</v>
      </c>
      <c r="O64" s="11"/>
      <c r="P64" s="6">
        <v>974.45</v>
      </c>
      <c r="Q64" s="2"/>
      <c r="R64" s="7">
        <f t="shared" si="56"/>
        <v>1.4841453464226287E-3</v>
      </c>
      <c r="S64" s="2"/>
      <c r="T64" s="6">
        <v>1127.02</v>
      </c>
      <c r="U64" s="2"/>
      <c r="V64" s="7">
        <f t="shared" si="57"/>
        <v>1.7464815220420188E-3</v>
      </c>
      <c r="W64" s="2"/>
      <c r="X64" s="6">
        <f t="shared" si="58"/>
        <v>-152.56999999999994</v>
      </c>
      <c r="Y64" s="2"/>
      <c r="Z64" s="7">
        <f t="shared" si="59"/>
        <v>-0.13537470497417964</v>
      </c>
    </row>
    <row r="65" spans="1:26" s="25" customFormat="1" outlineLevel="1" collapsed="1" x14ac:dyDescent="0.25">
      <c r="A65" s="27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SUM(OSRRefD22_12x_0)</f>
        <v>196.71</v>
      </c>
      <c r="E65" s="1"/>
      <c r="F65" s="5">
        <f t="shared" ref="F65:F74" si="60">IF(D$12=0,0,D65/D$12)</f>
        <v>1.421987698949785E-3</v>
      </c>
      <c r="G65" s="1"/>
      <c r="H65" s="1">
        <f>SUM(OSRRefH22_12x_0)</f>
        <v>193.71</v>
      </c>
      <c r="I65" s="1"/>
      <c r="J65" s="5">
        <f t="shared" ref="J65:J74" si="61">IF(H$12=0,0,H65/H$12)</f>
        <v>1.5946870437996018E-3</v>
      </c>
      <c r="K65" s="1"/>
      <c r="L65" s="1">
        <f t="shared" ref="L65:L74" si="62">+D65-H65</f>
        <v>3</v>
      </c>
      <c r="M65" s="1"/>
      <c r="N65" s="5">
        <f t="shared" ref="N65:N74" si="63">IF(H65=0,0,L65/H65)</f>
        <v>1.5487068297971194E-2</v>
      </c>
      <c r="O65" s="13"/>
      <c r="P65" s="1">
        <f>SUM(OSRRefP22_12x_0)</f>
        <v>983.55</v>
      </c>
      <c r="Q65" s="1"/>
      <c r="R65" s="5">
        <f t="shared" ref="R65:R74" si="64">IF(P$12=0,0,P65/P$12)</f>
        <v>1.4980051880280941E-3</v>
      </c>
      <c r="S65" s="1"/>
      <c r="T65" s="1">
        <f>SUM(OSRRefT22_12x_0)</f>
        <v>549.09</v>
      </c>
      <c r="U65" s="1"/>
      <c r="V65" s="5">
        <f t="shared" ref="V65:V74" si="65">IF(T$12=0,0,T65/T$12)</f>
        <v>8.5089487226318273E-4</v>
      </c>
      <c r="W65" s="1"/>
      <c r="X65" s="1">
        <f t="shared" ref="X65:X74" si="66">+P65-T65</f>
        <v>434.45999999999992</v>
      </c>
      <c r="Y65" s="1"/>
      <c r="Z65" s="5">
        <f t="shared" ref="Z65:Z74" si="67">IF(T65=0,0,X65/T65)</f>
        <v>0.79123640933180339</v>
      </c>
    </row>
    <row r="66" spans="1:26" s="24" customFormat="1" hidden="1" outlineLevel="2" x14ac:dyDescent="0.25">
      <c r="A66" s="26"/>
      <c r="B66" s="11" t="str">
        <f>CONCATENATE("          ", "6275", " - ", "SUBSCRIPTIONS")</f>
        <v xml:space="preserve">          6275 - SUBSCRIPTIONS</v>
      </c>
      <c r="C66" s="11"/>
      <c r="D66" s="6">
        <v>196.71</v>
      </c>
      <c r="E66" s="2"/>
      <c r="F66" s="7">
        <f t="shared" si="60"/>
        <v>1.421987698949785E-3</v>
      </c>
      <c r="G66" s="2"/>
      <c r="H66" s="6">
        <v>193.71</v>
      </c>
      <c r="I66" s="2"/>
      <c r="J66" s="7">
        <f t="shared" si="61"/>
        <v>1.5946870437996018E-3</v>
      </c>
      <c r="K66" s="2"/>
      <c r="L66" s="6">
        <f t="shared" si="62"/>
        <v>3</v>
      </c>
      <c r="M66" s="2"/>
      <c r="N66" s="7">
        <f t="shared" si="63"/>
        <v>1.5487068297971194E-2</v>
      </c>
      <c r="O66" s="11"/>
      <c r="P66" s="6">
        <v>983.55</v>
      </c>
      <c r="Q66" s="2"/>
      <c r="R66" s="7">
        <f t="shared" si="64"/>
        <v>1.4980051880280941E-3</v>
      </c>
      <c r="S66" s="2"/>
      <c r="T66" s="6">
        <v>549.09</v>
      </c>
      <c r="U66" s="2"/>
      <c r="V66" s="7">
        <f t="shared" si="65"/>
        <v>8.5089487226318273E-4</v>
      </c>
      <c r="W66" s="2"/>
      <c r="X66" s="6">
        <f t="shared" si="66"/>
        <v>434.45999999999992</v>
      </c>
      <c r="Y66" s="2"/>
      <c r="Z66" s="7">
        <f t="shared" si="67"/>
        <v>0.79123640933180339</v>
      </c>
    </row>
    <row r="67" spans="1:26" s="25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1013.3899999999999</v>
      </c>
      <c r="E67" s="1"/>
      <c r="F67" s="5">
        <f t="shared" si="60"/>
        <v>7.3256474721098185E-3</v>
      </c>
      <c r="G67" s="1"/>
      <c r="H67" s="1">
        <f>SUM(OSRRefH22_13x_0)</f>
        <v>847.33999999999992</v>
      </c>
      <c r="I67" s="1"/>
      <c r="J67" s="5">
        <f t="shared" si="61"/>
        <v>6.9755929982610824E-3</v>
      </c>
      <c r="K67" s="1"/>
      <c r="L67" s="1">
        <f t="shared" si="62"/>
        <v>166.04999999999995</v>
      </c>
      <c r="M67" s="1"/>
      <c r="N67" s="5">
        <f t="shared" si="63"/>
        <v>0.19596620010857504</v>
      </c>
      <c r="O67" s="13"/>
      <c r="P67" s="1">
        <f>SUM(OSRRefP22_13x_0)</f>
        <v>6035.65</v>
      </c>
      <c r="Q67" s="1"/>
      <c r="R67" s="5">
        <f t="shared" si="64"/>
        <v>9.1926541742888175E-3</v>
      </c>
      <c r="S67" s="1"/>
      <c r="T67" s="1">
        <f>SUM(OSRRefT22_13x_0)</f>
        <v>9368.68</v>
      </c>
      <c r="U67" s="1"/>
      <c r="V67" s="5">
        <f t="shared" si="65"/>
        <v>1.4518133223833314E-2</v>
      </c>
      <c r="W67" s="1"/>
      <c r="X67" s="1">
        <f t="shared" si="66"/>
        <v>-3333.0300000000007</v>
      </c>
      <c r="Y67" s="1"/>
      <c r="Z67" s="5">
        <f t="shared" si="67"/>
        <v>-0.3557630317184492</v>
      </c>
    </row>
    <row r="68" spans="1:26" s="24" customFormat="1" hidden="1" outlineLevel="2" x14ac:dyDescent="0.25">
      <c r="A68" s="26"/>
      <c r="B68" s="11" t="str">
        <f>CONCATENATE("          ", "6237", " - ", "JANITORIAL SUPPLIES")</f>
        <v xml:space="preserve">          6237 - JANITORIAL SUPPLIES</v>
      </c>
      <c r="C68" s="11"/>
      <c r="D68" s="6"/>
      <c r="E68" s="2"/>
      <c r="F68" s="7">
        <f t="shared" si="60"/>
        <v>0</v>
      </c>
      <c r="G68" s="2"/>
      <c r="H68" s="6"/>
      <c r="I68" s="2"/>
      <c r="J68" s="7">
        <f t="shared" si="61"/>
        <v>0</v>
      </c>
      <c r="K68" s="2"/>
      <c r="L68" s="6">
        <f t="shared" si="62"/>
        <v>0</v>
      </c>
      <c r="M68" s="2"/>
      <c r="N68" s="7">
        <f t="shared" si="63"/>
        <v>0</v>
      </c>
      <c r="O68" s="11"/>
      <c r="P68" s="6"/>
      <c r="Q68" s="2"/>
      <c r="R68" s="7">
        <f t="shared" si="64"/>
        <v>0</v>
      </c>
      <c r="S68" s="2"/>
      <c r="T68" s="6">
        <v>2546.81</v>
      </c>
      <c r="U68" s="2"/>
      <c r="V68" s="7">
        <f t="shared" si="65"/>
        <v>3.9466527702718976E-3</v>
      </c>
      <c r="W68" s="2"/>
      <c r="X68" s="6">
        <f t="shared" si="66"/>
        <v>-2546.81</v>
      </c>
      <c r="Y68" s="2"/>
      <c r="Z68" s="7">
        <f t="shared" si="67"/>
        <v>-1</v>
      </c>
    </row>
    <row r="69" spans="1:26" s="24" customFormat="1" hidden="1" outlineLevel="2" x14ac:dyDescent="0.25">
      <c r="A69" s="26"/>
      <c r="B69" s="11" t="str">
        <f>CONCATENATE("          ", "6239", " - ", "KITCHEN SUPPLIES")</f>
        <v xml:space="preserve">          6239 - KITCHEN SUPPLIES</v>
      </c>
      <c r="C69" s="11"/>
      <c r="D69" s="6">
        <v>119.07</v>
      </c>
      <c r="E69" s="2"/>
      <c r="F69" s="7">
        <f t="shared" si="60"/>
        <v>8.6073954203625075E-4</v>
      </c>
      <c r="G69" s="2"/>
      <c r="H69" s="6"/>
      <c r="I69" s="2"/>
      <c r="J69" s="7">
        <f t="shared" si="61"/>
        <v>0</v>
      </c>
      <c r="K69" s="2"/>
      <c r="L69" s="6">
        <f t="shared" si="62"/>
        <v>119.07</v>
      </c>
      <c r="M69" s="2"/>
      <c r="N69" s="7">
        <f t="shared" si="63"/>
        <v>0</v>
      </c>
      <c r="O69" s="11"/>
      <c r="P69" s="6">
        <v>482.61</v>
      </c>
      <c r="Q69" s="2"/>
      <c r="R69" s="7">
        <f t="shared" si="64"/>
        <v>7.3504375353997109E-4</v>
      </c>
      <c r="S69" s="2"/>
      <c r="T69" s="6">
        <v>205.46</v>
      </c>
      <c r="U69" s="2"/>
      <c r="V69" s="7">
        <f t="shared" si="65"/>
        <v>3.1839017366040815E-4</v>
      </c>
      <c r="W69" s="2"/>
      <c r="X69" s="6">
        <f t="shared" si="66"/>
        <v>277.14999999999998</v>
      </c>
      <c r="Y69" s="2"/>
      <c r="Z69" s="7">
        <f t="shared" si="67"/>
        <v>1.3489243648398714</v>
      </c>
    </row>
    <row r="70" spans="1:26" s="24" customFormat="1" hidden="1" outlineLevel="2" x14ac:dyDescent="0.25">
      <c r="A70" s="26"/>
      <c r="B70" s="11" t="str">
        <f>CONCATENATE("          ", "6241", " - ", "OFFICE EXPENSE")</f>
        <v xml:space="preserve">          6241 - OFFICE EXPENSE</v>
      </c>
      <c r="C70" s="11"/>
      <c r="D70" s="6">
        <v>103.64</v>
      </c>
      <c r="E70" s="2"/>
      <c r="F70" s="7">
        <f t="shared" si="60"/>
        <v>7.4919833826015824E-4</v>
      </c>
      <c r="G70" s="2"/>
      <c r="H70" s="6">
        <v>104.78</v>
      </c>
      <c r="I70" s="2"/>
      <c r="J70" s="7">
        <f t="shared" si="61"/>
        <v>8.6258483531734167E-4</v>
      </c>
      <c r="K70" s="2"/>
      <c r="L70" s="6">
        <f t="shared" si="62"/>
        <v>-1.1400000000000006</v>
      </c>
      <c r="M70" s="2"/>
      <c r="N70" s="7">
        <f t="shared" si="63"/>
        <v>-1.0879938919641159E-2</v>
      </c>
      <c r="O70" s="11"/>
      <c r="P70" s="6">
        <v>1572.54</v>
      </c>
      <c r="Q70" s="2"/>
      <c r="R70" s="7">
        <f t="shared" si="64"/>
        <v>2.3950720129954747E-3</v>
      </c>
      <c r="S70" s="2"/>
      <c r="T70" s="6">
        <v>848.17</v>
      </c>
      <c r="U70" s="2"/>
      <c r="V70" s="7">
        <f t="shared" si="65"/>
        <v>1.3143628618395228E-3</v>
      </c>
      <c r="W70" s="2"/>
      <c r="X70" s="6">
        <f t="shared" si="66"/>
        <v>724.37</v>
      </c>
      <c r="Y70" s="2"/>
      <c r="Z70" s="7">
        <f t="shared" si="67"/>
        <v>0.85403869507292174</v>
      </c>
    </row>
    <row r="71" spans="1:26" s="24" customFormat="1" hidden="1" outlineLevel="2" x14ac:dyDescent="0.25">
      <c r="A71" s="26"/>
      <c r="B71" s="11" t="str">
        <f>CONCATENATE("          ", "6243", " - ", "PAPER SUPPLIES")</f>
        <v xml:space="preserve">          6243 - PAPER SUPPLIES</v>
      </c>
      <c r="C71" s="11"/>
      <c r="D71" s="6">
        <v>39.270000000000003</v>
      </c>
      <c r="E71" s="2"/>
      <c r="F71" s="7">
        <f t="shared" si="60"/>
        <v>2.8387706236468946E-4</v>
      </c>
      <c r="G71" s="2"/>
      <c r="H71" s="6">
        <v>498.86</v>
      </c>
      <c r="I71" s="2"/>
      <c r="J71" s="7">
        <f t="shared" si="61"/>
        <v>4.1067863232144407E-3</v>
      </c>
      <c r="K71" s="2"/>
      <c r="L71" s="6">
        <f t="shared" si="62"/>
        <v>-459.59000000000003</v>
      </c>
      <c r="M71" s="2"/>
      <c r="N71" s="7">
        <f t="shared" si="63"/>
        <v>-0.92128051958465307</v>
      </c>
      <c r="O71" s="11"/>
      <c r="P71" s="6">
        <v>1913.6</v>
      </c>
      <c r="Q71" s="2"/>
      <c r="R71" s="7">
        <f t="shared" si="64"/>
        <v>2.9145266918921874E-3</v>
      </c>
      <c r="S71" s="2"/>
      <c r="T71" s="6">
        <v>3821.61</v>
      </c>
      <c r="U71" s="2"/>
      <c r="V71" s="7">
        <f t="shared" si="65"/>
        <v>5.9221409109430174E-3</v>
      </c>
      <c r="W71" s="2"/>
      <c r="X71" s="6">
        <f t="shared" si="66"/>
        <v>-1908.0100000000002</v>
      </c>
      <c r="Y71" s="2"/>
      <c r="Z71" s="7">
        <f t="shared" si="67"/>
        <v>-0.49926863285369261</v>
      </c>
    </row>
    <row r="72" spans="1:26" s="24" customFormat="1" hidden="1" outlineLevel="2" x14ac:dyDescent="0.25">
      <c r="A72" s="26"/>
      <c r="B72" s="11" t="str">
        <f>CONCATENATE("          ", "6245", " - ", "PRINTING")</f>
        <v xml:space="preserve">          6245 - PRINTING</v>
      </c>
      <c r="C72" s="11"/>
      <c r="D72" s="6"/>
      <c r="E72" s="2"/>
      <c r="F72" s="7">
        <f t="shared" si="60"/>
        <v>0</v>
      </c>
      <c r="G72" s="2"/>
      <c r="H72" s="6"/>
      <c r="I72" s="2"/>
      <c r="J72" s="7">
        <f t="shared" si="61"/>
        <v>0</v>
      </c>
      <c r="K72" s="2"/>
      <c r="L72" s="6">
        <f t="shared" si="62"/>
        <v>0</v>
      </c>
      <c r="M72" s="2"/>
      <c r="N72" s="7">
        <f t="shared" si="63"/>
        <v>0</v>
      </c>
      <c r="O72" s="11"/>
      <c r="P72" s="6">
        <v>22.05</v>
      </c>
      <c r="Q72" s="2"/>
      <c r="R72" s="7">
        <f t="shared" si="64"/>
        <v>3.3583462351705024E-5</v>
      </c>
      <c r="S72" s="2"/>
      <c r="T72" s="6"/>
      <c r="U72" s="2"/>
      <c r="V72" s="7">
        <f t="shared" si="65"/>
        <v>0</v>
      </c>
      <c r="W72" s="2"/>
      <c r="X72" s="6">
        <f t="shared" si="66"/>
        <v>22.05</v>
      </c>
      <c r="Y72" s="2"/>
      <c r="Z72" s="7">
        <f t="shared" si="67"/>
        <v>0</v>
      </c>
    </row>
    <row r="73" spans="1:26" s="24" customFormat="1" hidden="1" outlineLevel="2" x14ac:dyDescent="0.25">
      <c r="A73" s="26"/>
      <c r="B73" s="11" t="str">
        <f>CONCATENATE("          ", "6247", " - ", "STORE SUPPLIES")</f>
        <v xml:space="preserve">          6247 - STORE SUPPLIES</v>
      </c>
      <c r="C73" s="11"/>
      <c r="D73" s="6">
        <v>751.41</v>
      </c>
      <c r="E73" s="2"/>
      <c r="F73" s="7">
        <f t="shared" si="60"/>
        <v>5.4318325294487211E-3</v>
      </c>
      <c r="G73" s="2"/>
      <c r="H73" s="6">
        <v>243.7</v>
      </c>
      <c r="I73" s="2"/>
      <c r="J73" s="7">
        <f t="shared" si="61"/>
        <v>2.0062218397293012E-3</v>
      </c>
      <c r="K73" s="2"/>
      <c r="L73" s="6">
        <f t="shared" si="62"/>
        <v>507.71</v>
      </c>
      <c r="M73" s="2"/>
      <c r="N73" s="7">
        <f t="shared" si="63"/>
        <v>2.0833401723430449</v>
      </c>
      <c r="O73" s="11"/>
      <c r="P73" s="6">
        <v>1264.6099999999999</v>
      </c>
      <c r="Q73" s="2"/>
      <c r="R73" s="7">
        <f t="shared" si="64"/>
        <v>1.926076295899759E-3</v>
      </c>
      <c r="S73" s="2"/>
      <c r="T73" s="6">
        <v>1201.3</v>
      </c>
      <c r="U73" s="2"/>
      <c r="V73" s="7">
        <f t="shared" si="65"/>
        <v>1.8615891931190902E-3</v>
      </c>
      <c r="W73" s="2"/>
      <c r="X73" s="6">
        <f t="shared" si="66"/>
        <v>63.309999999999945</v>
      </c>
      <c r="Y73" s="2"/>
      <c r="Z73" s="7">
        <f t="shared" si="67"/>
        <v>5.2701240322983393E-2</v>
      </c>
    </row>
    <row r="74" spans="1:26" s="24" customFormat="1" hidden="1" outlineLevel="2" x14ac:dyDescent="0.25">
      <c r="A74" s="26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60"/>
        <v>0</v>
      </c>
      <c r="G74" s="2"/>
      <c r="H74" s="6"/>
      <c r="I74" s="2"/>
      <c r="J74" s="7">
        <f t="shared" si="61"/>
        <v>0</v>
      </c>
      <c r="K74" s="2"/>
      <c r="L74" s="6">
        <f t="shared" si="62"/>
        <v>0</v>
      </c>
      <c r="M74" s="2"/>
      <c r="N74" s="7">
        <f t="shared" si="63"/>
        <v>0</v>
      </c>
      <c r="O74" s="11"/>
      <c r="P74" s="6">
        <v>780.24</v>
      </c>
      <c r="Q74" s="2"/>
      <c r="R74" s="7">
        <f t="shared" si="64"/>
        <v>1.1883519576097201E-3</v>
      </c>
      <c r="S74" s="2"/>
      <c r="T74" s="6">
        <v>745.33</v>
      </c>
      <c r="U74" s="2"/>
      <c r="V74" s="7">
        <f t="shared" si="65"/>
        <v>1.1549973139993771E-3</v>
      </c>
      <c r="W74" s="2"/>
      <c r="X74" s="6">
        <f t="shared" si="66"/>
        <v>34.909999999999968</v>
      </c>
      <c r="Y74" s="2"/>
      <c r="Z74" s="7">
        <f t="shared" si="67"/>
        <v>4.683831323038113E-2</v>
      </c>
    </row>
    <row r="75" spans="1:26" s="25" customFormat="1" outlineLevel="1" collapsed="1" x14ac:dyDescent="0.25">
      <c r="A75" s="27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SUM(OSRRefD22_14x_0)</f>
        <v>157.44999999999999</v>
      </c>
      <c r="E75" s="1"/>
      <c r="F75" s="5">
        <f t="shared" ref="F75:F78" si="68">IF(D$12=0,0,D75/D$12)</f>
        <v>1.1381829251163828E-3</v>
      </c>
      <c r="G75" s="1"/>
      <c r="H75" s="1">
        <f>SUM(OSRRefH22_14x_0)</f>
        <v>159</v>
      </c>
      <c r="I75" s="1"/>
      <c r="J75" s="5">
        <f t="shared" ref="J75:J78" si="69">IF(H$12=0,0,H75/H$12)</f>
        <v>1.3089424395443532E-3</v>
      </c>
      <c r="K75" s="1"/>
      <c r="L75" s="1">
        <f t="shared" ref="L75:L78" si="70">+D75-H75</f>
        <v>-1.5500000000000114</v>
      </c>
      <c r="M75" s="1"/>
      <c r="N75" s="5">
        <f t="shared" ref="N75:N78" si="71">IF(H75=0,0,L75/H75)</f>
        <v>-9.7484276729560455E-3</v>
      </c>
      <c r="O75" s="13"/>
      <c r="P75" s="1">
        <f>SUM(OSRRefP22_14x_0)</f>
        <v>696.9</v>
      </c>
      <c r="Q75" s="1"/>
      <c r="R75" s="5">
        <f t="shared" ref="R75:R78" si="72">IF(P$12=0,0,P75/P$12)</f>
        <v>1.0614201774559288E-3</v>
      </c>
      <c r="S75" s="1"/>
      <c r="T75" s="1">
        <f>SUM(OSRRefT22_14x_0)</f>
        <v>796</v>
      </c>
      <c r="U75" s="1"/>
      <c r="V75" s="5">
        <f t="shared" ref="V75:V78" si="73">IF(T$12=0,0,T75/T$12)</f>
        <v>1.2335178537607558E-3</v>
      </c>
      <c r="W75" s="1"/>
      <c r="X75" s="1">
        <f t="shared" ref="X75:X78" si="74">+P75-T75</f>
        <v>-99.100000000000023</v>
      </c>
      <c r="Y75" s="1"/>
      <c r="Z75" s="5">
        <f t="shared" ref="Z75:Z78" si="75">IF(T75=0,0,X75/T75)</f>
        <v>-0.12449748743718596</v>
      </c>
    </row>
    <row r="76" spans="1:26" s="24" customFormat="1" hidden="1" outlineLevel="2" x14ac:dyDescent="0.25">
      <c r="A76" s="26"/>
      <c r="B76" s="11" t="str">
        <f>CONCATENATE("          ", "6309", " - ", "TELEPHONE")</f>
        <v xml:space="preserve">          6309 - TELEPHONE</v>
      </c>
      <c r="C76" s="11"/>
      <c r="D76" s="6">
        <v>157.44999999999999</v>
      </c>
      <c r="E76" s="2"/>
      <c r="F76" s="7">
        <f t="shared" si="68"/>
        <v>1.1381829251163828E-3</v>
      </c>
      <c r="G76" s="2"/>
      <c r="H76" s="6">
        <v>159</v>
      </c>
      <c r="I76" s="2"/>
      <c r="J76" s="7">
        <f t="shared" si="69"/>
        <v>1.3089424395443532E-3</v>
      </c>
      <c r="K76" s="2"/>
      <c r="L76" s="6">
        <f t="shared" si="70"/>
        <v>-1.5500000000000114</v>
      </c>
      <c r="M76" s="2"/>
      <c r="N76" s="7">
        <f t="shared" si="71"/>
        <v>-9.7484276729560455E-3</v>
      </c>
      <c r="O76" s="11"/>
      <c r="P76" s="6">
        <v>696.9</v>
      </c>
      <c r="Q76" s="2"/>
      <c r="R76" s="7">
        <f t="shared" si="72"/>
        <v>1.0614201774559288E-3</v>
      </c>
      <c r="S76" s="2"/>
      <c r="T76" s="6">
        <v>796</v>
      </c>
      <c r="U76" s="2"/>
      <c r="V76" s="7">
        <f t="shared" si="73"/>
        <v>1.2335178537607558E-3</v>
      </c>
      <c r="W76" s="2"/>
      <c r="X76" s="6">
        <f t="shared" si="74"/>
        <v>-99.100000000000023</v>
      </c>
      <c r="Y76" s="2"/>
      <c r="Z76" s="7">
        <f t="shared" si="75"/>
        <v>-0.12449748743718596</v>
      </c>
    </row>
    <row r="77" spans="1:26" s="25" customFormat="1" outlineLevel="1" collapsed="1" x14ac:dyDescent="0.25">
      <c r="A77" s="27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SUM(OSRRefD22_15x_0)</f>
        <v>0</v>
      </c>
      <c r="E77" s="1"/>
      <c r="F77" s="5">
        <f t="shared" si="68"/>
        <v>0</v>
      </c>
      <c r="G77" s="1"/>
      <c r="H77" s="1">
        <f>SUM(OSRRefH22_15x_0)</f>
        <v>60</v>
      </c>
      <c r="I77" s="1"/>
      <c r="J77" s="5">
        <f t="shared" si="69"/>
        <v>4.9394054322428424E-4</v>
      </c>
      <c r="K77" s="1"/>
      <c r="L77" s="1">
        <f t="shared" si="70"/>
        <v>-60</v>
      </c>
      <c r="M77" s="1"/>
      <c r="N77" s="5">
        <f t="shared" si="71"/>
        <v>-1</v>
      </c>
      <c r="O77" s="13"/>
      <c r="P77" s="1">
        <f>SUM(OSRRefP22_15x_0)</f>
        <v>140.94999999999999</v>
      </c>
      <c r="Q77" s="1"/>
      <c r="R77" s="5">
        <f t="shared" si="72"/>
        <v>2.1467523893300785E-4</v>
      </c>
      <c r="S77" s="1"/>
      <c r="T77" s="1">
        <f>SUM(OSRRefT22_15x_0)</f>
        <v>140</v>
      </c>
      <c r="U77" s="1"/>
      <c r="V77" s="5">
        <f t="shared" si="73"/>
        <v>2.1695037628958016E-4</v>
      </c>
      <c r="W77" s="1"/>
      <c r="X77" s="1">
        <f t="shared" si="74"/>
        <v>0.94999999999998863</v>
      </c>
      <c r="Y77" s="1"/>
      <c r="Z77" s="5">
        <f t="shared" si="75"/>
        <v>6.7857142857142049E-3</v>
      </c>
    </row>
    <row r="78" spans="1:26" s="24" customFormat="1" hidden="1" outlineLevel="2" x14ac:dyDescent="0.25">
      <c r="A78" s="26"/>
      <c r="B78" s="11" t="str">
        <f>CONCATENATE("          ", "6376", " - ", "TRAINING")</f>
        <v xml:space="preserve">          6376 - TRAINING</v>
      </c>
      <c r="C78" s="11"/>
      <c r="D78" s="6"/>
      <c r="E78" s="2"/>
      <c r="F78" s="7">
        <f t="shared" si="68"/>
        <v>0</v>
      </c>
      <c r="G78" s="2"/>
      <c r="H78" s="6">
        <v>60</v>
      </c>
      <c r="I78" s="2"/>
      <c r="J78" s="7">
        <f t="shared" si="69"/>
        <v>4.9394054322428424E-4</v>
      </c>
      <c r="K78" s="2"/>
      <c r="L78" s="6">
        <f t="shared" si="70"/>
        <v>-60</v>
      </c>
      <c r="M78" s="2"/>
      <c r="N78" s="7">
        <f t="shared" si="71"/>
        <v>-1</v>
      </c>
      <c r="O78" s="11"/>
      <c r="P78" s="6">
        <v>140.94999999999999</v>
      </c>
      <c r="Q78" s="2"/>
      <c r="R78" s="7">
        <f t="shared" si="72"/>
        <v>2.1467523893300785E-4</v>
      </c>
      <c r="S78" s="2"/>
      <c r="T78" s="6">
        <v>140</v>
      </c>
      <c r="U78" s="2"/>
      <c r="V78" s="7">
        <f t="shared" si="73"/>
        <v>2.1695037628958016E-4</v>
      </c>
      <c r="W78" s="2"/>
      <c r="X78" s="6">
        <f t="shared" si="74"/>
        <v>0.94999999999998863</v>
      </c>
      <c r="Y78" s="2"/>
      <c r="Z78" s="7">
        <f t="shared" si="75"/>
        <v>6.7857142857142049E-3</v>
      </c>
    </row>
    <row r="79" spans="1:26" s="53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25">
      <c r="A80" s="10"/>
      <c r="B80" s="28" t="s">
        <v>0</v>
      </c>
      <c r="C80" s="10"/>
      <c r="D80" s="4">
        <f>SUM(OSRRefD25x_0)</f>
        <v>0</v>
      </c>
      <c r="E80" s="4"/>
      <c r="F80" s="12">
        <f t="shared" ref="F80:F81" si="76">IF(D$12=0,0,D80/D$12)</f>
        <v>0</v>
      </c>
      <c r="G80" s="4"/>
      <c r="H80" s="4">
        <f>SUM(OSRRefH25x_0)</f>
        <v>0</v>
      </c>
      <c r="I80" s="4"/>
      <c r="J80" s="12">
        <f t="shared" ref="J80:J81" si="77">IF(H$12=0,0,H80/H$12)</f>
        <v>0</v>
      </c>
      <c r="K80" s="4"/>
      <c r="L80" s="4">
        <f t="shared" ref="L80:L81" si="78">+D80-H80</f>
        <v>0</v>
      </c>
      <c r="M80" s="4"/>
      <c r="N80" s="12">
        <f t="shared" ref="N80:N81" si="79">IF(H80=0,0,L80/H80)</f>
        <v>0</v>
      </c>
      <c r="O80" s="10"/>
      <c r="P80" s="4">
        <f>SUM(OSRRefP25x_0)</f>
        <v>0</v>
      </c>
      <c r="Q80" s="4"/>
      <c r="R80" s="12">
        <f t="shared" ref="R80:R81" si="80">IF(P$12=0,0,P80/P$12)</f>
        <v>0</v>
      </c>
      <c r="S80" s="4"/>
      <c r="T80" s="4">
        <f>SUM(OSRRefT25x_0)</f>
        <v>258</v>
      </c>
      <c r="U80" s="4"/>
      <c r="V80" s="12">
        <f t="shared" ref="V80:V81" si="81">IF(T$12=0,0,T80/T$12)</f>
        <v>3.998085505907977E-4</v>
      </c>
      <c r="W80" s="4"/>
      <c r="X80" s="4">
        <f t="shared" ref="X80:X81" si="82">+P80-T80</f>
        <v>-258</v>
      </c>
      <c r="Y80" s="4"/>
      <c r="Z80" s="12">
        <f t="shared" ref="Z80:Z81" si="83">IF(T80=0,0,X80/T80)</f>
        <v>-1</v>
      </c>
    </row>
    <row r="81" spans="1:26" s="24" customFormat="1" hidden="1" outlineLevel="1" x14ac:dyDescent="0.25">
      <c r="A81" s="44"/>
      <c r="B81" s="11" t="str">
        <f>CONCATENATE("          ", "9150", " - ", "MISC. INCOME")</f>
        <v xml:space="preserve">          9150 - MISC. INCOME</v>
      </c>
      <c r="C81" s="11"/>
      <c r="D81" s="2">
        <f>0</f>
        <v>0</v>
      </c>
      <c r="E81" s="2"/>
      <c r="F81" s="19">
        <f t="shared" si="76"/>
        <v>0</v>
      </c>
      <c r="G81" s="2"/>
      <c r="H81" s="2">
        <f>0</f>
        <v>0</v>
      </c>
      <c r="I81" s="2"/>
      <c r="J81" s="19">
        <f t="shared" si="77"/>
        <v>0</v>
      </c>
      <c r="K81" s="2"/>
      <c r="L81" s="2">
        <f t="shared" si="78"/>
        <v>0</v>
      </c>
      <c r="M81" s="2"/>
      <c r="N81" s="19">
        <f t="shared" si="79"/>
        <v>0</v>
      </c>
      <c r="O81" s="11"/>
      <c r="P81" s="2">
        <f>0</f>
        <v>0</v>
      </c>
      <c r="Q81" s="2"/>
      <c r="R81" s="19">
        <f t="shared" si="80"/>
        <v>0</v>
      </c>
      <c r="S81" s="2"/>
      <c r="T81" s="2">
        <f>--258</f>
        <v>258</v>
      </c>
      <c r="U81" s="2"/>
      <c r="V81" s="19">
        <f t="shared" si="81"/>
        <v>3.998085505907977E-4</v>
      </c>
      <c r="W81" s="2"/>
      <c r="X81" s="2">
        <f t="shared" si="82"/>
        <v>-258</v>
      </c>
      <c r="Y81" s="2"/>
      <c r="Z81" s="19">
        <f t="shared" si="83"/>
        <v>-1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9" t="s">
        <v>3</v>
      </c>
      <c r="C83" s="29"/>
      <c r="D83" s="21">
        <f>+D20-D22+D80</f>
        <v>27428.279999999992</v>
      </c>
      <c r="E83" s="14"/>
      <c r="F83" s="20">
        <f>IF(D$12=0,0,D83/D$12)</f>
        <v>0.19827500769330689</v>
      </c>
      <c r="G83" s="14"/>
      <c r="H83" s="21">
        <f>+H20-H22+H80</f>
        <v>29390.25</v>
      </c>
      <c r="I83" s="14"/>
      <c r="J83" s="20">
        <f>IF(H$12=0,0,H83/H$12)</f>
        <v>0.24195060084162531</v>
      </c>
      <c r="K83" s="15"/>
      <c r="L83" s="21">
        <f>+D83-H83</f>
        <v>-1961.9700000000084</v>
      </c>
      <c r="M83" s="15"/>
      <c r="N83" s="20">
        <f>IF(H83=0,0,L83/H83)</f>
        <v>-6.6755811876387863E-2</v>
      </c>
      <c r="O83" s="28"/>
      <c r="P83" s="21">
        <f>+P20-P22+P80</f>
        <v>135942.99000000022</v>
      </c>
      <c r="Q83" s="14"/>
      <c r="R83" s="20">
        <f>IF(P$12=0,0,P83/P$12)</f>
        <v>0.2070492647003728</v>
      </c>
      <c r="S83" s="14"/>
      <c r="T83" s="21">
        <f>+T20-T22+T80</f>
        <v>152819.11999999994</v>
      </c>
      <c r="U83" s="14"/>
      <c r="V83" s="20">
        <f>IF(T$12=0,0,T83/T$12)</f>
        <v>0.23681546848744636</v>
      </c>
      <c r="W83" s="15"/>
      <c r="X83" s="21">
        <f>+P83-T83</f>
        <v>-16876.129999999714</v>
      </c>
      <c r="Y83" s="15"/>
      <c r="Z83" s="20">
        <f>IF(T83=0,0,X83/T83)</f>
        <v>-0.11043205850157833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>
        <v>17359.439999999999</v>
      </c>
      <c r="E85" s="4"/>
      <c r="F85" s="12">
        <f>IF(D$12=0,0,D85/D$12)</f>
        <v>0.12548884215676301</v>
      </c>
      <c r="G85" s="4"/>
      <c r="H85" s="4">
        <v>19791.89</v>
      </c>
      <c r="I85" s="4"/>
      <c r="J85" s="12">
        <f>IF(H$12=0,0,H85/H$12)</f>
        <v>0.16293361496725464</v>
      </c>
      <c r="K85" s="4"/>
      <c r="L85" s="4">
        <f>+D85-H85</f>
        <v>-2432.4500000000007</v>
      </c>
      <c r="M85" s="4"/>
      <c r="N85" s="12">
        <f>IF(H85=0,0,L85/H85)</f>
        <v>-0.12290134999739796</v>
      </c>
      <c r="O85" s="10"/>
      <c r="P85" s="4">
        <v>69526.66</v>
      </c>
      <c r="Q85" s="4"/>
      <c r="R85" s="12">
        <f>IF(P$12=0,0,P85/P$12)</f>
        <v>0.10589324120407237</v>
      </c>
      <c r="S85" s="4"/>
      <c r="T85" s="4">
        <v>67900.94</v>
      </c>
      <c r="U85" s="4"/>
      <c r="V85" s="12">
        <f>IF(T$12=0,0,T85/T$12)</f>
        <v>0.10522238916725861</v>
      </c>
      <c r="W85" s="4"/>
      <c r="X85" s="4">
        <f>+P85-T85</f>
        <v>1625.7200000000012</v>
      </c>
      <c r="Y85" s="4"/>
      <c r="Z85" s="12">
        <f>IF(T85=0,0,X85/T85)</f>
        <v>2.3942525685211442E-2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4</v>
      </c>
      <c r="C87" s="29"/>
      <c r="D87" s="31">
        <f>+D83-D85</f>
        <v>10068.839999999993</v>
      </c>
      <c r="E87" s="14"/>
      <c r="F87" s="32">
        <f>IF(D$12=0,0,D87/D$12)</f>
        <v>7.2786165536543865E-2</v>
      </c>
      <c r="G87" s="14"/>
      <c r="H87" s="31">
        <f>+H83-H85</f>
        <v>9598.36</v>
      </c>
      <c r="I87" s="14"/>
      <c r="J87" s="32">
        <f>IF(H$12=0,0,H87/H$12)</f>
        <v>7.9016985874370685E-2</v>
      </c>
      <c r="K87" s="15"/>
      <c r="L87" s="31">
        <f>D87-H87</f>
        <v>470.47999999999229</v>
      </c>
      <c r="M87" s="15"/>
      <c r="N87" s="32">
        <f>IF(H87=0,0,L87/H87)</f>
        <v>4.9016707020781911E-2</v>
      </c>
      <c r="O87" s="28"/>
      <c r="P87" s="31">
        <f>+P83-P85</f>
        <v>66416.33000000022</v>
      </c>
      <c r="Q87" s="14"/>
      <c r="R87" s="32">
        <f>IF(P$12=0,0,P87/P$12)</f>
        <v>0.10115602349630043</v>
      </c>
      <c r="S87" s="14"/>
      <c r="T87" s="31">
        <f>+T83-T85</f>
        <v>84918.179999999935</v>
      </c>
      <c r="U87" s="14"/>
      <c r="V87" s="32">
        <f>IF(T$12=0,0,T87/T$12)</f>
        <v>0.13159307932018777</v>
      </c>
      <c r="W87" s="15"/>
      <c r="X87" s="31">
        <f>P87-T87</f>
        <v>-18501.849999999715</v>
      </c>
      <c r="Y87" s="15"/>
      <c r="Z87" s="32">
        <f>IF(T87=0,0,X87/T87)</f>
        <v>-0.21787855085918856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5</v>
      </c>
      <c r="C90" s="29"/>
      <c r="D90" s="34">
        <f>SUM(D87:D89)</f>
        <v>10068.839999999993</v>
      </c>
      <c r="E90" s="14"/>
      <c r="F90" s="30">
        <f>IF(D$12=0,0,D90/D$12)</f>
        <v>7.2786165536543865E-2</v>
      </c>
      <c r="G90" s="14"/>
      <c r="H90" s="34">
        <f>SUM(H87:H89)</f>
        <v>9598.36</v>
      </c>
      <c r="I90" s="14"/>
      <c r="J90" s="30">
        <f>IF(H$12=0,0,H90/H$12)</f>
        <v>7.9016985874370685E-2</v>
      </c>
      <c r="K90" s="15"/>
      <c r="L90" s="34">
        <f>+D90-H90</f>
        <v>470.47999999999229</v>
      </c>
      <c r="M90" s="15"/>
      <c r="N90" s="30">
        <f>IF(H90=0,0,L90/H90)</f>
        <v>4.9016707020781911E-2</v>
      </c>
      <c r="O90" s="28"/>
      <c r="P90" s="34">
        <f>SUM(P87:P89)</f>
        <v>66416.33000000022</v>
      </c>
      <c r="Q90" s="14"/>
      <c r="R90" s="30">
        <f>IF(P$12=0,0,P90/P$12)</f>
        <v>0.10115602349630043</v>
      </c>
      <c r="S90" s="14"/>
      <c r="T90" s="34">
        <f>SUM(T87:T89)</f>
        <v>84918.179999999935</v>
      </c>
      <c r="U90" s="14"/>
      <c r="V90" s="30">
        <f>IF(T$12=0,0,T90/T$12)</f>
        <v>0.13159307932018777</v>
      </c>
      <c r="W90" s="15"/>
      <c r="X90" s="34">
        <f>+P90-T90</f>
        <v>-18501.849999999715</v>
      </c>
      <c r="Y90" s="15"/>
      <c r="Z90" s="30">
        <f>IF(T90=0,0,X90/T90)</f>
        <v>-0.21787855085918856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9">
        <v>43815.492163425923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62" t="s">
        <v>313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1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","423", " - ", "Contract Revenue")</f>
        <v>Department 423 - Contract Revenue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8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-805.48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-805.48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-805.48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-805.48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1">
        <f>D12-D14</f>
        <v>0</v>
      </c>
      <c r="E17" s="14"/>
      <c r="F17" s="20">
        <f>IF(D$12=0,0,D17/D$12)</f>
        <v>0</v>
      </c>
      <c r="G17" s="14"/>
      <c r="H17" s="21">
        <f>H12-H14</f>
        <v>0</v>
      </c>
      <c r="I17" s="14"/>
      <c r="J17" s="20">
        <f>IF(H$12=0,0,H17/H$12)</f>
        <v>0</v>
      </c>
      <c r="K17" s="15"/>
      <c r="L17" s="21">
        <f>+D17-H17</f>
        <v>0</v>
      </c>
      <c r="M17" s="15"/>
      <c r="N17" s="20">
        <f>IF(H17=0,0,L17/H17)</f>
        <v>0</v>
      </c>
      <c r="O17" s="28"/>
      <c r="P17" s="21">
        <f>P12-P14</f>
        <v>805.48</v>
      </c>
      <c r="Q17" s="14"/>
      <c r="R17" s="20">
        <f>IF(P$12=0,0,P17/P$12)</f>
        <v>0</v>
      </c>
      <c r="S17" s="14"/>
      <c r="T17" s="21">
        <f>T12-T14</f>
        <v>0</v>
      </c>
      <c r="U17" s="14"/>
      <c r="V17" s="20">
        <f>IF(T$12=0,0,T17/T$12)</f>
        <v>0</v>
      </c>
      <c r="W17" s="15"/>
      <c r="X17" s="21">
        <f>+P17-T17</f>
        <v>805.48</v>
      </c>
      <c r="Y17" s="15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6983.75</v>
      </c>
      <c r="E19" s="22"/>
      <c r="F19" s="33">
        <f t="shared" ref="F19:F28" si="8">IF(D$12=0,0,D19/D$12)</f>
        <v>0</v>
      </c>
      <c r="G19" s="22"/>
      <c r="H19" s="22">
        <f>SUM(OSRRefH22x_0)</f>
        <v>6837.52</v>
      </c>
      <c r="I19" s="22"/>
      <c r="J19" s="33">
        <f t="shared" ref="J19:J28" si="9">IF(H$12=0,0,H19/H$12)</f>
        <v>0</v>
      </c>
      <c r="K19" s="4"/>
      <c r="L19" s="22">
        <f t="shared" ref="L19:L28" si="10">+D19-H19</f>
        <v>146.22999999999956</v>
      </c>
      <c r="M19" s="4"/>
      <c r="N19" s="33">
        <f t="shared" ref="N19:N28" si="11">IF(H19=0,0,L19/H19)</f>
        <v>2.1386409107395598E-2</v>
      </c>
      <c r="O19" s="10"/>
      <c r="P19" s="22">
        <f>SUM(OSRRefP22x_0)</f>
        <v>61431.380000000005</v>
      </c>
      <c r="Q19" s="22"/>
      <c r="R19" s="33">
        <f t="shared" ref="R19:R28" si="12">IF(P$12=0,0,P19/P$12)</f>
        <v>0</v>
      </c>
      <c r="S19" s="22"/>
      <c r="T19" s="22">
        <f>SUM(OSRRefT22x_0)</f>
        <v>47131.85</v>
      </c>
      <c r="U19" s="22"/>
      <c r="V19" s="33">
        <f t="shared" ref="V19:V28" si="13">IF(T$12=0,0,T19/T$12)</f>
        <v>0</v>
      </c>
      <c r="W19" s="4"/>
      <c r="X19" s="22">
        <f t="shared" ref="X19:X28" si="14">+P19-T19</f>
        <v>14299.530000000006</v>
      </c>
      <c r="Y19" s="4"/>
      <c r="Z19" s="33">
        <f t="shared" ref="Z19:Z28" si="15">IF(T19=0,0,X19/T19)</f>
        <v>0.30339420158555214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2763.7400000000002</v>
      </c>
      <c r="E20" s="1"/>
      <c r="F20" s="5">
        <f t="shared" si="8"/>
        <v>0</v>
      </c>
      <c r="G20" s="1"/>
      <c r="H20" s="1">
        <f>SUM(OSRRefH22_0x_0)</f>
        <v>2750.8899999999994</v>
      </c>
      <c r="I20" s="1"/>
      <c r="J20" s="5">
        <f t="shared" si="9"/>
        <v>0</v>
      </c>
      <c r="K20" s="1"/>
      <c r="L20" s="1">
        <f t="shared" si="10"/>
        <v>12.850000000000819</v>
      </c>
      <c r="M20" s="1"/>
      <c r="N20" s="5">
        <f t="shared" si="11"/>
        <v>4.6712154975301892E-3</v>
      </c>
      <c r="O20" s="13"/>
      <c r="P20" s="1">
        <f>SUM(OSRRefP22_0x_0)</f>
        <v>24810.31</v>
      </c>
      <c r="Q20" s="1"/>
      <c r="R20" s="5">
        <f t="shared" si="12"/>
        <v>0</v>
      </c>
      <c r="S20" s="1"/>
      <c r="T20" s="1">
        <f>SUM(OSRRefT22_0x_0)</f>
        <v>17921.939999999999</v>
      </c>
      <c r="U20" s="1"/>
      <c r="V20" s="5">
        <f t="shared" si="13"/>
        <v>0</v>
      </c>
      <c r="W20" s="1"/>
      <c r="X20" s="1">
        <f t="shared" si="14"/>
        <v>6888.3700000000026</v>
      </c>
      <c r="Y20" s="1"/>
      <c r="Z20" s="5">
        <f t="shared" si="15"/>
        <v>0.38435403756512987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384.92</v>
      </c>
      <c r="E21" s="2"/>
      <c r="F21" s="7">
        <f t="shared" si="8"/>
        <v>0</v>
      </c>
      <c r="G21" s="2"/>
      <c r="H21" s="6">
        <v>394.57</v>
      </c>
      <c r="I21" s="2"/>
      <c r="J21" s="7">
        <f t="shared" si="9"/>
        <v>0</v>
      </c>
      <c r="K21" s="2"/>
      <c r="L21" s="6">
        <f t="shared" si="10"/>
        <v>-9.6499999999999773</v>
      </c>
      <c r="M21" s="2"/>
      <c r="N21" s="7">
        <f t="shared" si="11"/>
        <v>-2.4457003826950801E-2</v>
      </c>
      <c r="O21" s="11"/>
      <c r="P21" s="6">
        <v>3548.2</v>
      </c>
      <c r="Q21" s="2"/>
      <c r="R21" s="7">
        <f t="shared" si="12"/>
        <v>0</v>
      </c>
      <c r="S21" s="2"/>
      <c r="T21" s="6">
        <v>3248.33</v>
      </c>
      <c r="U21" s="2"/>
      <c r="V21" s="7">
        <f t="shared" si="13"/>
        <v>0</v>
      </c>
      <c r="W21" s="2"/>
      <c r="X21" s="6">
        <f t="shared" si="14"/>
        <v>299.86999999999989</v>
      </c>
      <c r="Y21" s="2"/>
      <c r="Z21" s="7">
        <f t="shared" si="15"/>
        <v>9.2315128081198614E-2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17.11</v>
      </c>
      <c r="E22" s="2"/>
      <c r="F22" s="7">
        <f t="shared" si="8"/>
        <v>0</v>
      </c>
      <c r="G22" s="2"/>
      <c r="H22" s="6">
        <v>155.43</v>
      </c>
      <c r="I22" s="2"/>
      <c r="J22" s="7">
        <f t="shared" si="9"/>
        <v>0</v>
      </c>
      <c r="K22" s="2"/>
      <c r="L22" s="6">
        <f t="shared" si="10"/>
        <v>-138.32</v>
      </c>
      <c r="M22" s="2"/>
      <c r="N22" s="7">
        <f t="shared" si="11"/>
        <v>-0.88991829119217647</v>
      </c>
      <c r="O22" s="11"/>
      <c r="P22" s="6">
        <v>99.44</v>
      </c>
      <c r="Q22" s="2"/>
      <c r="R22" s="7">
        <f t="shared" si="12"/>
        <v>0</v>
      </c>
      <c r="S22" s="2"/>
      <c r="T22" s="6">
        <v>1155.69</v>
      </c>
      <c r="U22" s="2"/>
      <c r="V22" s="7">
        <f t="shared" si="13"/>
        <v>0</v>
      </c>
      <c r="W22" s="2"/>
      <c r="X22" s="6">
        <f t="shared" si="14"/>
        <v>-1056.25</v>
      </c>
      <c r="Y22" s="2"/>
      <c r="Z22" s="7">
        <f t="shared" si="15"/>
        <v>-0.91395616471545138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1011.43</v>
      </c>
      <c r="E23" s="2"/>
      <c r="F23" s="7">
        <f t="shared" si="8"/>
        <v>0</v>
      </c>
      <c r="G23" s="2"/>
      <c r="H23" s="6">
        <v>1024.08</v>
      </c>
      <c r="I23" s="2"/>
      <c r="J23" s="7">
        <f t="shared" si="9"/>
        <v>0</v>
      </c>
      <c r="K23" s="2"/>
      <c r="L23" s="6">
        <f t="shared" si="10"/>
        <v>-12.649999999999977</v>
      </c>
      <c r="M23" s="2"/>
      <c r="N23" s="7">
        <f t="shared" si="11"/>
        <v>-1.235255058198576E-2</v>
      </c>
      <c r="O23" s="11"/>
      <c r="P23" s="6">
        <v>5057.1499999999996</v>
      </c>
      <c r="Q23" s="2"/>
      <c r="R23" s="7">
        <f t="shared" si="12"/>
        <v>0</v>
      </c>
      <c r="S23" s="2"/>
      <c r="T23" s="6">
        <v>4513.2299999999996</v>
      </c>
      <c r="U23" s="2"/>
      <c r="V23" s="7">
        <f t="shared" si="13"/>
        <v>0</v>
      </c>
      <c r="W23" s="2"/>
      <c r="X23" s="6">
        <f t="shared" si="14"/>
        <v>543.92000000000007</v>
      </c>
      <c r="Y23" s="2"/>
      <c r="Z23" s="7">
        <f t="shared" si="15"/>
        <v>0.12051679174338559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13.08</v>
      </c>
      <c r="E24" s="2"/>
      <c r="F24" s="7">
        <f t="shared" si="8"/>
        <v>0</v>
      </c>
      <c r="G24" s="2"/>
      <c r="H24" s="6">
        <v>11.55</v>
      </c>
      <c r="I24" s="2"/>
      <c r="J24" s="7">
        <f t="shared" si="9"/>
        <v>0</v>
      </c>
      <c r="K24" s="2"/>
      <c r="L24" s="6">
        <f t="shared" si="10"/>
        <v>1.5299999999999994</v>
      </c>
      <c r="M24" s="2"/>
      <c r="N24" s="7">
        <f t="shared" si="11"/>
        <v>0.1324675324675324</v>
      </c>
      <c r="O24" s="11"/>
      <c r="P24" s="6">
        <v>88.53</v>
      </c>
      <c r="Q24" s="2"/>
      <c r="R24" s="7">
        <f t="shared" si="12"/>
        <v>0</v>
      </c>
      <c r="S24" s="2"/>
      <c r="T24" s="6">
        <v>85.86</v>
      </c>
      <c r="U24" s="2"/>
      <c r="V24" s="7">
        <f t="shared" si="13"/>
        <v>0</v>
      </c>
      <c r="W24" s="2"/>
      <c r="X24" s="6">
        <f t="shared" si="14"/>
        <v>2.6700000000000017</v>
      </c>
      <c r="Y24" s="2"/>
      <c r="Z24" s="7">
        <f t="shared" si="15"/>
        <v>3.1097134870719797E-2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514.27</v>
      </c>
      <c r="E25" s="2"/>
      <c r="F25" s="7">
        <f t="shared" si="8"/>
        <v>0</v>
      </c>
      <c r="G25" s="2"/>
      <c r="H25" s="6">
        <v>417.84</v>
      </c>
      <c r="I25" s="2"/>
      <c r="J25" s="7">
        <f t="shared" si="9"/>
        <v>0</v>
      </c>
      <c r="K25" s="2"/>
      <c r="L25" s="6">
        <f t="shared" si="10"/>
        <v>96.43</v>
      </c>
      <c r="M25" s="2"/>
      <c r="N25" s="7">
        <f t="shared" si="11"/>
        <v>0.23078211755695963</v>
      </c>
      <c r="O25" s="11"/>
      <c r="P25" s="6">
        <v>3480.67</v>
      </c>
      <c r="Q25" s="2"/>
      <c r="R25" s="7">
        <f t="shared" si="12"/>
        <v>0</v>
      </c>
      <c r="S25" s="2"/>
      <c r="T25" s="6">
        <v>3106.83</v>
      </c>
      <c r="U25" s="2"/>
      <c r="V25" s="7">
        <f t="shared" si="13"/>
        <v>0</v>
      </c>
      <c r="W25" s="2"/>
      <c r="X25" s="6">
        <f t="shared" si="14"/>
        <v>373.84000000000015</v>
      </c>
      <c r="Y25" s="2"/>
      <c r="Z25" s="7">
        <f t="shared" si="15"/>
        <v>0.12032843766797674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464.78</v>
      </c>
      <c r="E26" s="2"/>
      <c r="F26" s="7">
        <f t="shared" si="8"/>
        <v>0</v>
      </c>
      <c r="G26" s="2"/>
      <c r="H26" s="6">
        <v>410.22</v>
      </c>
      <c r="I26" s="2"/>
      <c r="J26" s="7">
        <f t="shared" si="9"/>
        <v>0</v>
      </c>
      <c r="K26" s="2"/>
      <c r="L26" s="6">
        <f t="shared" si="10"/>
        <v>54.559999999999945</v>
      </c>
      <c r="M26" s="2"/>
      <c r="N26" s="7">
        <f t="shared" si="11"/>
        <v>0.13300180391009689</v>
      </c>
      <c r="O26" s="11"/>
      <c r="P26" s="6">
        <v>3919.03</v>
      </c>
      <c r="Q26" s="2"/>
      <c r="R26" s="7">
        <f t="shared" si="12"/>
        <v>0</v>
      </c>
      <c r="S26" s="2"/>
      <c r="T26" s="6">
        <v>2611.92</v>
      </c>
      <c r="U26" s="2"/>
      <c r="V26" s="7">
        <f t="shared" si="13"/>
        <v>0</v>
      </c>
      <c r="W26" s="2"/>
      <c r="X26" s="6">
        <f t="shared" si="14"/>
        <v>1307.1100000000001</v>
      </c>
      <c r="Y26" s="2"/>
      <c r="Z26" s="7">
        <f t="shared" si="15"/>
        <v>0.50044028913596128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232.08</v>
      </c>
      <c r="E27" s="2"/>
      <c r="F27" s="7">
        <f t="shared" si="8"/>
        <v>0</v>
      </c>
      <c r="G27" s="2"/>
      <c r="H27" s="6">
        <v>204.83</v>
      </c>
      <c r="I27" s="2"/>
      <c r="J27" s="7">
        <f t="shared" si="9"/>
        <v>0</v>
      </c>
      <c r="K27" s="2"/>
      <c r="L27" s="6">
        <f t="shared" si="10"/>
        <v>27.25</v>
      </c>
      <c r="M27" s="2"/>
      <c r="N27" s="7">
        <f t="shared" si="11"/>
        <v>0.13303715276082603</v>
      </c>
      <c r="O27" s="11"/>
      <c r="P27" s="6">
        <v>7887.88</v>
      </c>
      <c r="Q27" s="2"/>
      <c r="R27" s="7">
        <f t="shared" si="12"/>
        <v>0</v>
      </c>
      <c r="S27" s="2"/>
      <c r="T27" s="6">
        <v>2496.92</v>
      </c>
      <c r="U27" s="2"/>
      <c r="V27" s="7">
        <f t="shared" si="13"/>
        <v>0</v>
      </c>
      <c r="W27" s="2"/>
      <c r="X27" s="6">
        <f t="shared" si="14"/>
        <v>5390.96</v>
      </c>
      <c r="Y27" s="2"/>
      <c r="Z27" s="7">
        <f t="shared" si="15"/>
        <v>2.1590439421367122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126.07</v>
      </c>
      <c r="E28" s="2"/>
      <c r="F28" s="7">
        <f t="shared" si="8"/>
        <v>0</v>
      </c>
      <c r="G28" s="2"/>
      <c r="H28" s="6">
        <v>132.37</v>
      </c>
      <c r="I28" s="2"/>
      <c r="J28" s="7">
        <f t="shared" si="9"/>
        <v>0</v>
      </c>
      <c r="K28" s="2"/>
      <c r="L28" s="6">
        <f t="shared" si="10"/>
        <v>-6.3000000000000114</v>
      </c>
      <c r="M28" s="2"/>
      <c r="N28" s="7">
        <f t="shared" si="11"/>
        <v>-4.7593865679534719E-2</v>
      </c>
      <c r="O28" s="11"/>
      <c r="P28" s="6">
        <v>729.41</v>
      </c>
      <c r="Q28" s="2"/>
      <c r="R28" s="7">
        <f t="shared" si="12"/>
        <v>0</v>
      </c>
      <c r="S28" s="2"/>
      <c r="T28" s="6">
        <v>703.16</v>
      </c>
      <c r="U28" s="2"/>
      <c r="V28" s="7">
        <f t="shared" si="13"/>
        <v>0</v>
      </c>
      <c r="W28" s="2"/>
      <c r="X28" s="6">
        <f t="shared" si="14"/>
        <v>26.25</v>
      </c>
      <c r="Y28" s="2"/>
      <c r="Z28" s="7">
        <f t="shared" si="15"/>
        <v>3.7331475055463907E-2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4276.78</v>
      </c>
      <c r="E29" s="1"/>
      <c r="F29" s="5">
        <f t="shared" ref="F29:F38" si="16">IF(D$12=0,0,D29/D$12)</f>
        <v>0</v>
      </c>
      <c r="G29" s="1"/>
      <c r="H29" s="1">
        <f>SUM(OSRRefH22_1x_0)</f>
        <v>3996.78</v>
      </c>
      <c r="I29" s="1"/>
      <c r="J29" s="5">
        <f t="shared" ref="J29:J38" si="17">IF(H$12=0,0,H29/H$12)</f>
        <v>0</v>
      </c>
      <c r="K29" s="1"/>
      <c r="L29" s="1">
        <f t="shared" ref="L29:L38" si="18">+D29-H29</f>
        <v>279.99999999999955</v>
      </c>
      <c r="M29" s="1"/>
      <c r="N29" s="5">
        <f t="shared" ref="N29:N38" si="19">IF(H29=0,0,L29/H29)</f>
        <v>7.0056395398295515E-2</v>
      </c>
      <c r="O29" s="13"/>
      <c r="P29" s="1">
        <f>SUM(OSRRefP22_1x_0)</f>
        <v>23099.18</v>
      </c>
      <c r="Q29" s="1"/>
      <c r="R29" s="5">
        <f t="shared" ref="R29:R38" si="20">IF(P$12=0,0,P29/P$12)</f>
        <v>0</v>
      </c>
      <c r="S29" s="1"/>
      <c r="T29" s="1">
        <f>SUM(OSRRefT22_1x_0)</f>
        <v>20205.919999999998</v>
      </c>
      <c r="U29" s="1"/>
      <c r="V29" s="5">
        <f t="shared" ref="V29:V38" si="21">IF(T$12=0,0,T29/T$12)</f>
        <v>0</v>
      </c>
      <c r="W29" s="1"/>
      <c r="X29" s="1">
        <f t="shared" ref="X29:X38" si="22">+P29-T29</f>
        <v>2893.260000000002</v>
      </c>
      <c r="Y29" s="1"/>
      <c r="Z29" s="5">
        <f t="shared" ref="Z29:Z38" si="23">IF(T29=0,0,X29/T29)</f>
        <v>0.14318872884778333</v>
      </c>
    </row>
    <row r="30" spans="1:26" s="24" customFormat="1" hidden="1" outlineLevel="2" x14ac:dyDescent="0.25">
      <c r="A30" s="26"/>
      <c r="B30" s="11" t="str">
        <f>CONCATENATE("          ", "6001", " - ", "ADMINISTRATIVE SALARIES")</f>
        <v xml:space="preserve">          6001 - ADMINISTRATIVE SALARIES</v>
      </c>
      <c r="C30" s="11"/>
      <c r="D30" s="6">
        <v>4276.78</v>
      </c>
      <c r="E30" s="2"/>
      <c r="F30" s="7">
        <f t="shared" si="16"/>
        <v>0</v>
      </c>
      <c r="G30" s="2"/>
      <c r="H30" s="6">
        <v>3996.78</v>
      </c>
      <c r="I30" s="2"/>
      <c r="J30" s="7">
        <f t="shared" si="17"/>
        <v>0</v>
      </c>
      <c r="K30" s="2"/>
      <c r="L30" s="6">
        <f t="shared" si="18"/>
        <v>279.99999999999955</v>
      </c>
      <c r="M30" s="2"/>
      <c r="N30" s="7">
        <f t="shared" si="19"/>
        <v>7.0056395398295515E-2</v>
      </c>
      <c r="O30" s="11"/>
      <c r="P30" s="6">
        <v>23099.18</v>
      </c>
      <c r="Q30" s="2"/>
      <c r="R30" s="7">
        <f t="shared" si="20"/>
        <v>0</v>
      </c>
      <c r="S30" s="2"/>
      <c r="T30" s="6">
        <v>20205.919999999998</v>
      </c>
      <c r="U30" s="2"/>
      <c r="V30" s="7">
        <f t="shared" si="21"/>
        <v>0</v>
      </c>
      <c r="W30" s="2"/>
      <c r="X30" s="6">
        <f t="shared" si="22"/>
        <v>2893.260000000002</v>
      </c>
      <c r="Y30" s="2"/>
      <c r="Z30" s="7">
        <f t="shared" si="23"/>
        <v>0.14318872884778333</v>
      </c>
    </row>
    <row r="31" spans="1:26" s="25" customFormat="1" outlineLevel="1" collapsed="1" x14ac:dyDescent="0.25">
      <c r="A31" s="27"/>
      <c r="B31" s="13" t="str">
        <f>CONCATENATE("     ","General                                           ")</f>
        <v xml:space="preserve">     General                                           </v>
      </c>
      <c r="C31" s="13"/>
      <c r="D31" s="1">
        <f>SUM(OSRRefD22_2x_0)</f>
        <v>0</v>
      </c>
      <c r="E31" s="1"/>
      <c r="F31" s="5">
        <f t="shared" si="16"/>
        <v>0</v>
      </c>
      <c r="G31" s="1"/>
      <c r="H31" s="1">
        <f>SUM(OSRRefH22_2x_0)</f>
        <v>0</v>
      </c>
      <c r="I31" s="1"/>
      <c r="J31" s="5">
        <f t="shared" si="17"/>
        <v>0</v>
      </c>
      <c r="K31" s="1"/>
      <c r="L31" s="1">
        <f t="shared" si="18"/>
        <v>0</v>
      </c>
      <c r="M31" s="1"/>
      <c r="N31" s="5">
        <f t="shared" si="19"/>
        <v>0</v>
      </c>
      <c r="O31" s="13"/>
      <c r="P31" s="1">
        <f>SUM(OSRRefP22_2x_0)</f>
        <v>2443.65</v>
      </c>
      <c r="Q31" s="1"/>
      <c r="R31" s="5">
        <f t="shared" si="20"/>
        <v>0</v>
      </c>
      <c r="S31" s="1"/>
      <c r="T31" s="1">
        <f>SUM(OSRRefT22_2x_0)</f>
        <v>2357.6</v>
      </c>
      <c r="U31" s="1"/>
      <c r="V31" s="5">
        <f t="shared" si="21"/>
        <v>0</v>
      </c>
      <c r="W31" s="1"/>
      <c r="X31" s="1">
        <f t="shared" si="22"/>
        <v>86.050000000000182</v>
      </c>
      <c r="Y31" s="1"/>
      <c r="Z31" s="5">
        <f t="shared" si="23"/>
        <v>3.6498982015609173E-2</v>
      </c>
    </row>
    <row r="32" spans="1:26" s="24" customFormat="1" hidden="1" outlineLevel="2" x14ac:dyDescent="0.25">
      <c r="A32" s="26"/>
      <c r="B32" s="11" t="str">
        <f>CONCATENATE("          ", "6279", " - ", "GENERAL EXPENSE")</f>
        <v xml:space="preserve">          6279 - GENERAL EXPENSE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>
        <v>2443.65</v>
      </c>
      <c r="Q32" s="2"/>
      <c r="R32" s="7">
        <f t="shared" si="20"/>
        <v>0</v>
      </c>
      <c r="S32" s="2"/>
      <c r="T32" s="6">
        <v>2357.6</v>
      </c>
      <c r="U32" s="2"/>
      <c r="V32" s="7">
        <f t="shared" si="21"/>
        <v>0</v>
      </c>
      <c r="W32" s="2"/>
      <c r="X32" s="6">
        <f t="shared" si="22"/>
        <v>86.050000000000182</v>
      </c>
      <c r="Y32" s="2"/>
      <c r="Z32" s="7">
        <f t="shared" si="23"/>
        <v>3.6498982015609173E-2</v>
      </c>
    </row>
    <row r="33" spans="1:26" s="25" customFormat="1" outlineLevel="1" collapsed="1" x14ac:dyDescent="0.25">
      <c r="A33" s="27"/>
      <c r="B33" s="13" t="str">
        <f>CONCATENATE("     ","Royalty &amp; Commissions                             ")</f>
        <v xml:space="preserve">     Royalty &amp; Commissions                             </v>
      </c>
      <c r="C33" s="13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0</v>
      </c>
      <c r="I33" s="1"/>
      <c r="J33" s="5">
        <f t="shared" si="17"/>
        <v>0</v>
      </c>
      <c r="K33" s="1"/>
      <c r="L33" s="1">
        <f t="shared" si="18"/>
        <v>0</v>
      </c>
      <c r="M33" s="1"/>
      <c r="N33" s="5">
        <f t="shared" si="19"/>
        <v>0</v>
      </c>
      <c r="O33" s="13"/>
      <c r="P33" s="1">
        <f>SUM(OSRRefP22_3x_0)</f>
        <v>10393.31</v>
      </c>
      <c r="Q33" s="1"/>
      <c r="R33" s="5">
        <f t="shared" si="20"/>
        <v>0</v>
      </c>
      <c r="S33" s="1"/>
      <c r="T33" s="1">
        <f>SUM(OSRRefT22_3x_0)</f>
        <v>5747.55</v>
      </c>
      <c r="U33" s="1"/>
      <c r="V33" s="5">
        <f t="shared" si="21"/>
        <v>0</v>
      </c>
      <c r="W33" s="1"/>
      <c r="X33" s="1">
        <f t="shared" si="22"/>
        <v>4645.7599999999993</v>
      </c>
      <c r="Y33" s="1"/>
      <c r="Z33" s="5">
        <f t="shared" si="23"/>
        <v>0.80830266809336138</v>
      </c>
    </row>
    <row r="34" spans="1:26" s="24" customFormat="1" hidden="1" outlineLevel="2" x14ac:dyDescent="0.25">
      <c r="A34" s="26"/>
      <c r="B34" s="11" t="str">
        <f>CONCATENATE("          ", "6254", " - ", "ROYALTY &amp; COMMISSIONS")</f>
        <v xml:space="preserve">          6254 - ROYALTY &amp; COMMISSIONS</v>
      </c>
      <c r="C34" s="11"/>
      <c r="D34" s="6"/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>
        <v>10393.31</v>
      </c>
      <c r="Q34" s="2"/>
      <c r="R34" s="7">
        <f t="shared" si="20"/>
        <v>0</v>
      </c>
      <c r="S34" s="2"/>
      <c r="T34" s="6">
        <v>5747.55</v>
      </c>
      <c r="U34" s="2"/>
      <c r="V34" s="7">
        <f t="shared" si="21"/>
        <v>0</v>
      </c>
      <c r="W34" s="2"/>
      <c r="X34" s="6">
        <f t="shared" si="22"/>
        <v>4645.7599999999993</v>
      </c>
      <c r="Y34" s="2"/>
      <c r="Z34" s="7">
        <f t="shared" si="23"/>
        <v>0.80830266809336138</v>
      </c>
    </row>
    <row r="35" spans="1:26" s="25" customFormat="1" outlineLevel="1" collapsed="1" x14ac:dyDescent="0.25">
      <c r="A35" s="27"/>
      <c r="B35" s="13" t="str">
        <f>CONCATENATE("     ","Supplies                                          ")</f>
        <v xml:space="preserve">     Supplies                                          </v>
      </c>
      <c r="C35" s="13"/>
      <c r="D35" s="1">
        <f>SUM(OSRRefD22_4x_0)</f>
        <v>5.78</v>
      </c>
      <c r="E35" s="1"/>
      <c r="F35" s="5">
        <f t="shared" si="16"/>
        <v>0</v>
      </c>
      <c r="G35" s="1"/>
      <c r="H35" s="1">
        <f>SUM(OSRRefH22_4x_0)</f>
        <v>0</v>
      </c>
      <c r="I35" s="1"/>
      <c r="J35" s="5">
        <f t="shared" si="17"/>
        <v>0</v>
      </c>
      <c r="K35" s="1"/>
      <c r="L35" s="1">
        <f t="shared" si="18"/>
        <v>5.78</v>
      </c>
      <c r="M35" s="1"/>
      <c r="N35" s="5">
        <f t="shared" si="19"/>
        <v>0</v>
      </c>
      <c r="O35" s="13"/>
      <c r="P35" s="1">
        <f>SUM(OSRRefP22_4x_0)</f>
        <v>37.53</v>
      </c>
      <c r="Q35" s="1"/>
      <c r="R35" s="5">
        <f t="shared" si="20"/>
        <v>0</v>
      </c>
      <c r="S35" s="1"/>
      <c r="T35" s="1">
        <f>SUM(OSRRefT22_4x_0)</f>
        <v>525.89</v>
      </c>
      <c r="U35" s="1"/>
      <c r="V35" s="5">
        <f t="shared" si="21"/>
        <v>0</v>
      </c>
      <c r="W35" s="1"/>
      <c r="X35" s="1">
        <f t="shared" si="22"/>
        <v>-488.36</v>
      </c>
      <c r="Y35" s="1"/>
      <c r="Z35" s="5">
        <f t="shared" si="23"/>
        <v>-0.92863526593013757</v>
      </c>
    </row>
    <row r="36" spans="1:26" s="24" customFormat="1" hidden="1" outlineLevel="2" x14ac:dyDescent="0.25">
      <c r="A36" s="26"/>
      <c r="B36" s="11" t="str">
        <f>CONCATENATE("          ", "6241", " - ", "OFFICE EXPENSE")</f>
        <v xml:space="preserve">          6241 - OFFICE EXPENSE</v>
      </c>
      <c r="C36" s="11"/>
      <c r="D36" s="6">
        <v>5.78</v>
      </c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5.78</v>
      </c>
      <c r="M36" s="2"/>
      <c r="N36" s="7">
        <f t="shared" si="19"/>
        <v>0</v>
      </c>
      <c r="O36" s="11"/>
      <c r="P36" s="6">
        <v>37.53</v>
      </c>
      <c r="Q36" s="2"/>
      <c r="R36" s="7">
        <f t="shared" si="20"/>
        <v>0</v>
      </c>
      <c r="S36" s="2"/>
      <c r="T36" s="6">
        <v>525.89</v>
      </c>
      <c r="U36" s="2"/>
      <c r="V36" s="7">
        <f t="shared" si="21"/>
        <v>0</v>
      </c>
      <c r="W36" s="2"/>
      <c r="X36" s="6">
        <f t="shared" si="22"/>
        <v>-488.36</v>
      </c>
      <c r="Y36" s="2"/>
      <c r="Z36" s="7">
        <f t="shared" si="23"/>
        <v>-0.92863526593013757</v>
      </c>
    </row>
    <row r="37" spans="1:26" s="25" customFormat="1" outlineLevel="1" collapsed="1" x14ac:dyDescent="0.25">
      <c r="A37" s="27"/>
      <c r="B37" s="13" t="str">
        <f>CONCATENATE("     ","Telephone/Data Lines                              ")</f>
        <v xml:space="preserve">     Telephone/Data Lines                              </v>
      </c>
      <c r="C37" s="13"/>
      <c r="D37" s="1">
        <f>SUM(OSRRefD22_5x_0)</f>
        <v>-62.55</v>
      </c>
      <c r="E37" s="1"/>
      <c r="F37" s="5">
        <f t="shared" si="16"/>
        <v>0</v>
      </c>
      <c r="G37" s="1"/>
      <c r="H37" s="1">
        <f>SUM(OSRRefH22_5x_0)</f>
        <v>89.85</v>
      </c>
      <c r="I37" s="1"/>
      <c r="J37" s="5">
        <f t="shared" si="17"/>
        <v>0</v>
      </c>
      <c r="K37" s="1"/>
      <c r="L37" s="1">
        <f t="shared" si="18"/>
        <v>-152.39999999999998</v>
      </c>
      <c r="M37" s="1"/>
      <c r="N37" s="5">
        <f t="shared" si="19"/>
        <v>-1.696160267111853</v>
      </c>
      <c r="O37" s="13"/>
      <c r="P37" s="1">
        <f>SUM(OSRRefP22_5x_0)</f>
        <v>647.4</v>
      </c>
      <c r="Q37" s="1"/>
      <c r="R37" s="5">
        <f t="shared" si="20"/>
        <v>0</v>
      </c>
      <c r="S37" s="1"/>
      <c r="T37" s="1">
        <f>SUM(OSRRefT22_5x_0)</f>
        <v>372.95</v>
      </c>
      <c r="U37" s="1"/>
      <c r="V37" s="5">
        <f t="shared" si="21"/>
        <v>0</v>
      </c>
      <c r="W37" s="1"/>
      <c r="X37" s="1">
        <f t="shared" si="22"/>
        <v>274.45</v>
      </c>
      <c r="Y37" s="1"/>
      <c r="Z37" s="5">
        <f t="shared" si="23"/>
        <v>0.73588952942753716</v>
      </c>
    </row>
    <row r="38" spans="1:26" s="24" customFormat="1" hidden="1" outlineLevel="2" x14ac:dyDescent="0.25">
      <c r="A38" s="26"/>
      <c r="B38" s="11" t="str">
        <f>CONCATENATE("          ", "6309", " - ", "TELEPHONE")</f>
        <v xml:space="preserve">          6309 - TELEPHONE</v>
      </c>
      <c r="C38" s="11"/>
      <c r="D38" s="6">
        <v>-62.55</v>
      </c>
      <c r="E38" s="2"/>
      <c r="F38" s="7">
        <f t="shared" si="16"/>
        <v>0</v>
      </c>
      <c r="G38" s="2"/>
      <c r="H38" s="6">
        <v>89.85</v>
      </c>
      <c r="I38" s="2"/>
      <c r="J38" s="7">
        <f t="shared" si="17"/>
        <v>0</v>
      </c>
      <c r="K38" s="2"/>
      <c r="L38" s="6">
        <f t="shared" si="18"/>
        <v>-152.39999999999998</v>
      </c>
      <c r="M38" s="2"/>
      <c r="N38" s="7">
        <f t="shared" si="19"/>
        <v>-1.696160267111853</v>
      </c>
      <c r="O38" s="11"/>
      <c r="P38" s="6">
        <v>647.4</v>
      </c>
      <c r="Q38" s="2"/>
      <c r="R38" s="7">
        <f t="shared" si="20"/>
        <v>0</v>
      </c>
      <c r="S38" s="2"/>
      <c r="T38" s="6">
        <v>372.95</v>
      </c>
      <c r="U38" s="2"/>
      <c r="V38" s="7">
        <f t="shared" si="21"/>
        <v>0</v>
      </c>
      <c r="W38" s="2"/>
      <c r="X38" s="6">
        <f t="shared" si="22"/>
        <v>274.45</v>
      </c>
      <c r="Y38" s="2"/>
      <c r="Z38" s="7">
        <f t="shared" si="23"/>
        <v>0.73588952942753716</v>
      </c>
    </row>
    <row r="39" spans="1:26" s="53" customFormat="1" x14ac:dyDescent="0.25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8" t="s">
        <v>0</v>
      </c>
      <c r="C40" s="10"/>
      <c r="D40" s="4">
        <f>SUM(OSRRefD25x_0)</f>
        <v>13054.32</v>
      </c>
      <c r="E40" s="4"/>
      <c r="F40" s="12">
        <f t="shared" ref="F40:F41" si="24">IF(D$12=0,0,D40/D$12)</f>
        <v>0</v>
      </c>
      <c r="G40" s="4"/>
      <c r="H40" s="4">
        <f>SUM(OSRRefH25x_0)</f>
        <v>40610.21</v>
      </c>
      <c r="I40" s="4"/>
      <c r="J40" s="12">
        <f t="shared" ref="J40:J41" si="25">IF(H$12=0,0,H40/H$12)</f>
        <v>0</v>
      </c>
      <c r="K40" s="4"/>
      <c r="L40" s="4">
        <f t="shared" ref="L40:L41" si="26">+D40-H40</f>
        <v>-27555.89</v>
      </c>
      <c r="M40" s="4"/>
      <c r="N40" s="12">
        <f t="shared" ref="N40:N41" si="27">IF(H40=0,0,L40/H40)</f>
        <v>-0.67854586322011134</v>
      </c>
      <c r="O40" s="10"/>
      <c r="P40" s="4">
        <f>SUM(OSRRefP25x_0)</f>
        <v>71483.75</v>
      </c>
      <c r="Q40" s="4"/>
      <c r="R40" s="12">
        <f t="shared" ref="R40:R41" si="28">IF(P$12=0,0,P40/P$12)</f>
        <v>0</v>
      </c>
      <c r="S40" s="4"/>
      <c r="T40" s="4">
        <f>SUM(OSRRefT25x_0)</f>
        <v>80678.37</v>
      </c>
      <c r="U40" s="4"/>
      <c r="V40" s="12">
        <f t="shared" ref="V40:V41" si="29">IF(T$12=0,0,T40/T$12)</f>
        <v>0</v>
      </c>
      <c r="W40" s="4"/>
      <c r="X40" s="4">
        <f t="shared" ref="X40:X41" si="30">+P40-T40</f>
        <v>-9194.6199999999953</v>
      </c>
      <c r="Y40" s="4"/>
      <c r="Z40" s="12">
        <f t="shared" ref="Z40:Z41" si="31">IF(T40=0,0,X40/T40)</f>
        <v>-0.11396635802136305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>--13054.32</f>
        <v>13054.32</v>
      </c>
      <c r="E41" s="2"/>
      <c r="F41" s="19">
        <f t="shared" si="24"/>
        <v>0</v>
      </c>
      <c r="G41" s="2"/>
      <c r="H41" s="2">
        <f>--40610.21</f>
        <v>40610.21</v>
      </c>
      <c r="I41" s="2"/>
      <c r="J41" s="19">
        <f t="shared" si="25"/>
        <v>0</v>
      </c>
      <c r="K41" s="2"/>
      <c r="L41" s="2">
        <f t="shared" si="26"/>
        <v>-27555.89</v>
      </c>
      <c r="M41" s="2"/>
      <c r="N41" s="19">
        <f t="shared" si="27"/>
        <v>-0.67854586322011134</v>
      </c>
      <c r="O41" s="11"/>
      <c r="P41" s="2">
        <f>--71483.75</f>
        <v>71483.75</v>
      </c>
      <c r="Q41" s="2"/>
      <c r="R41" s="19">
        <f t="shared" si="28"/>
        <v>0</v>
      </c>
      <c r="S41" s="2"/>
      <c r="T41" s="2">
        <f>--80678.37</f>
        <v>80678.37</v>
      </c>
      <c r="U41" s="2"/>
      <c r="V41" s="19">
        <f t="shared" si="29"/>
        <v>0</v>
      </c>
      <c r="W41" s="2"/>
      <c r="X41" s="2">
        <f t="shared" si="30"/>
        <v>-9194.6199999999953</v>
      </c>
      <c r="Y41" s="2"/>
      <c r="Z41" s="19">
        <f t="shared" si="31"/>
        <v>-0.11396635802136305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9" t="s">
        <v>3</v>
      </c>
      <c r="C43" s="29"/>
      <c r="D43" s="21">
        <f>+D17-D19+D40</f>
        <v>6070.57</v>
      </c>
      <c r="E43" s="14"/>
      <c r="F43" s="20">
        <f>IF(D$12=0,0,D43/D$12)</f>
        <v>0</v>
      </c>
      <c r="G43" s="14"/>
      <c r="H43" s="21">
        <f>+H17-H19+H40</f>
        <v>33772.69</v>
      </c>
      <c r="I43" s="14"/>
      <c r="J43" s="20">
        <f>IF(H$12=0,0,H43/H$12)</f>
        <v>0</v>
      </c>
      <c r="K43" s="15"/>
      <c r="L43" s="21">
        <f>+D43-H43</f>
        <v>-27702.120000000003</v>
      </c>
      <c r="M43" s="15"/>
      <c r="N43" s="20">
        <f>IF(H43=0,0,L43/H43)</f>
        <v>-0.82025210310460905</v>
      </c>
      <c r="O43" s="28"/>
      <c r="P43" s="21">
        <f>+P17-P19+P40</f>
        <v>10857.849999999999</v>
      </c>
      <c r="Q43" s="14"/>
      <c r="R43" s="20">
        <f>IF(P$12=0,0,P43/P$12)</f>
        <v>0</v>
      </c>
      <c r="S43" s="14"/>
      <c r="T43" s="21">
        <f>+T17-T19+T40</f>
        <v>33546.519999999997</v>
      </c>
      <c r="U43" s="14"/>
      <c r="V43" s="20">
        <f>IF(T$12=0,0,T43/T$12)</f>
        <v>0</v>
      </c>
      <c r="W43" s="15"/>
      <c r="X43" s="21">
        <f>+P43-T43</f>
        <v>-22688.67</v>
      </c>
      <c r="Y43" s="15"/>
      <c r="Z43" s="20">
        <f>IF(T43=0,0,X43/T43)</f>
        <v>-0.67633453484892025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13</v>
      </c>
      <c r="C45" s="10"/>
      <c r="D45" s="4"/>
      <c r="E45" s="4"/>
      <c r="F45" s="12">
        <f>IF(D$12=0,0,D45/D$12)</f>
        <v>0</v>
      </c>
      <c r="G45" s="4"/>
      <c r="H45" s="4"/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/>
      <c r="Q45" s="4"/>
      <c r="R45" s="12">
        <f>IF(P$12=0,0,P45/P$12)</f>
        <v>0</v>
      </c>
      <c r="S45" s="4"/>
      <c r="T45" s="4"/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9" t="s">
        <v>4</v>
      </c>
      <c r="C47" s="29"/>
      <c r="D47" s="31">
        <f>+D43-D45</f>
        <v>6070.57</v>
      </c>
      <c r="E47" s="14"/>
      <c r="F47" s="32">
        <f>IF(D$12=0,0,D47/D$12)</f>
        <v>0</v>
      </c>
      <c r="G47" s="14"/>
      <c r="H47" s="31">
        <f>+H43-H45</f>
        <v>33772.69</v>
      </c>
      <c r="I47" s="14"/>
      <c r="J47" s="32">
        <f>IF(H$12=0,0,H47/H$12)</f>
        <v>0</v>
      </c>
      <c r="K47" s="15"/>
      <c r="L47" s="31">
        <f>D47-H47</f>
        <v>-27702.120000000003</v>
      </c>
      <c r="M47" s="15"/>
      <c r="N47" s="32">
        <f>IF(H47=0,0,L47/H47)</f>
        <v>-0.82025210310460905</v>
      </c>
      <c r="O47" s="28"/>
      <c r="P47" s="31">
        <f>+P43-P45</f>
        <v>10857.849999999999</v>
      </c>
      <c r="Q47" s="14"/>
      <c r="R47" s="32">
        <f>IF(P$12=0,0,P47/P$12)</f>
        <v>0</v>
      </c>
      <c r="S47" s="14"/>
      <c r="T47" s="31">
        <f>+T43-T45</f>
        <v>33546.519999999997</v>
      </c>
      <c r="U47" s="14"/>
      <c r="V47" s="32">
        <f>IF(T$12=0,0,T47/T$12)</f>
        <v>0</v>
      </c>
      <c r="W47" s="15"/>
      <c r="X47" s="31">
        <f>P47-T47</f>
        <v>-22688.67</v>
      </c>
      <c r="Y47" s="15"/>
      <c r="Z47" s="32">
        <f>IF(T47=0,0,X47/T47)</f>
        <v>-0.67633453484892025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9" t="s">
        <v>5</v>
      </c>
      <c r="C50" s="29"/>
      <c r="D50" s="34">
        <f>SUM(D47:D49)</f>
        <v>6070.57</v>
      </c>
      <c r="E50" s="14"/>
      <c r="F50" s="30">
        <f>IF(D$12=0,0,D50/D$12)</f>
        <v>0</v>
      </c>
      <c r="G50" s="14"/>
      <c r="H50" s="34">
        <f>SUM(H47:H49)</f>
        <v>33772.69</v>
      </c>
      <c r="I50" s="14"/>
      <c r="J50" s="30">
        <f>IF(H$12=0,0,H50/H$12)</f>
        <v>0</v>
      </c>
      <c r="K50" s="15"/>
      <c r="L50" s="34">
        <f>+D50-H50</f>
        <v>-27702.120000000003</v>
      </c>
      <c r="M50" s="15"/>
      <c r="N50" s="30">
        <f>IF(H50=0,0,L50/H50)</f>
        <v>-0.82025210310460905</v>
      </c>
      <c r="O50" s="28"/>
      <c r="P50" s="34">
        <f>SUM(P47:P49)</f>
        <v>10857.849999999999</v>
      </c>
      <c r="Q50" s="14"/>
      <c r="R50" s="30">
        <f>IF(P$12=0,0,P50/P$12)</f>
        <v>0</v>
      </c>
      <c r="S50" s="14"/>
      <c r="T50" s="34">
        <f>SUM(T47:T49)</f>
        <v>33546.519999999997</v>
      </c>
      <c r="U50" s="14"/>
      <c r="V50" s="30">
        <f>IF(T$12=0,0,T50/T$12)</f>
        <v>0</v>
      </c>
      <c r="W50" s="15"/>
      <c r="X50" s="34">
        <f>+P50-T50</f>
        <v>-22688.67</v>
      </c>
      <c r="Y50" s="15"/>
      <c r="Z50" s="30">
        <f>IF(T50=0,0,X50/T50)</f>
        <v>-0.67633453484892025</v>
      </c>
    </row>
    <row r="51" spans="1:26" ht="15.75" thickTop="1" x14ac:dyDescent="0.25">
      <c r="A51" s="9"/>
      <c r="C51" s="9"/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  <row r="52" spans="1:26" x14ac:dyDescent="0.25">
      <c r="A52" s="9"/>
      <c r="B52" s="59">
        <v>43815.492194479164</v>
      </c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  <row r="53" spans="1:26" x14ac:dyDescent="0.25">
      <c r="A53" s="9"/>
      <c r="B53" s="62" t="s">
        <v>313</v>
      </c>
      <c r="D53" s="18"/>
      <c r="E53" s="18"/>
      <c r="G53" s="18"/>
      <c r="H53" s="18"/>
      <c r="I53" s="18"/>
      <c r="J53" s="43"/>
      <c r="K53" s="18"/>
      <c r="L53" s="18"/>
      <c r="M53" s="18"/>
      <c r="P53" s="18"/>
      <c r="Q53" s="18"/>
      <c r="R53" s="43"/>
      <c r="S53" s="18"/>
      <c r="T53" s="18"/>
      <c r="U53" s="18"/>
      <c r="V53" s="43"/>
      <c r="W53" s="18"/>
      <c r="X53" s="18"/>
    </row>
    <row r="54" spans="1:26" x14ac:dyDescent="0.25">
      <c r="A54" s="9"/>
      <c r="B54" s="61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","424", " - ", "Blair Field")</f>
        <v>Department 424 - Blair Field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19851.87</v>
      </c>
      <c r="Q12" s="4"/>
      <c r="R12" s="12"/>
      <c r="S12" s="4"/>
      <c r="T12" s="4">
        <f>SUM(OSRRefT13x_0)</f>
        <v>29308.32</v>
      </c>
      <c r="U12" s="4"/>
      <c r="V12" s="12"/>
      <c r="W12" s="4"/>
      <c r="X12" s="4">
        <f t="shared" ref="X12:X14" si="2">+P12-T12</f>
        <v>-9456.4500000000007</v>
      </c>
      <c r="Y12" s="4"/>
      <c r="Z12" s="12">
        <f t="shared" ref="Z12:Z14" si="3">IF(T12=0,0,X12/T12)</f>
        <v>-0.32265411323474019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--19851.87</f>
        <v>19851.87</v>
      </c>
      <c r="Q13" s="2"/>
      <c r="R13" s="19"/>
      <c r="S13" s="2"/>
      <c r="T13" s="2">
        <f>--17802.24</f>
        <v>17802.240000000002</v>
      </c>
      <c r="U13" s="2"/>
      <c r="V13" s="19"/>
      <c r="W13" s="2"/>
      <c r="X13" s="2">
        <f t="shared" si="2"/>
        <v>2049.6299999999974</v>
      </c>
      <c r="Y13" s="2"/>
      <c r="Z13" s="19">
        <f t="shared" si="3"/>
        <v>0.11513326412855894</v>
      </c>
    </row>
    <row r="14" spans="1:26" s="24" customFormat="1" hidden="1" outlineLevel="1" x14ac:dyDescent="0.25">
      <c r="A14" s="44"/>
      <c r="B14" s="11" t="str">
        <f>CONCATENATE("          ", "4057", " - ", "TAXABLE SALES-FOOD")</f>
        <v xml:space="preserve">          4057 - TAXABLE SALES-FOOD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--11506.08</f>
        <v>11506.08</v>
      </c>
      <c r="U14" s="2"/>
      <c r="V14" s="19"/>
      <c r="W14" s="2"/>
      <c r="X14" s="2">
        <f t="shared" si="2"/>
        <v>-11506.08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0</v>
      </c>
      <c r="M16" s="4"/>
      <c r="N16" s="12">
        <f t="shared" ref="N16:N18" si="9">IF(H16=0,0,L16/H16)</f>
        <v>0</v>
      </c>
      <c r="O16" s="10"/>
      <c r="P16" s="4">
        <f>SUM(OSRRefP16x_0)</f>
        <v>4810.79</v>
      </c>
      <c r="Q16" s="4"/>
      <c r="R16" s="12">
        <f t="shared" ref="R16:R18" si="10">IF(P$12=0,0,P16/P$12)</f>
        <v>0.24233434935852391</v>
      </c>
      <c r="S16" s="4"/>
      <c r="T16" s="4">
        <f>SUM(OSRRefT16x_0)</f>
        <v>7325.93</v>
      </c>
      <c r="U16" s="4"/>
      <c r="V16" s="12">
        <f t="shared" ref="V16:V18" si="11">IF(T$12=0,0,T16/T$12)</f>
        <v>0.24996076199522868</v>
      </c>
      <c r="W16" s="4"/>
      <c r="X16" s="4">
        <f t="shared" ref="X16:X18" si="12">+P16-T16</f>
        <v>-2515.1400000000003</v>
      </c>
      <c r="Y16" s="4"/>
      <c r="Z16" s="12">
        <f t="shared" ref="Z16:Z18" si="13">IF(T16=0,0,X16/T16)</f>
        <v>-0.3433202337450672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/>
      <c r="I17" s="2"/>
      <c r="J17" s="19">
        <f t="shared" si="7"/>
        <v>0</v>
      </c>
      <c r="K17" s="2"/>
      <c r="L17" s="2">
        <f t="shared" si="8"/>
        <v>0</v>
      </c>
      <c r="M17" s="2"/>
      <c r="N17" s="19">
        <f t="shared" si="9"/>
        <v>0</v>
      </c>
      <c r="O17" s="11"/>
      <c r="P17" s="2">
        <v>6367.79</v>
      </c>
      <c r="Q17" s="2"/>
      <c r="R17" s="19">
        <f t="shared" si="10"/>
        <v>0.32076524780788912</v>
      </c>
      <c r="S17" s="2"/>
      <c r="T17" s="2">
        <v>3459.93</v>
      </c>
      <c r="U17" s="2"/>
      <c r="V17" s="19">
        <f t="shared" si="11"/>
        <v>0.11805282595522364</v>
      </c>
      <c r="W17" s="2"/>
      <c r="X17" s="2">
        <f t="shared" si="12"/>
        <v>2907.86</v>
      </c>
      <c r="Y17" s="2"/>
      <c r="Z17" s="19">
        <f t="shared" si="13"/>
        <v>0.84043896841843624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-1557</v>
      </c>
      <c r="Q18" s="2"/>
      <c r="R18" s="19">
        <f t="shared" si="10"/>
        <v>-7.8430898449365224E-2</v>
      </c>
      <c r="S18" s="2"/>
      <c r="T18" s="2">
        <v>3866</v>
      </c>
      <c r="U18" s="2"/>
      <c r="V18" s="19">
        <f t="shared" si="11"/>
        <v>0.13190793604000503</v>
      </c>
      <c r="W18" s="2"/>
      <c r="X18" s="2">
        <f t="shared" si="12"/>
        <v>-5423</v>
      </c>
      <c r="Y18" s="2"/>
      <c r="Z18" s="19">
        <f t="shared" si="13"/>
        <v>-1.4027418520434558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1">
        <f>D12-D16</f>
        <v>0</v>
      </c>
      <c r="E20" s="14"/>
      <c r="F20" s="20">
        <f>IF(D$12=0,0,D20/D$12)</f>
        <v>0</v>
      </c>
      <c r="G20" s="14"/>
      <c r="H20" s="21">
        <f>H12-H16</f>
        <v>0</v>
      </c>
      <c r="I20" s="14"/>
      <c r="J20" s="20">
        <f>IF(H$12=0,0,H20/H$12)</f>
        <v>0</v>
      </c>
      <c r="K20" s="15"/>
      <c r="L20" s="21">
        <f>+D20-H20</f>
        <v>0</v>
      </c>
      <c r="M20" s="15"/>
      <c r="N20" s="20">
        <f>IF(H20=0,0,L20/H20)</f>
        <v>0</v>
      </c>
      <c r="O20" s="28"/>
      <c r="P20" s="21">
        <f>P12-P16</f>
        <v>15041.079999999998</v>
      </c>
      <c r="Q20" s="14"/>
      <c r="R20" s="20">
        <f>IF(P$12=0,0,P20/P$12)</f>
        <v>0.75766565064147606</v>
      </c>
      <c r="S20" s="14"/>
      <c r="T20" s="21">
        <f>T12-T16</f>
        <v>21982.39</v>
      </c>
      <c r="U20" s="14"/>
      <c r="V20" s="20">
        <f>IF(T$12=0,0,T20/T$12)</f>
        <v>0.75003923800477135</v>
      </c>
      <c r="W20" s="15"/>
      <c r="X20" s="21">
        <f>+P20-T20</f>
        <v>-6941.3100000000013</v>
      </c>
      <c r="Y20" s="15"/>
      <c r="Z20" s="20">
        <f>IF(T20=0,0,X20/T20)</f>
        <v>-0.31576684791781062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2">
        <f>SUM(OSRRefD22x_0)</f>
        <v>1658.03</v>
      </c>
      <c r="E22" s="22"/>
      <c r="F22" s="33">
        <f t="shared" ref="F22:F26" si="14">IF(D$12=0,0,D22/D$12)</f>
        <v>0</v>
      </c>
      <c r="G22" s="22"/>
      <c r="H22" s="22">
        <f>SUM(OSRRefH22x_0)</f>
        <v>512.64</v>
      </c>
      <c r="I22" s="22"/>
      <c r="J22" s="33">
        <f t="shared" ref="J22:J26" si="15">IF(H$12=0,0,H22/H$12)</f>
        <v>0</v>
      </c>
      <c r="K22" s="4"/>
      <c r="L22" s="22">
        <f t="shared" ref="L22:L26" si="16">+D22-H22</f>
        <v>1145.3899999999999</v>
      </c>
      <c r="M22" s="4"/>
      <c r="N22" s="33">
        <f t="shared" ref="N22:N26" si="17">IF(H22=0,0,L22/H22)</f>
        <v>2.2342969725343318</v>
      </c>
      <c r="O22" s="10"/>
      <c r="P22" s="22">
        <f>SUM(OSRRefP22x_0)</f>
        <v>19694.789999999997</v>
      </c>
      <c r="Q22" s="22"/>
      <c r="R22" s="33">
        <f t="shared" ref="R22:R26" si="18">IF(P$12=0,0,P22/P$12)</f>
        <v>0.9920873952932393</v>
      </c>
      <c r="S22" s="22"/>
      <c r="T22" s="22">
        <f>SUM(OSRRefT22x_0)</f>
        <v>21896.71</v>
      </c>
      <c r="U22" s="22"/>
      <c r="V22" s="33">
        <f t="shared" ref="V22:V26" si="19">IF(T$12=0,0,T22/T$12)</f>
        <v>0.74711583604928566</v>
      </c>
      <c r="W22" s="4"/>
      <c r="X22" s="22">
        <f t="shared" ref="X22:X26" si="20">+P22-T22</f>
        <v>-2201.9200000000019</v>
      </c>
      <c r="Y22" s="4"/>
      <c r="Z22" s="33">
        <f t="shared" ref="Z22:Z26" si="21">IF(T22=0,0,X22/T22)</f>
        <v>-0.10055939910607585</v>
      </c>
    </row>
    <row r="23" spans="1:26" s="25" customFormat="1" outlineLevel="1" collapsed="1" x14ac:dyDescent="0.25">
      <c r="A23" s="27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5.38</v>
      </c>
      <c r="I23" s="1"/>
      <c r="J23" s="5">
        <f t="shared" si="15"/>
        <v>0</v>
      </c>
      <c r="K23" s="1"/>
      <c r="L23" s="1">
        <f t="shared" si="16"/>
        <v>-5.38</v>
      </c>
      <c r="M23" s="1"/>
      <c r="N23" s="5">
        <f t="shared" si="17"/>
        <v>-1</v>
      </c>
      <c r="O23" s="13"/>
      <c r="P23" s="1">
        <f>SUM(OSRRefP22_0x_0)</f>
        <v>355.92</v>
      </c>
      <c r="Q23" s="1"/>
      <c r="R23" s="5">
        <f t="shared" si="18"/>
        <v>1.7928789580024453E-2</v>
      </c>
      <c r="S23" s="1"/>
      <c r="T23" s="1">
        <f>SUM(OSRRefT22_0x_0)</f>
        <v>141.80000000000001</v>
      </c>
      <c r="U23" s="1"/>
      <c r="V23" s="5">
        <f t="shared" si="19"/>
        <v>4.8382165883271372E-3</v>
      </c>
      <c r="W23" s="1"/>
      <c r="X23" s="1">
        <f t="shared" si="20"/>
        <v>214.12</v>
      </c>
      <c r="Y23" s="1"/>
      <c r="Z23" s="5">
        <f t="shared" si="21"/>
        <v>1.5100141043723554</v>
      </c>
    </row>
    <row r="24" spans="1:26" s="24" customFormat="1" hidden="1" outlineLevel="2" x14ac:dyDescent="0.25">
      <c r="A24" s="26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/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1"/>
      <c r="P24" s="6">
        <v>366.32</v>
      </c>
      <c r="Q24" s="2"/>
      <c r="R24" s="7">
        <f t="shared" si="18"/>
        <v>1.8452669698119119E-2</v>
      </c>
      <c r="S24" s="2"/>
      <c r="T24" s="6">
        <v>71.17</v>
      </c>
      <c r="U24" s="2"/>
      <c r="V24" s="7">
        <f t="shared" si="19"/>
        <v>2.4283206952837966E-3</v>
      </c>
      <c r="W24" s="2"/>
      <c r="X24" s="6">
        <f t="shared" si="20"/>
        <v>295.14999999999998</v>
      </c>
      <c r="Y24" s="2"/>
      <c r="Z24" s="7">
        <f t="shared" si="21"/>
        <v>4.1471125474216661</v>
      </c>
    </row>
    <row r="25" spans="1:26" s="24" customFormat="1" hidden="1" outlineLevel="2" x14ac:dyDescent="0.25">
      <c r="A25" s="26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5.01</v>
      </c>
      <c r="I25" s="2"/>
      <c r="J25" s="7">
        <f t="shared" si="15"/>
        <v>0</v>
      </c>
      <c r="K25" s="2"/>
      <c r="L25" s="6">
        <f t="shared" si="16"/>
        <v>-5.01</v>
      </c>
      <c r="M25" s="2"/>
      <c r="N25" s="7">
        <f t="shared" si="17"/>
        <v>-1</v>
      </c>
      <c r="O25" s="11"/>
      <c r="P25" s="6">
        <v>-10.4</v>
      </c>
      <c r="Q25" s="2"/>
      <c r="R25" s="7">
        <f t="shared" si="18"/>
        <v>-5.2388011809466816E-4</v>
      </c>
      <c r="S25" s="2"/>
      <c r="T25" s="6">
        <v>65.75</v>
      </c>
      <c r="U25" s="2"/>
      <c r="V25" s="7">
        <f t="shared" si="19"/>
        <v>2.243390272796257E-3</v>
      </c>
      <c r="W25" s="2"/>
      <c r="X25" s="6">
        <f t="shared" si="20"/>
        <v>-76.150000000000006</v>
      </c>
      <c r="Y25" s="2"/>
      <c r="Z25" s="7">
        <f t="shared" si="21"/>
        <v>-1.1581749049429659</v>
      </c>
    </row>
    <row r="26" spans="1:26" s="24" customFormat="1" hidden="1" outlineLevel="2" x14ac:dyDescent="0.25">
      <c r="A26" s="26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0.37</v>
      </c>
      <c r="I26" s="2"/>
      <c r="J26" s="7">
        <f t="shared" si="15"/>
        <v>0</v>
      </c>
      <c r="K26" s="2"/>
      <c r="L26" s="6">
        <f t="shared" si="16"/>
        <v>-0.37</v>
      </c>
      <c r="M26" s="2"/>
      <c r="N26" s="7">
        <f t="shared" si="17"/>
        <v>-1</v>
      </c>
      <c r="O26" s="11"/>
      <c r="P26" s="6"/>
      <c r="Q26" s="2"/>
      <c r="R26" s="7">
        <f t="shared" si="18"/>
        <v>0</v>
      </c>
      <c r="S26" s="2"/>
      <c r="T26" s="6">
        <v>4.88</v>
      </c>
      <c r="U26" s="2"/>
      <c r="V26" s="7">
        <f t="shared" si="19"/>
        <v>1.6650562024708341E-4</v>
      </c>
      <c r="W26" s="2"/>
      <c r="X26" s="6">
        <f t="shared" si="20"/>
        <v>-4.88</v>
      </c>
      <c r="Y26" s="2"/>
      <c r="Z26" s="7">
        <f t="shared" si="21"/>
        <v>-1</v>
      </c>
    </row>
    <row r="27" spans="1:26" s="25" customFormat="1" outlineLevel="1" collapsed="1" x14ac:dyDescent="0.25">
      <c r="A27" s="27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0</v>
      </c>
      <c r="E27" s="1"/>
      <c r="F27" s="5">
        <f t="shared" ref="F27:F31" si="22">IF(D$12=0,0,D27/D$12)</f>
        <v>0</v>
      </c>
      <c r="G27" s="1"/>
      <c r="H27" s="1">
        <f>SUM(OSRRefH22_1x_0)</f>
        <v>294.25</v>
      </c>
      <c r="I27" s="1"/>
      <c r="J27" s="5">
        <f t="shared" ref="J27:J31" si="23">IF(H$12=0,0,H27/H$12)</f>
        <v>0</v>
      </c>
      <c r="K27" s="1"/>
      <c r="L27" s="1">
        <f t="shared" ref="L27:L31" si="24">+D27-H27</f>
        <v>-294.25</v>
      </c>
      <c r="M27" s="1"/>
      <c r="N27" s="5">
        <f t="shared" ref="N27:N31" si="25">IF(H27=0,0,L27/H27)</f>
        <v>-1</v>
      </c>
      <c r="O27" s="13"/>
      <c r="P27" s="1">
        <f>SUM(OSRRefP22_1x_0)</f>
        <v>5526.5300000000007</v>
      </c>
      <c r="Q27" s="1"/>
      <c r="R27" s="5">
        <f t="shared" ref="R27:R31" si="26">IF(P$12=0,0,P27/P$12)</f>
        <v>0.27838838356285833</v>
      </c>
      <c r="S27" s="1"/>
      <c r="T27" s="1">
        <f>SUM(OSRRefT22_1x_0)</f>
        <v>2142.14</v>
      </c>
      <c r="U27" s="1"/>
      <c r="V27" s="5">
        <f t="shared" ref="V27:V31" si="27">IF(T$12=0,0,T27/T$12)</f>
        <v>7.3089825687722806E-2</v>
      </c>
      <c r="W27" s="1"/>
      <c r="X27" s="1">
        <f t="shared" ref="X27:X31" si="28">+P27-T27</f>
        <v>3384.3900000000008</v>
      </c>
      <c r="Y27" s="1"/>
      <c r="Z27" s="5">
        <f t="shared" ref="Z27:Z31" si="29">IF(T27=0,0,X27/T27)</f>
        <v>1.5799107434621458</v>
      </c>
    </row>
    <row r="28" spans="1:26" s="24" customFormat="1" hidden="1" outlineLevel="2" x14ac:dyDescent="0.25">
      <c r="A28" s="26"/>
      <c r="B28" s="11" t="str">
        <f>CONCATENATE("          ", "6005", " - ", "TEMPORARY WAGES-HOURLY")</f>
        <v xml:space="preserve">          6005 - TEMPORARY WAGES-HOURLY</v>
      </c>
      <c r="C28" s="11"/>
      <c r="D28" s="6"/>
      <c r="E28" s="2"/>
      <c r="F28" s="7">
        <f t="shared" si="22"/>
        <v>0</v>
      </c>
      <c r="G28" s="2"/>
      <c r="H28" s="6"/>
      <c r="I28" s="2"/>
      <c r="J28" s="7">
        <f t="shared" si="23"/>
        <v>0</v>
      </c>
      <c r="K28" s="2"/>
      <c r="L28" s="6">
        <f t="shared" si="24"/>
        <v>0</v>
      </c>
      <c r="M28" s="2"/>
      <c r="N28" s="7">
        <f t="shared" si="25"/>
        <v>0</v>
      </c>
      <c r="O28" s="11"/>
      <c r="P28" s="6">
        <v>2489.34</v>
      </c>
      <c r="Q28" s="2"/>
      <c r="R28" s="7">
        <f t="shared" si="26"/>
        <v>0.12539574357478667</v>
      </c>
      <c r="S28" s="2"/>
      <c r="T28" s="6"/>
      <c r="U28" s="2"/>
      <c r="V28" s="7">
        <f t="shared" si="27"/>
        <v>0</v>
      </c>
      <c r="W28" s="2"/>
      <c r="X28" s="6">
        <f t="shared" si="28"/>
        <v>2489.34</v>
      </c>
      <c r="Y28" s="2"/>
      <c r="Z28" s="7">
        <f t="shared" si="29"/>
        <v>0</v>
      </c>
    </row>
    <row r="29" spans="1:26" s="24" customFormat="1" hidden="1" outlineLevel="2" x14ac:dyDescent="0.25">
      <c r="A29" s="26"/>
      <c r="B29" s="11" t="str">
        <f>CONCATENATE("          ", "6006", " - ", "TEMPORARY PART TIME")</f>
        <v xml:space="preserve">          6006 - TEMPORARY PART TIME</v>
      </c>
      <c r="C29" s="11"/>
      <c r="D29" s="6"/>
      <c r="E29" s="2"/>
      <c r="F29" s="7">
        <f t="shared" si="22"/>
        <v>0</v>
      </c>
      <c r="G29" s="2"/>
      <c r="H29" s="6"/>
      <c r="I29" s="2"/>
      <c r="J29" s="7">
        <f t="shared" si="23"/>
        <v>0</v>
      </c>
      <c r="K29" s="2"/>
      <c r="L29" s="6">
        <f t="shared" si="24"/>
        <v>0</v>
      </c>
      <c r="M29" s="2"/>
      <c r="N29" s="7">
        <f t="shared" si="25"/>
        <v>0</v>
      </c>
      <c r="O29" s="11"/>
      <c r="P29" s="6">
        <v>247.5</v>
      </c>
      <c r="Q29" s="2"/>
      <c r="R29" s="7">
        <f t="shared" si="26"/>
        <v>1.2467339348887536E-2</v>
      </c>
      <c r="S29" s="2"/>
      <c r="T29" s="6"/>
      <c r="U29" s="2"/>
      <c r="V29" s="7">
        <f t="shared" si="27"/>
        <v>0</v>
      </c>
      <c r="W29" s="2"/>
      <c r="X29" s="6">
        <f t="shared" si="28"/>
        <v>247.5</v>
      </c>
      <c r="Y29" s="2"/>
      <c r="Z29" s="7">
        <f t="shared" si="29"/>
        <v>0</v>
      </c>
    </row>
    <row r="30" spans="1:26" s="24" customFormat="1" hidden="1" outlineLevel="2" x14ac:dyDescent="0.25">
      <c r="A30" s="26"/>
      <c r="B30" s="11" t="str">
        <f>CONCATENATE("          ", "6007", " - ", "STUDENT HOURLY")</f>
        <v xml:space="preserve">          6007 - STUDENT HOURLY</v>
      </c>
      <c r="C30" s="11"/>
      <c r="D30" s="6"/>
      <c r="E30" s="2"/>
      <c r="F30" s="7">
        <f t="shared" si="22"/>
        <v>0</v>
      </c>
      <c r="G30" s="2"/>
      <c r="H30" s="6">
        <v>294.25</v>
      </c>
      <c r="I30" s="2"/>
      <c r="J30" s="7">
        <f t="shared" si="23"/>
        <v>0</v>
      </c>
      <c r="K30" s="2"/>
      <c r="L30" s="6">
        <f t="shared" si="24"/>
        <v>-294.25</v>
      </c>
      <c r="M30" s="2"/>
      <c r="N30" s="7">
        <f t="shared" si="25"/>
        <v>-1</v>
      </c>
      <c r="O30" s="11"/>
      <c r="P30" s="6">
        <v>2156.69</v>
      </c>
      <c r="Q30" s="2"/>
      <c r="R30" s="7">
        <f t="shared" si="26"/>
        <v>0.10863913575899903</v>
      </c>
      <c r="S30" s="2"/>
      <c r="T30" s="6">
        <v>2142.14</v>
      </c>
      <c r="U30" s="2"/>
      <c r="V30" s="7">
        <f t="shared" si="27"/>
        <v>7.3089825687722806E-2</v>
      </c>
      <c r="W30" s="2"/>
      <c r="X30" s="6">
        <f t="shared" si="28"/>
        <v>14.550000000000182</v>
      </c>
      <c r="Y30" s="2"/>
      <c r="Z30" s="7">
        <f t="shared" si="29"/>
        <v>6.7922731474134197E-3</v>
      </c>
    </row>
    <row r="31" spans="1:26" s="24" customFormat="1" hidden="1" outlineLevel="2" x14ac:dyDescent="0.25">
      <c r="A31" s="26"/>
      <c r="B31" s="11" t="str">
        <f>CONCATENATE("          ", "6008", " - ", "STUDENT HOURLY-FICA EXEMPT")</f>
        <v xml:space="preserve">          6008 - STUDENT HOURLY-FICA EXEMPT</v>
      </c>
      <c r="C31" s="11"/>
      <c r="D31" s="6"/>
      <c r="E31" s="2"/>
      <c r="F31" s="7">
        <f t="shared" si="22"/>
        <v>0</v>
      </c>
      <c r="G31" s="2"/>
      <c r="H31" s="6"/>
      <c r="I31" s="2"/>
      <c r="J31" s="7">
        <f t="shared" si="23"/>
        <v>0</v>
      </c>
      <c r="K31" s="2"/>
      <c r="L31" s="6">
        <f t="shared" si="24"/>
        <v>0</v>
      </c>
      <c r="M31" s="2"/>
      <c r="N31" s="7">
        <f t="shared" si="25"/>
        <v>0</v>
      </c>
      <c r="O31" s="11"/>
      <c r="P31" s="6">
        <v>633</v>
      </c>
      <c r="Q31" s="2"/>
      <c r="R31" s="7">
        <f t="shared" si="26"/>
        <v>3.1886164880185093E-2</v>
      </c>
      <c r="S31" s="2"/>
      <c r="T31" s="6"/>
      <c r="U31" s="2"/>
      <c r="V31" s="7">
        <f t="shared" si="27"/>
        <v>0</v>
      </c>
      <c r="W31" s="2"/>
      <c r="X31" s="6">
        <f t="shared" si="28"/>
        <v>633</v>
      </c>
      <c r="Y31" s="2"/>
      <c r="Z31" s="7">
        <f t="shared" si="29"/>
        <v>0</v>
      </c>
    </row>
    <row r="32" spans="1:26" s="25" customFormat="1" outlineLevel="1" collapsed="1" x14ac:dyDescent="0.25">
      <c r="A32" s="27"/>
      <c r="B32" s="13" t="str">
        <f>CONCATENATE("     ","Advertising/Promo                                 ")</f>
        <v xml:space="preserve">     Advertising/Promo                                 </v>
      </c>
      <c r="C32" s="13"/>
      <c r="D32" s="1">
        <f>SUM(OSRRefD22_2x_0)</f>
        <v>424.65</v>
      </c>
      <c r="E32" s="1"/>
      <c r="F32" s="5">
        <f t="shared" ref="F32:F44" si="30">IF(D$12=0,0,D32/D$12)</f>
        <v>0</v>
      </c>
      <c r="G32" s="1"/>
      <c r="H32" s="1">
        <f>SUM(OSRRefH22_2x_0)</f>
        <v>0</v>
      </c>
      <c r="I32" s="1"/>
      <c r="J32" s="5">
        <f t="shared" ref="J32:J44" si="31">IF(H$12=0,0,H32/H$12)</f>
        <v>0</v>
      </c>
      <c r="K32" s="1"/>
      <c r="L32" s="1">
        <f t="shared" ref="L32:L44" si="32">+D32-H32</f>
        <v>424.65</v>
      </c>
      <c r="M32" s="1"/>
      <c r="N32" s="5">
        <f t="shared" ref="N32:N44" si="33">IF(H32=0,0,L32/H32)</f>
        <v>0</v>
      </c>
      <c r="O32" s="13"/>
      <c r="P32" s="1">
        <f>SUM(OSRRefP22_2x_0)</f>
        <v>933.03</v>
      </c>
      <c r="Q32" s="1"/>
      <c r="R32" s="5">
        <f t="shared" ref="R32:R44" si="34">IF(P$12=0,0,P32/P$12)</f>
        <v>4.6999602556333488E-2</v>
      </c>
      <c r="S32" s="1"/>
      <c r="T32" s="1">
        <f>SUM(OSRRefT22_2x_0)</f>
        <v>31.5</v>
      </c>
      <c r="U32" s="1"/>
      <c r="V32" s="5">
        <f t="shared" ref="V32:V44" si="35">IF(T$12=0,0,T32/T$12)</f>
        <v>1.0747801306932639E-3</v>
      </c>
      <c r="W32" s="1"/>
      <c r="X32" s="1">
        <f t="shared" ref="X32:X44" si="36">+P32-T32</f>
        <v>901.53</v>
      </c>
      <c r="Y32" s="1"/>
      <c r="Z32" s="5">
        <f t="shared" ref="Z32:Z44" si="37">IF(T32=0,0,X32/T32)</f>
        <v>28.619999999999997</v>
      </c>
    </row>
    <row r="33" spans="1:26" s="24" customFormat="1" hidden="1" outlineLevel="2" x14ac:dyDescent="0.25">
      <c r="A33" s="26"/>
      <c r="B33" s="11" t="str">
        <f>CONCATENATE("          ", "6362", " - ", "ADVERTISING EXPENSE")</f>
        <v xml:space="preserve">          6362 - ADVERTISING EXPENSE</v>
      </c>
      <c r="C33" s="11"/>
      <c r="D33" s="6">
        <v>424.65</v>
      </c>
      <c r="E33" s="2"/>
      <c r="F33" s="7">
        <f t="shared" si="30"/>
        <v>0</v>
      </c>
      <c r="G33" s="2"/>
      <c r="H33" s="6"/>
      <c r="I33" s="2"/>
      <c r="J33" s="7">
        <f t="shared" si="31"/>
        <v>0</v>
      </c>
      <c r="K33" s="2"/>
      <c r="L33" s="6">
        <f t="shared" si="32"/>
        <v>424.65</v>
      </c>
      <c r="M33" s="2"/>
      <c r="N33" s="7">
        <f t="shared" si="33"/>
        <v>0</v>
      </c>
      <c r="O33" s="11"/>
      <c r="P33" s="6">
        <v>933.03</v>
      </c>
      <c r="Q33" s="2"/>
      <c r="R33" s="7">
        <f t="shared" si="34"/>
        <v>4.6999602556333488E-2</v>
      </c>
      <c r="S33" s="2"/>
      <c r="T33" s="6">
        <v>31.5</v>
      </c>
      <c r="U33" s="2"/>
      <c r="V33" s="7">
        <f t="shared" si="35"/>
        <v>1.0747801306932639E-3</v>
      </c>
      <c r="W33" s="2"/>
      <c r="X33" s="6">
        <f t="shared" si="36"/>
        <v>901.53</v>
      </c>
      <c r="Y33" s="2"/>
      <c r="Z33" s="7">
        <f t="shared" si="37"/>
        <v>28.619999999999997</v>
      </c>
    </row>
    <row r="34" spans="1:26" s="25" customFormat="1" outlineLevel="1" collapsed="1" x14ac:dyDescent="0.25">
      <c r="A34" s="27"/>
      <c r="B34" s="13" t="str">
        <f>CONCATENATE("     ","Bad Debts/Over/Short                              ")</f>
        <v xml:space="preserve">     Bad Debts/Over/Short                              </v>
      </c>
      <c r="C34" s="13"/>
      <c r="D34" s="1">
        <f>SUM(OSRRefD22_3x_0)</f>
        <v>0</v>
      </c>
      <c r="E34" s="1"/>
      <c r="F34" s="5">
        <f t="shared" si="30"/>
        <v>0</v>
      </c>
      <c r="G34" s="1"/>
      <c r="H34" s="1">
        <f>SUM(OSRRefH22_3x_0)</f>
        <v>0</v>
      </c>
      <c r="I34" s="1"/>
      <c r="J34" s="5">
        <f t="shared" si="31"/>
        <v>0</v>
      </c>
      <c r="K34" s="1"/>
      <c r="L34" s="1">
        <f t="shared" si="32"/>
        <v>0</v>
      </c>
      <c r="M34" s="1"/>
      <c r="N34" s="5">
        <f t="shared" si="33"/>
        <v>0</v>
      </c>
      <c r="O34" s="13"/>
      <c r="P34" s="1">
        <f>SUM(OSRRefP22_3x_0)</f>
        <v>1.85</v>
      </c>
      <c r="Q34" s="1"/>
      <c r="R34" s="5">
        <f t="shared" si="34"/>
        <v>9.3190213314916939E-5</v>
      </c>
      <c r="S34" s="1"/>
      <c r="T34" s="1">
        <f>SUM(OSRRefT22_3x_0)</f>
        <v>-17.079999999999998</v>
      </c>
      <c r="U34" s="1"/>
      <c r="V34" s="5">
        <f t="shared" si="35"/>
        <v>-5.827696708647919E-4</v>
      </c>
      <c r="W34" s="1"/>
      <c r="X34" s="1">
        <f t="shared" si="36"/>
        <v>18.93</v>
      </c>
      <c r="Y34" s="1"/>
      <c r="Z34" s="5">
        <f t="shared" si="37"/>
        <v>-1.1083138173302109</v>
      </c>
    </row>
    <row r="35" spans="1:26" s="24" customFormat="1" hidden="1" outlineLevel="2" x14ac:dyDescent="0.25">
      <c r="A35" s="26"/>
      <c r="B35" s="11" t="str">
        <f>CONCATENATE("          ", "6272", " - ", "CASH (OVER/SHORT)")</f>
        <v xml:space="preserve">          6272 - CASH (OVER/SHORT)</v>
      </c>
      <c r="C35" s="11"/>
      <c r="D35" s="6"/>
      <c r="E35" s="2"/>
      <c r="F35" s="7">
        <f t="shared" si="30"/>
        <v>0</v>
      </c>
      <c r="G35" s="2"/>
      <c r="H35" s="6"/>
      <c r="I35" s="2"/>
      <c r="J35" s="7">
        <f t="shared" si="31"/>
        <v>0</v>
      </c>
      <c r="K35" s="2"/>
      <c r="L35" s="6">
        <f t="shared" si="32"/>
        <v>0</v>
      </c>
      <c r="M35" s="2"/>
      <c r="N35" s="7">
        <f t="shared" si="33"/>
        <v>0</v>
      </c>
      <c r="O35" s="11"/>
      <c r="P35" s="6">
        <v>1.85</v>
      </c>
      <c r="Q35" s="2"/>
      <c r="R35" s="7">
        <f t="shared" si="34"/>
        <v>9.3190213314916939E-5</v>
      </c>
      <c r="S35" s="2"/>
      <c r="T35" s="6">
        <v>-17.079999999999998</v>
      </c>
      <c r="U35" s="2"/>
      <c r="V35" s="7">
        <f t="shared" si="35"/>
        <v>-5.827696708647919E-4</v>
      </c>
      <c r="W35" s="2"/>
      <c r="X35" s="6">
        <f t="shared" si="36"/>
        <v>18.93</v>
      </c>
      <c r="Y35" s="2"/>
      <c r="Z35" s="7">
        <f t="shared" si="37"/>
        <v>-1.1083138173302109</v>
      </c>
    </row>
    <row r="36" spans="1:26" s="25" customFormat="1" outlineLevel="1" collapsed="1" x14ac:dyDescent="0.25">
      <c r="A36" s="27"/>
      <c r="B36" s="13" t="str">
        <f>CONCATENATE("     ","Bank/card Fees                                    ")</f>
        <v xml:space="preserve">     Bank/card Fees                                    </v>
      </c>
      <c r="C36" s="13"/>
      <c r="D36" s="1">
        <f>SUM(OSRRefD22_4x_0)</f>
        <v>0</v>
      </c>
      <c r="E36" s="1"/>
      <c r="F36" s="5">
        <f t="shared" si="30"/>
        <v>0</v>
      </c>
      <c r="G36" s="1"/>
      <c r="H36" s="1">
        <f>SUM(OSRRefH22_4x_0)</f>
        <v>0</v>
      </c>
      <c r="I36" s="1"/>
      <c r="J36" s="5">
        <f t="shared" si="31"/>
        <v>0</v>
      </c>
      <c r="K36" s="1"/>
      <c r="L36" s="1">
        <f t="shared" si="32"/>
        <v>0</v>
      </c>
      <c r="M36" s="1"/>
      <c r="N36" s="5">
        <f t="shared" si="33"/>
        <v>0</v>
      </c>
      <c r="O36" s="13"/>
      <c r="P36" s="1">
        <f>SUM(OSRRefP22_4x_0)</f>
        <v>348.55</v>
      </c>
      <c r="Q36" s="1"/>
      <c r="R36" s="5">
        <f t="shared" si="34"/>
        <v>1.7557539919413136E-2</v>
      </c>
      <c r="S36" s="1"/>
      <c r="T36" s="1">
        <f>SUM(OSRRefT22_4x_0)</f>
        <v>546</v>
      </c>
      <c r="U36" s="1"/>
      <c r="V36" s="5">
        <f t="shared" si="35"/>
        <v>1.8629522265349908E-2</v>
      </c>
      <c r="W36" s="1"/>
      <c r="X36" s="1">
        <f t="shared" si="36"/>
        <v>-197.45</v>
      </c>
      <c r="Y36" s="1"/>
      <c r="Z36" s="5">
        <f t="shared" si="37"/>
        <v>-0.36163003663003662</v>
      </c>
    </row>
    <row r="37" spans="1:26" s="24" customFormat="1" hidden="1" outlineLevel="2" x14ac:dyDescent="0.25">
      <c r="A37" s="26"/>
      <c r="B37" s="11" t="str">
        <f>CONCATENATE("          ", "6381", " - ", "BANK/CREDIT CARD FEES")</f>
        <v xml:space="preserve">          6381 - BANK/CREDIT CARD FEES</v>
      </c>
      <c r="C37" s="11"/>
      <c r="D37" s="6"/>
      <c r="E37" s="2"/>
      <c r="F37" s="7">
        <f t="shared" si="30"/>
        <v>0</v>
      </c>
      <c r="G37" s="2"/>
      <c r="H37" s="6"/>
      <c r="I37" s="2"/>
      <c r="J37" s="7">
        <f t="shared" si="31"/>
        <v>0</v>
      </c>
      <c r="K37" s="2"/>
      <c r="L37" s="6">
        <f t="shared" si="32"/>
        <v>0</v>
      </c>
      <c r="M37" s="2"/>
      <c r="N37" s="7">
        <f t="shared" si="33"/>
        <v>0</v>
      </c>
      <c r="O37" s="11"/>
      <c r="P37" s="6">
        <v>348.55</v>
      </c>
      <c r="Q37" s="2"/>
      <c r="R37" s="7">
        <f t="shared" si="34"/>
        <v>1.7557539919413136E-2</v>
      </c>
      <c r="S37" s="2"/>
      <c r="T37" s="6">
        <v>546</v>
      </c>
      <c r="U37" s="2"/>
      <c r="V37" s="7">
        <f t="shared" si="35"/>
        <v>1.8629522265349908E-2</v>
      </c>
      <c r="W37" s="2"/>
      <c r="X37" s="6">
        <f t="shared" si="36"/>
        <v>-197.45</v>
      </c>
      <c r="Y37" s="2"/>
      <c r="Z37" s="7">
        <f t="shared" si="37"/>
        <v>-0.36163003663003662</v>
      </c>
    </row>
    <row r="38" spans="1:26" s="25" customFormat="1" outlineLevel="1" collapsed="1" x14ac:dyDescent="0.25">
      <c r="A38" s="27"/>
      <c r="B38" s="13" t="str">
        <f>CONCATENATE("     ","Employees' Appreciation                           ")</f>
        <v xml:space="preserve">     Employees' Appreciation                           </v>
      </c>
      <c r="C38" s="13"/>
      <c r="D38" s="1">
        <f>SUM(OSRRefD22_5x_0)</f>
        <v>0</v>
      </c>
      <c r="E38" s="1"/>
      <c r="F38" s="5">
        <f t="shared" si="30"/>
        <v>0</v>
      </c>
      <c r="G38" s="1"/>
      <c r="H38" s="1">
        <f>SUM(OSRRefH22_5x_0)</f>
        <v>0</v>
      </c>
      <c r="I38" s="1"/>
      <c r="J38" s="5">
        <f t="shared" si="31"/>
        <v>0</v>
      </c>
      <c r="K38" s="1"/>
      <c r="L38" s="1">
        <f t="shared" si="32"/>
        <v>0</v>
      </c>
      <c r="M38" s="1"/>
      <c r="N38" s="5">
        <f t="shared" si="33"/>
        <v>0</v>
      </c>
      <c r="O38" s="13"/>
      <c r="P38" s="1">
        <f>SUM(OSRRefP22_5x_0)</f>
        <v>114.64</v>
      </c>
      <c r="Q38" s="1"/>
      <c r="R38" s="5">
        <f t="shared" si="34"/>
        <v>5.7747708402281503E-3</v>
      </c>
      <c r="S38" s="1"/>
      <c r="T38" s="1">
        <f>SUM(OSRRefT22_5x_0)</f>
        <v>0</v>
      </c>
      <c r="U38" s="1"/>
      <c r="V38" s="5">
        <f t="shared" si="35"/>
        <v>0</v>
      </c>
      <c r="W38" s="1"/>
      <c r="X38" s="1">
        <f t="shared" si="36"/>
        <v>114.64</v>
      </c>
      <c r="Y38" s="1"/>
      <c r="Z38" s="5">
        <f t="shared" si="37"/>
        <v>0</v>
      </c>
    </row>
    <row r="39" spans="1:26" s="24" customFormat="1" hidden="1" outlineLevel="2" x14ac:dyDescent="0.25">
      <c r="A39" s="26"/>
      <c r="B39" s="11" t="str">
        <f>CONCATENATE("          ", "6277", " - ", "EMPLOYEE APPRECIATION")</f>
        <v xml:space="preserve">          6277 - EMPLOYEE APPRECIATION</v>
      </c>
      <c r="C39" s="11"/>
      <c r="D39" s="6"/>
      <c r="E39" s="2"/>
      <c r="F39" s="7">
        <f t="shared" si="30"/>
        <v>0</v>
      </c>
      <c r="G39" s="2"/>
      <c r="H39" s="6"/>
      <c r="I39" s="2"/>
      <c r="J39" s="7">
        <f t="shared" si="31"/>
        <v>0</v>
      </c>
      <c r="K39" s="2"/>
      <c r="L39" s="6">
        <f t="shared" si="32"/>
        <v>0</v>
      </c>
      <c r="M39" s="2"/>
      <c r="N39" s="7">
        <f t="shared" si="33"/>
        <v>0</v>
      </c>
      <c r="O39" s="11"/>
      <c r="P39" s="6">
        <v>114.64</v>
      </c>
      <c r="Q39" s="2"/>
      <c r="R39" s="7">
        <f t="shared" si="34"/>
        <v>5.7747708402281503E-3</v>
      </c>
      <c r="S39" s="2"/>
      <c r="T39" s="6"/>
      <c r="U39" s="2"/>
      <c r="V39" s="7">
        <f t="shared" si="35"/>
        <v>0</v>
      </c>
      <c r="W39" s="2"/>
      <c r="X39" s="6">
        <f t="shared" si="36"/>
        <v>114.64</v>
      </c>
      <c r="Y39" s="2"/>
      <c r="Z39" s="7">
        <f t="shared" si="37"/>
        <v>0</v>
      </c>
    </row>
    <row r="40" spans="1:26" s="25" customFormat="1" outlineLevel="1" collapsed="1" x14ac:dyDescent="0.25">
      <c r="A40" s="27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SUM(OSRRefD22_6x_0)</f>
        <v>0</v>
      </c>
      <c r="E40" s="1"/>
      <c r="F40" s="5">
        <f t="shared" si="30"/>
        <v>0</v>
      </c>
      <c r="G40" s="1"/>
      <c r="H40" s="1">
        <f>SUM(OSRRefH22_6x_0)</f>
        <v>0</v>
      </c>
      <c r="I40" s="1"/>
      <c r="J40" s="5">
        <f t="shared" si="31"/>
        <v>0</v>
      </c>
      <c r="K40" s="1"/>
      <c r="L40" s="1">
        <f t="shared" si="32"/>
        <v>0</v>
      </c>
      <c r="M40" s="1"/>
      <c r="N40" s="5">
        <f t="shared" si="33"/>
        <v>0</v>
      </c>
      <c r="O40" s="13"/>
      <c r="P40" s="1">
        <f>SUM(OSRRefP22_6x_0)</f>
        <v>3267.75</v>
      </c>
      <c r="Q40" s="1"/>
      <c r="R40" s="5">
        <f t="shared" si="34"/>
        <v>0.16460665922152423</v>
      </c>
      <c r="S40" s="1"/>
      <c r="T40" s="1">
        <f>SUM(OSRRefT22_6x_0)</f>
        <v>1796.23</v>
      </c>
      <c r="U40" s="1"/>
      <c r="V40" s="5">
        <f t="shared" si="35"/>
        <v>6.1287375052544807E-2</v>
      </c>
      <c r="W40" s="1"/>
      <c r="X40" s="1">
        <f t="shared" si="36"/>
        <v>1471.52</v>
      </c>
      <c r="Y40" s="1"/>
      <c r="Z40" s="5">
        <f t="shared" si="37"/>
        <v>0.81922693641682853</v>
      </c>
    </row>
    <row r="41" spans="1:26" s="24" customFormat="1" hidden="1" outlineLevel="2" x14ac:dyDescent="0.25">
      <c r="A41" s="26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30"/>
        <v>0</v>
      </c>
      <c r="G41" s="2"/>
      <c r="H41" s="6"/>
      <c r="I41" s="2"/>
      <c r="J41" s="7">
        <f t="shared" si="31"/>
        <v>0</v>
      </c>
      <c r="K41" s="2"/>
      <c r="L41" s="6">
        <f t="shared" si="32"/>
        <v>0</v>
      </c>
      <c r="M41" s="2"/>
      <c r="N41" s="7">
        <f t="shared" si="33"/>
        <v>0</v>
      </c>
      <c r="O41" s="11"/>
      <c r="P41" s="6">
        <v>3267.75</v>
      </c>
      <c r="Q41" s="2"/>
      <c r="R41" s="7">
        <f t="shared" si="34"/>
        <v>0.16460665922152423</v>
      </c>
      <c r="S41" s="2"/>
      <c r="T41" s="6">
        <v>1796.23</v>
      </c>
      <c r="U41" s="2"/>
      <c r="V41" s="7">
        <f t="shared" si="35"/>
        <v>6.1287375052544807E-2</v>
      </c>
      <c r="W41" s="2"/>
      <c r="X41" s="6">
        <f t="shared" si="36"/>
        <v>1471.52</v>
      </c>
      <c r="Y41" s="2"/>
      <c r="Z41" s="7">
        <f t="shared" si="37"/>
        <v>0.81922693641682853</v>
      </c>
    </row>
    <row r="42" spans="1:26" s="25" customFormat="1" outlineLevel="1" collapsed="1" x14ac:dyDescent="0.25">
      <c r="A42" s="27"/>
      <c r="B42" s="13" t="str">
        <f>CONCATENATE("     ","Repair and Maintenance                            ")</f>
        <v xml:space="preserve">     Repair and Maintenance                            </v>
      </c>
      <c r="C42" s="13"/>
      <c r="D42" s="1">
        <f>SUM(OSRRefD22_7x_0)</f>
        <v>0</v>
      </c>
      <c r="E42" s="1"/>
      <c r="F42" s="5">
        <f t="shared" si="30"/>
        <v>0</v>
      </c>
      <c r="G42" s="1"/>
      <c r="H42" s="1">
        <f>SUM(OSRRefH22_7x_0)</f>
        <v>0</v>
      </c>
      <c r="I42" s="1"/>
      <c r="J42" s="5">
        <f t="shared" si="31"/>
        <v>0</v>
      </c>
      <c r="K42" s="1"/>
      <c r="L42" s="1">
        <f t="shared" si="32"/>
        <v>0</v>
      </c>
      <c r="M42" s="1"/>
      <c r="N42" s="5">
        <f t="shared" si="33"/>
        <v>0</v>
      </c>
      <c r="O42" s="13"/>
      <c r="P42" s="1">
        <f>SUM(OSRRefP22_7x_0)</f>
        <v>434.72</v>
      </c>
      <c r="Q42" s="1"/>
      <c r="R42" s="5">
        <f t="shared" si="34"/>
        <v>2.1898188936357133E-2</v>
      </c>
      <c r="S42" s="1"/>
      <c r="T42" s="1">
        <f>SUM(OSRRefT22_7x_0)</f>
        <v>1879.98</v>
      </c>
      <c r="U42" s="1"/>
      <c r="V42" s="5">
        <f t="shared" si="35"/>
        <v>6.4144925400022923E-2</v>
      </c>
      <c r="W42" s="1"/>
      <c r="X42" s="1">
        <f t="shared" si="36"/>
        <v>-1445.26</v>
      </c>
      <c r="Y42" s="1"/>
      <c r="Z42" s="5">
        <f t="shared" si="37"/>
        <v>-0.76876349748401573</v>
      </c>
    </row>
    <row r="43" spans="1:26" s="24" customFormat="1" hidden="1" outlineLevel="2" x14ac:dyDescent="0.25">
      <c r="A43" s="26"/>
      <c r="B43" s="11" t="str">
        <f>CONCATENATE("          ", "6373", " - ", "MAINTENANCE CONTRACTS")</f>
        <v xml:space="preserve">          6373 - MAINTENANCE CONTRACTS</v>
      </c>
      <c r="C43" s="11"/>
      <c r="D43" s="6"/>
      <c r="E43" s="2"/>
      <c r="F43" s="7">
        <f t="shared" si="30"/>
        <v>0</v>
      </c>
      <c r="G43" s="2"/>
      <c r="H43" s="6"/>
      <c r="I43" s="2"/>
      <c r="J43" s="7">
        <f t="shared" si="31"/>
        <v>0</v>
      </c>
      <c r="K43" s="2"/>
      <c r="L43" s="6">
        <f t="shared" si="32"/>
        <v>0</v>
      </c>
      <c r="M43" s="2"/>
      <c r="N43" s="7">
        <f t="shared" si="33"/>
        <v>0</v>
      </c>
      <c r="O43" s="11"/>
      <c r="P43" s="6">
        <v>296.64</v>
      </c>
      <c r="Q43" s="2"/>
      <c r="R43" s="7">
        <f t="shared" si="34"/>
        <v>1.4942672906884842E-2</v>
      </c>
      <c r="S43" s="2"/>
      <c r="T43" s="6">
        <v>283.5</v>
      </c>
      <c r="U43" s="2"/>
      <c r="V43" s="7">
        <f t="shared" si="35"/>
        <v>9.6730211762393759E-3</v>
      </c>
      <c r="W43" s="2"/>
      <c r="X43" s="6">
        <f t="shared" si="36"/>
        <v>13.139999999999986</v>
      </c>
      <c r="Y43" s="2"/>
      <c r="Z43" s="7">
        <f t="shared" si="37"/>
        <v>4.63492063492063E-2</v>
      </c>
    </row>
    <row r="44" spans="1:26" s="24" customFormat="1" hidden="1" outlineLevel="2" x14ac:dyDescent="0.25">
      <c r="A44" s="26"/>
      <c r="B44" s="11" t="str">
        <f>CONCATENATE("          ", "6375", " - ", "OUTSIDE REPAIRS &amp; MAINTENANCE")</f>
        <v xml:space="preserve">          6375 - OUTSIDE REPAIRS &amp; MAINTENANCE</v>
      </c>
      <c r="C44" s="11"/>
      <c r="D44" s="6"/>
      <c r="E44" s="2"/>
      <c r="F44" s="7">
        <f t="shared" si="30"/>
        <v>0</v>
      </c>
      <c r="G44" s="2"/>
      <c r="H44" s="6"/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138.08000000000001</v>
      </c>
      <c r="Q44" s="2"/>
      <c r="R44" s="7">
        <f t="shared" si="34"/>
        <v>6.9555160294722876E-3</v>
      </c>
      <c r="S44" s="2"/>
      <c r="T44" s="6">
        <v>1596.48</v>
      </c>
      <c r="U44" s="2"/>
      <c r="V44" s="7">
        <f t="shared" si="35"/>
        <v>5.4471904223783556E-2</v>
      </c>
      <c r="W44" s="2"/>
      <c r="X44" s="6">
        <f t="shared" si="36"/>
        <v>-1458.4</v>
      </c>
      <c r="Y44" s="2"/>
      <c r="Z44" s="7">
        <f t="shared" si="37"/>
        <v>-0.91350972138705155</v>
      </c>
    </row>
    <row r="45" spans="1:26" s="25" customFormat="1" outlineLevel="1" collapsed="1" x14ac:dyDescent="0.25">
      <c r="A45" s="27"/>
      <c r="B45" s="13" t="str">
        <f>CONCATENATE("     ","Royalty &amp; Commissions                             ")</f>
        <v xml:space="preserve">     Royalty &amp; Commissions                             </v>
      </c>
      <c r="C45" s="13"/>
      <c r="D45" s="1">
        <f>SUM(OSRRefD22_8x_0)</f>
        <v>1019.37</v>
      </c>
      <c r="E45" s="1"/>
      <c r="F45" s="5">
        <f t="shared" ref="F45:F54" si="38">IF(D$12=0,0,D45/D$12)</f>
        <v>0</v>
      </c>
      <c r="G45" s="1"/>
      <c r="H45" s="1">
        <f>SUM(OSRRefH22_8x_0)</f>
        <v>0</v>
      </c>
      <c r="I45" s="1"/>
      <c r="J45" s="5">
        <f t="shared" ref="J45:J54" si="39">IF(H$12=0,0,H45/H$12)</f>
        <v>0</v>
      </c>
      <c r="K45" s="1"/>
      <c r="L45" s="1">
        <f t="shared" ref="L45:L54" si="40">+D45-H45</f>
        <v>1019.37</v>
      </c>
      <c r="M45" s="1"/>
      <c r="N45" s="5">
        <f t="shared" ref="N45:N54" si="41">IF(H45=0,0,L45/H45)</f>
        <v>0</v>
      </c>
      <c r="O45" s="13"/>
      <c r="P45" s="1">
        <f>SUM(OSRRefP22_8x_0)</f>
        <v>6595.88</v>
      </c>
      <c r="Q45" s="1"/>
      <c r="R45" s="5">
        <f t="shared" ref="R45:R54" si="42">IF(P$12=0,0,P45/P$12)</f>
        <v>0.33225484551329426</v>
      </c>
      <c r="S45" s="1"/>
      <c r="T45" s="1">
        <f>SUM(OSRRefT22_8x_0)</f>
        <v>12443.41</v>
      </c>
      <c r="U45" s="1"/>
      <c r="V45" s="5">
        <f t="shared" ref="V45:V54" si="43">IF(T$12=0,0,T45/T$12)</f>
        <v>0.42456920082761485</v>
      </c>
      <c r="W45" s="1"/>
      <c r="X45" s="1">
        <f t="shared" ref="X45:X54" si="44">+P45-T45</f>
        <v>-5847.53</v>
      </c>
      <c r="Y45" s="1"/>
      <c r="Z45" s="5">
        <f t="shared" ref="Z45:Z54" si="45">IF(T45=0,0,X45/T45)</f>
        <v>-0.46992986649158069</v>
      </c>
    </row>
    <row r="46" spans="1:26" s="24" customFormat="1" hidden="1" outlineLevel="2" x14ac:dyDescent="0.25">
      <c r="A46" s="26"/>
      <c r="B46" s="11" t="str">
        <f>CONCATENATE("          ", "6254", " - ", "ROYALTY &amp; COMMISSIONS")</f>
        <v xml:space="preserve">          6254 - ROYALTY &amp; COMMISSIONS</v>
      </c>
      <c r="C46" s="11"/>
      <c r="D46" s="6">
        <v>1019.37</v>
      </c>
      <c r="E46" s="2"/>
      <c r="F46" s="7">
        <f t="shared" si="38"/>
        <v>0</v>
      </c>
      <c r="G46" s="2"/>
      <c r="H46" s="6"/>
      <c r="I46" s="2"/>
      <c r="J46" s="7">
        <f t="shared" si="39"/>
        <v>0</v>
      </c>
      <c r="K46" s="2"/>
      <c r="L46" s="6">
        <f t="shared" si="40"/>
        <v>1019.37</v>
      </c>
      <c r="M46" s="2"/>
      <c r="N46" s="7">
        <f t="shared" si="41"/>
        <v>0</v>
      </c>
      <c r="O46" s="11"/>
      <c r="P46" s="6">
        <v>6595.88</v>
      </c>
      <c r="Q46" s="2"/>
      <c r="R46" s="7">
        <f t="shared" si="42"/>
        <v>0.33225484551329426</v>
      </c>
      <c r="S46" s="2"/>
      <c r="T46" s="6">
        <v>12443.41</v>
      </c>
      <c r="U46" s="2"/>
      <c r="V46" s="7">
        <f t="shared" si="43"/>
        <v>0.42456920082761485</v>
      </c>
      <c r="W46" s="2"/>
      <c r="X46" s="6">
        <f t="shared" si="44"/>
        <v>-5847.53</v>
      </c>
      <c r="Y46" s="2"/>
      <c r="Z46" s="7">
        <f t="shared" si="45"/>
        <v>-0.46992986649158069</v>
      </c>
    </row>
    <row r="47" spans="1:26" s="25" customFormat="1" outlineLevel="1" collapsed="1" x14ac:dyDescent="0.25">
      <c r="A47" s="27"/>
      <c r="B47" s="13" t="str">
        <f>CONCATENATE("     ","Services                                          ")</f>
        <v xml:space="preserve">     Services                                          </v>
      </c>
      <c r="C47" s="13"/>
      <c r="D47" s="1">
        <f>SUM(OSRRefD22_9x_0)</f>
        <v>0</v>
      </c>
      <c r="E47" s="1"/>
      <c r="F47" s="5">
        <f t="shared" si="38"/>
        <v>0</v>
      </c>
      <c r="G47" s="1"/>
      <c r="H47" s="1">
        <f>SUM(OSRRefH22_9x_0)</f>
        <v>0</v>
      </c>
      <c r="I47" s="1"/>
      <c r="J47" s="5">
        <f t="shared" si="39"/>
        <v>0</v>
      </c>
      <c r="K47" s="1"/>
      <c r="L47" s="1">
        <f t="shared" si="40"/>
        <v>0</v>
      </c>
      <c r="M47" s="1"/>
      <c r="N47" s="5">
        <f t="shared" si="41"/>
        <v>0</v>
      </c>
      <c r="O47" s="13"/>
      <c r="P47" s="1">
        <f>SUM(OSRRefP22_9x_0)</f>
        <v>32.5</v>
      </c>
      <c r="Q47" s="1"/>
      <c r="R47" s="5">
        <f t="shared" si="42"/>
        <v>1.6371253690458381E-3</v>
      </c>
      <c r="S47" s="1"/>
      <c r="T47" s="1">
        <f>SUM(OSRRefT22_9x_0)</f>
        <v>0</v>
      </c>
      <c r="U47" s="1"/>
      <c r="V47" s="5">
        <f t="shared" si="43"/>
        <v>0</v>
      </c>
      <c r="W47" s="1"/>
      <c r="X47" s="1">
        <f t="shared" si="44"/>
        <v>32.5</v>
      </c>
      <c r="Y47" s="1"/>
      <c r="Z47" s="5">
        <f t="shared" si="45"/>
        <v>0</v>
      </c>
    </row>
    <row r="48" spans="1:26" s="24" customFormat="1" hidden="1" outlineLevel="2" x14ac:dyDescent="0.25">
      <c r="A48" s="26"/>
      <c r="B48" s="11" t="str">
        <f>CONCATENATE("          ", "6286", " - ", "LAUNDRY EXPENSE")</f>
        <v xml:space="preserve">          6286 - LAUNDRY EXPENSE</v>
      </c>
      <c r="C48" s="11"/>
      <c r="D48" s="6"/>
      <c r="E48" s="2"/>
      <c r="F48" s="7">
        <f t="shared" si="38"/>
        <v>0</v>
      </c>
      <c r="G48" s="2"/>
      <c r="H48" s="6"/>
      <c r="I48" s="2"/>
      <c r="J48" s="7">
        <f t="shared" si="39"/>
        <v>0</v>
      </c>
      <c r="K48" s="2"/>
      <c r="L48" s="6">
        <f t="shared" si="40"/>
        <v>0</v>
      </c>
      <c r="M48" s="2"/>
      <c r="N48" s="7">
        <f t="shared" si="41"/>
        <v>0</v>
      </c>
      <c r="O48" s="11"/>
      <c r="P48" s="6">
        <v>32.5</v>
      </c>
      <c r="Q48" s="2"/>
      <c r="R48" s="7">
        <f t="shared" si="42"/>
        <v>1.6371253690458381E-3</v>
      </c>
      <c r="S48" s="2"/>
      <c r="T48" s="6"/>
      <c r="U48" s="2"/>
      <c r="V48" s="7">
        <f t="shared" si="43"/>
        <v>0</v>
      </c>
      <c r="W48" s="2"/>
      <c r="X48" s="6">
        <f t="shared" si="44"/>
        <v>32.5</v>
      </c>
      <c r="Y48" s="2"/>
      <c r="Z48" s="7">
        <f t="shared" si="45"/>
        <v>0</v>
      </c>
    </row>
    <row r="49" spans="1:26" s="25" customFormat="1" outlineLevel="1" collapsed="1" x14ac:dyDescent="0.25">
      <c r="A49" s="27"/>
      <c r="B49" s="13" t="str">
        <f>CONCATENATE("     ","Supplies                                          ")</f>
        <v xml:space="preserve">     Supplies                                          </v>
      </c>
      <c r="C49" s="13"/>
      <c r="D49" s="1">
        <f>SUM(OSRRefD22_10x_0)</f>
        <v>0</v>
      </c>
      <c r="E49" s="1"/>
      <c r="F49" s="5">
        <f t="shared" si="38"/>
        <v>0</v>
      </c>
      <c r="G49" s="1"/>
      <c r="H49" s="1">
        <f>SUM(OSRRefH22_10x_0)</f>
        <v>0</v>
      </c>
      <c r="I49" s="1"/>
      <c r="J49" s="5">
        <f t="shared" si="39"/>
        <v>0</v>
      </c>
      <c r="K49" s="1"/>
      <c r="L49" s="1">
        <f t="shared" si="40"/>
        <v>0</v>
      </c>
      <c r="M49" s="1"/>
      <c r="N49" s="5">
        <f t="shared" si="41"/>
        <v>0</v>
      </c>
      <c r="O49" s="13"/>
      <c r="P49" s="1">
        <f>SUM(OSRRefP22_10x_0)</f>
        <v>1013.37</v>
      </c>
      <c r="Q49" s="1"/>
      <c r="R49" s="5">
        <f t="shared" si="42"/>
        <v>5.1046576468614796E-2</v>
      </c>
      <c r="S49" s="1"/>
      <c r="T49" s="1">
        <f>SUM(OSRRefT22_10x_0)</f>
        <v>1570.6800000000003</v>
      </c>
      <c r="U49" s="1"/>
      <c r="V49" s="5">
        <f t="shared" si="43"/>
        <v>5.3591608116739554E-2</v>
      </c>
      <c r="W49" s="1"/>
      <c r="X49" s="1">
        <f t="shared" si="44"/>
        <v>-557.31000000000029</v>
      </c>
      <c r="Y49" s="1"/>
      <c r="Z49" s="5">
        <f t="shared" si="45"/>
        <v>-0.35482084192833691</v>
      </c>
    </row>
    <row r="50" spans="1:26" s="24" customFormat="1" hidden="1" outlineLevel="2" x14ac:dyDescent="0.25">
      <c r="A50" s="26"/>
      <c r="B50" s="11" t="str">
        <f>CONCATENATE("          ", "6234", " - ", "EXPENDABLE SUPPLIES &amp; EQUIPMEN")</f>
        <v xml:space="preserve">          6234 - EXPENDABLE SUPPLIES &amp; EQUIPMEN</v>
      </c>
      <c r="C50" s="11"/>
      <c r="D50" s="6"/>
      <c r="E50" s="2"/>
      <c r="F50" s="7">
        <f t="shared" si="38"/>
        <v>0</v>
      </c>
      <c r="G50" s="2"/>
      <c r="H50" s="6"/>
      <c r="I50" s="2"/>
      <c r="J50" s="7">
        <f t="shared" si="39"/>
        <v>0</v>
      </c>
      <c r="K50" s="2"/>
      <c r="L50" s="6">
        <f t="shared" si="40"/>
        <v>0</v>
      </c>
      <c r="M50" s="2"/>
      <c r="N50" s="7">
        <f t="shared" si="41"/>
        <v>0</v>
      </c>
      <c r="O50" s="11"/>
      <c r="P50" s="6"/>
      <c r="Q50" s="2"/>
      <c r="R50" s="7">
        <f t="shared" si="42"/>
        <v>0</v>
      </c>
      <c r="S50" s="2"/>
      <c r="T50" s="6">
        <v>106.94</v>
      </c>
      <c r="U50" s="2"/>
      <c r="V50" s="7">
        <f t="shared" si="43"/>
        <v>3.6487932436932583E-3</v>
      </c>
      <c r="W50" s="2"/>
      <c r="X50" s="6">
        <f t="shared" si="44"/>
        <v>-106.94</v>
      </c>
      <c r="Y50" s="2"/>
      <c r="Z50" s="7">
        <f t="shared" si="45"/>
        <v>-1</v>
      </c>
    </row>
    <row r="51" spans="1:26" s="24" customFormat="1" hidden="1" outlineLevel="2" x14ac:dyDescent="0.25">
      <c r="A51" s="26"/>
      <c r="B51" s="11" t="str">
        <f>CONCATENATE("          ", "6237", " - ", "JANITORIAL SUPPLIES")</f>
        <v xml:space="preserve">          6237 - JANITORIAL SUPPLIES</v>
      </c>
      <c r="C51" s="11"/>
      <c r="D51" s="6"/>
      <c r="E51" s="2"/>
      <c r="F51" s="7">
        <f t="shared" si="38"/>
        <v>0</v>
      </c>
      <c r="G51" s="2"/>
      <c r="H51" s="6"/>
      <c r="I51" s="2"/>
      <c r="J51" s="7">
        <f t="shared" si="39"/>
        <v>0</v>
      </c>
      <c r="K51" s="2"/>
      <c r="L51" s="6">
        <f t="shared" si="40"/>
        <v>0</v>
      </c>
      <c r="M51" s="2"/>
      <c r="N51" s="7">
        <f t="shared" si="41"/>
        <v>0</v>
      </c>
      <c r="O51" s="11"/>
      <c r="P51" s="6"/>
      <c r="Q51" s="2"/>
      <c r="R51" s="7">
        <f t="shared" si="42"/>
        <v>0</v>
      </c>
      <c r="S51" s="2"/>
      <c r="T51" s="6">
        <v>505.41</v>
      </c>
      <c r="U51" s="2"/>
      <c r="V51" s="7">
        <f t="shared" si="43"/>
        <v>1.7244591296942304E-2</v>
      </c>
      <c r="W51" s="2"/>
      <c r="X51" s="6">
        <f t="shared" si="44"/>
        <v>-505.41</v>
      </c>
      <c r="Y51" s="2"/>
      <c r="Z51" s="7">
        <f t="shared" si="45"/>
        <v>-1</v>
      </c>
    </row>
    <row r="52" spans="1:26" s="24" customFormat="1" hidden="1" outlineLevel="2" x14ac:dyDescent="0.25">
      <c r="A52" s="26"/>
      <c r="B52" s="11" t="str">
        <f>CONCATENATE("          ", "6239", " - ", "KITCHEN SUPPLIES")</f>
        <v xml:space="preserve">          6239 - KITCHEN SUPPLIES</v>
      </c>
      <c r="C52" s="11"/>
      <c r="D52" s="6"/>
      <c r="E52" s="2"/>
      <c r="F52" s="7">
        <f t="shared" si="38"/>
        <v>0</v>
      </c>
      <c r="G52" s="2"/>
      <c r="H52" s="6"/>
      <c r="I52" s="2"/>
      <c r="J52" s="7">
        <f t="shared" si="39"/>
        <v>0</v>
      </c>
      <c r="K52" s="2"/>
      <c r="L52" s="6">
        <f t="shared" si="40"/>
        <v>0</v>
      </c>
      <c r="M52" s="2"/>
      <c r="N52" s="7">
        <f t="shared" si="41"/>
        <v>0</v>
      </c>
      <c r="O52" s="11"/>
      <c r="P52" s="6">
        <v>875.42</v>
      </c>
      <c r="Q52" s="2"/>
      <c r="R52" s="7">
        <f t="shared" si="42"/>
        <v>4.4097608940618691E-2</v>
      </c>
      <c r="S52" s="2"/>
      <c r="T52" s="6">
        <v>892.2</v>
      </c>
      <c r="U52" s="2"/>
      <c r="V52" s="7">
        <f t="shared" si="43"/>
        <v>3.0441867701731115E-2</v>
      </c>
      <c r="W52" s="2"/>
      <c r="X52" s="6">
        <f t="shared" si="44"/>
        <v>-16.780000000000086</v>
      </c>
      <c r="Y52" s="2"/>
      <c r="Z52" s="7">
        <f t="shared" si="45"/>
        <v>-1.8807442277516347E-2</v>
      </c>
    </row>
    <row r="53" spans="1:26" s="24" customFormat="1" hidden="1" outlineLevel="2" x14ac:dyDescent="0.25">
      <c r="A53" s="26"/>
      <c r="B53" s="11" t="str">
        <f>CONCATENATE("          ", "6241", " - ", "OFFICE EXPENSE")</f>
        <v xml:space="preserve">          6241 - OFFICE EXPENSE</v>
      </c>
      <c r="C53" s="11"/>
      <c r="D53" s="6"/>
      <c r="E53" s="2"/>
      <c r="F53" s="7">
        <f t="shared" si="38"/>
        <v>0</v>
      </c>
      <c r="G53" s="2"/>
      <c r="H53" s="6"/>
      <c r="I53" s="2"/>
      <c r="J53" s="7">
        <f t="shared" si="39"/>
        <v>0</v>
      </c>
      <c r="K53" s="2"/>
      <c r="L53" s="6">
        <f t="shared" si="40"/>
        <v>0</v>
      </c>
      <c r="M53" s="2"/>
      <c r="N53" s="7">
        <f t="shared" si="41"/>
        <v>0</v>
      </c>
      <c r="O53" s="11"/>
      <c r="P53" s="6">
        <v>33.06</v>
      </c>
      <c r="Q53" s="2"/>
      <c r="R53" s="7">
        <f t="shared" si="42"/>
        <v>1.6653342984817049E-3</v>
      </c>
      <c r="S53" s="2"/>
      <c r="T53" s="6">
        <v>66.13</v>
      </c>
      <c r="U53" s="2"/>
      <c r="V53" s="7">
        <f t="shared" si="43"/>
        <v>2.2563558743728743E-3</v>
      </c>
      <c r="W53" s="2"/>
      <c r="X53" s="6">
        <f t="shared" si="44"/>
        <v>-33.069999999999993</v>
      </c>
      <c r="Y53" s="2"/>
      <c r="Z53" s="7">
        <f t="shared" si="45"/>
        <v>-0.50007560864962941</v>
      </c>
    </row>
    <row r="54" spans="1:26" s="24" customFormat="1" hidden="1" outlineLevel="2" x14ac:dyDescent="0.25">
      <c r="A54" s="26"/>
      <c r="B54" s="11" t="str">
        <f>CONCATENATE("          ", "6247", " - ", "STORE SUPPLIES")</f>
        <v xml:space="preserve">          6247 - STORE SUPPLIES</v>
      </c>
      <c r="C54" s="11"/>
      <c r="D54" s="6"/>
      <c r="E54" s="2"/>
      <c r="F54" s="7">
        <f t="shared" si="38"/>
        <v>0</v>
      </c>
      <c r="G54" s="2"/>
      <c r="H54" s="6"/>
      <c r="I54" s="2"/>
      <c r="J54" s="7">
        <f t="shared" si="39"/>
        <v>0</v>
      </c>
      <c r="K54" s="2"/>
      <c r="L54" s="6">
        <f t="shared" si="40"/>
        <v>0</v>
      </c>
      <c r="M54" s="2"/>
      <c r="N54" s="7">
        <f t="shared" si="41"/>
        <v>0</v>
      </c>
      <c r="O54" s="11"/>
      <c r="P54" s="6">
        <v>104.89</v>
      </c>
      <c r="Q54" s="2"/>
      <c r="R54" s="7">
        <f t="shared" si="42"/>
        <v>5.2836332295143991E-3</v>
      </c>
      <c r="S54" s="2"/>
      <c r="T54" s="6"/>
      <c r="U54" s="2"/>
      <c r="V54" s="7">
        <f t="shared" si="43"/>
        <v>0</v>
      </c>
      <c r="W54" s="2"/>
      <c r="X54" s="6">
        <f t="shared" si="44"/>
        <v>104.89</v>
      </c>
      <c r="Y54" s="2"/>
      <c r="Z54" s="7">
        <f t="shared" si="45"/>
        <v>0</v>
      </c>
    </row>
    <row r="55" spans="1:26" s="25" customFormat="1" outlineLevel="1" collapsed="1" x14ac:dyDescent="0.25">
      <c r="A55" s="27"/>
      <c r="B55" s="13" t="str">
        <f>CONCATENATE("     ","Telephone/Data Lines                              ")</f>
        <v xml:space="preserve">     Telephone/Data Lines                              </v>
      </c>
      <c r="C55" s="13"/>
      <c r="D55" s="1">
        <f>SUM(OSRRefD22_11x_0)</f>
        <v>214.01</v>
      </c>
      <c r="E55" s="1"/>
      <c r="F55" s="5">
        <f t="shared" ref="F55:F56" si="46">IF(D$12=0,0,D55/D$12)</f>
        <v>0</v>
      </c>
      <c r="G55" s="1"/>
      <c r="H55" s="1">
        <f>SUM(OSRRefH22_11x_0)</f>
        <v>213.01</v>
      </c>
      <c r="I55" s="1"/>
      <c r="J55" s="5">
        <f t="shared" ref="J55:J56" si="47">IF(H$12=0,0,H55/H$12)</f>
        <v>0</v>
      </c>
      <c r="K55" s="1"/>
      <c r="L55" s="1">
        <f t="shared" ref="L55:L56" si="48">+D55-H55</f>
        <v>1</v>
      </c>
      <c r="M55" s="1"/>
      <c r="N55" s="5">
        <f t="shared" ref="N55:N56" si="49">IF(H55=0,0,L55/H55)</f>
        <v>4.694615276278109E-3</v>
      </c>
      <c r="O55" s="13"/>
      <c r="P55" s="1">
        <f>SUM(OSRRefP22_11x_0)</f>
        <v>1070.05</v>
      </c>
      <c r="Q55" s="1"/>
      <c r="R55" s="5">
        <f t="shared" ref="R55:R56" si="50">IF(P$12=0,0,P55/P$12)</f>
        <v>5.3901723112230737E-2</v>
      </c>
      <c r="S55" s="1"/>
      <c r="T55" s="1">
        <f>SUM(OSRRefT22_11x_0)</f>
        <v>1362.05</v>
      </c>
      <c r="U55" s="1"/>
      <c r="V55" s="5">
        <f t="shared" ref="V55:V56" si="51">IF(T$12=0,0,T55/T$12)</f>
        <v>4.647315165113524E-2</v>
      </c>
      <c r="W55" s="1"/>
      <c r="X55" s="1">
        <f t="shared" ref="X55:X56" si="52">+P55-T55</f>
        <v>-292</v>
      </c>
      <c r="Y55" s="1"/>
      <c r="Z55" s="5">
        <f t="shared" ref="Z55:Z56" si="53">IF(T55=0,0,X55/T55)</f>
        <v>-0.21438273191145701</v>
      </c>
    </row>
    <row r="56" spans="1:26" s="24" customFormat="1" hidden="1" outlineLevel="2" x14ac:dyDescent="0.25">
      <c r="A56" s="26"/>
      <c r="B56" s="11" t="str">
        <f>CONCATENATE("          ", "6309", " - ", "TELEPHONE")</f>
        <v xml:space="preserve">          6309 - TELEPHONE</v>
      </c>
      <c r="C56" s="11"/>
      <c r="D56" s="6">
        <v>214.01</v>
      </c>
      <c r="E56" s="2"/>
      <c r="F56" s="7">
        <f t="shared" si="46"/>
        <v>0</v>
      </c>
      <c r="G56" s="2"/>
      <c r="H56" s="6">
        <v>213.01</v>
      </c>
      <c r="I56" s="2"/>
      <c r="J56" s="7">
        <f t="shared" si="47"/>
        <v>0</v>
      </c>
      <c r="K56" s="2"/>
      <c r="L56" s="6">
        <f t="shared" si="48"/>
        <v>1</v>
      </c>
      <c r="M56" s="2"/>
      <c r="N56" s="7">
        <f t="shared" si="49"/>
        <v>4.694615276278109E-3</v>
      </c>
      <c r="O56" s="11"/>
      <c r="P56" s="6">
        <v>1070.05</v>
      </c>
      <c r="Q56" s="2"/>
      <c r="R56" s="7">
        <f t="shared" si="50"/>
        <v>5.3901723112230737E-2</v>
      </c>
      <c r="S56" s="2"/>
      <c r="T56" s="6">
        <v>1362.05</v>
      </c>
      <c r="U56" s="2"/>
      <c r="V56" s="7">
        <f t="shared" si="51"/>
        <v>4.647315165113524E-2</v>
      </c>
      <c r="W56" s="2"/>
      <c r="X56" s="6">
        <f t="shared" si="52"/>
        <v>-292</v>
      </c>
      <c r="Y56" s="2"/>
      <c r="Z56" s="7">
        <f t="shared" si="53"/>
        <v>-0.21438273191145701</v>
      </c>
    </row>
    <row r="57" spans="1:26" s="53" customFormat="1" x14ac:dyDescent="0.25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collapsed="1" x14ac:dyDescent="0.25">
      <c r="A58" s="10"/>
      <c r="B58" s="28" t="s">
        <v>0</v>
      </c>
      <c r="C58" s="10"/>
      <c r="D58" s="4">
        <f>SUM(OSRRefD25x_0)</f>
        <v>2038.74</v>
      </c>
      <c r="E58" s="4"/>
      <c r="F58" s="12">
        <f t="shared" ref="F58:F59" si="54">IF(D$12=0,0,D58/D$12)</f>
        <v>0</v>
      </c>
      <c r="G58" s="4"/>
      <c r="H58" s="4">
        <f>SUM(OSRRefH25x_0)</f>
        <v>0</v>
      </c>
      <c r="I58" s="4"/>
      <c r="J58" s="12">
        <f t="shared" ref="J58:J59" si="55">IF(H$12=0,0,H58/H$12)</f>
        <v>0</v>
      </c>
      <c r="K58" s="4"/>
      <c r="L58" s="4">
        <f t="shared" ref="L58:L59" si="56">+D58-H58</f>
        <v>2038.74</v>
      </c>
      <c r="M58" s="4"/>
      <c r="N58" s="12">
        <f t="shared" ref="N58:N59" si="57">IF(H58=0,0,L58/H58)</f>
        <v>0</v>
      </c>
      <c r="O58" s="10"/>
      <c r="P58" s="4">
        <f>SUM(OSRRefP25x_0)</f>
        <v>5494.64</v>
      </c>
      <c r="Q58" s="4"/>
      <c r="R58" s="12">
        <f t="shared" ref="R58:R59" si="58">IF(P$12=0,0,P58/P$12)</f>
        <v>0.27678198577766228</v>
      </c>
      <c r="S58" s="4"/>
      <c r="T58" s="4">
        <f>SUM(OSRRefT25x_0)</f>
        <v>0</v>
      </c>
      <c r="U58" s="4"/>
      <c r="V58" s="12">
        <f t="shared" ref="V58:V59" si="59">IF(T$12=0,0,T58/T$12)</f>
        <v>0</v>
      </c>
      <c r="W58" s="4"/>
      <c r="X58" s="4">
        <f t="shared" ref="X58:X59" si="60">+P58-T58</f>
        <v>5494.64</v>
      </c>
      <c r="Y58" s="4"/>
      <c r="Z58" s="12">
        <f t="shared" ref="Z58:Z59" si="61">IF(T58=0,0,X58/T58)</f>
        <v>0</v>
      </c>
    </row>
    <row r="59" spans="1:26" s="24" customFormat="1" hidden="1" outlineLevel="1" x14ac:dyDescent="0.25">
      <c r="A59" s="44"/>
      <c r="B59" s="11" t="str">
        <f>CONCATENATE("          ", "9150", " - ", "MISC. INCOME")</f>
        <v xml:space="preserve">          9150 - MISC. INCOME</v>
      </c>
      <c r="C59" s="11"/>
      <c r="D59" s="2">
        <f>--2038.74</f>
        <v>2038.74</v>
      </c>
      <c r="E59" s="2"/>
      <c r="F59" s="19">
        <f t="shared" si="54"/>
        <v>0</v>
      </c>
      <c r="G59" s="2"/>
      <c r="H59" s="2">
        <f>0</f>
        <v>0</v>
      </c>
      <c r="I59" s="2"/>
      <c r="J59" s="19">
        <f t="shared" si="55"/>
        <v>0</v>
      </c>
      <c r="K59" s="2"/>
      <c r="L59" s="2">
        <f t="shared" si="56"/>
        <v>2038.74</v>
      </c>
      <c r="M59" s="2"/>
      <c r="N59" s="19">
        <f t="shared" si="57"/>
        <v>0</v>
      </c>
      <c r="O59" s="11"/>
      <c r="P59" s="2">
        <f>--5494.64</f>
        <v>5494.64</v>
      </c>
      <c r="Q59" s="2"/>
      <c r="R59" s="19">
        <f t="shared" si="58"/>
        <v>0.27678198577766228</v>
      </c>
      <c r="S59" s="2"/>
      <c r="T59" s="2">
        <f>0</f>
        <v>0</v>
      </c>
      <c r="U59" s="2"/>
      <c r="V59" s="19">
        <f t="shared" si="59"/>
        <v>0</v>
      </c>
      <c r="W59" s="2"/>
      <c r="X59" s="2">
        <f t="shared" si="60"/>
        <v>5494.64</v>
      </c>
      <c r="Y59" s="2"/>
      <c r="Z59" s="19">
        <f t="shared" si="61"/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9" t="s">
        <v>3</v>
      </c>
      <c r="C61" s="29"/>
      <c r="D61" s="21">
        <f>+D20-D22+D58</f>
        <v>380.71000000000004</v>
      </c>
      <c r="E61" s="14"/>
      <c r="F61" s="20">
        <f>IF(D$12=0,0,D61/D$12)</f>
        <v>0</v>
      </c>
      <c r="G61" s="14"/>
      <c r="H61" s="21">
        <f>+H20-H22+H58</f>
        <v>-512.64</v>
      </c>
      <c r="I61" s="14"/>
      <c r="J61" s="20">
        <f>IF(H$12=0,0,H61/H$12)</f>
        <v>0</v>
      </c>
      <c r="K61" s="15"/>
      <c r="L61" s="21">
        <f>+D61-H61</f>
        <v>893.35</v>
      </c>
      <c r="M61" s="15"/>
      <c r="N61" s="20">
        <f>IF(H61=0,0,L61/H61)</f>
        <v>-1.742645911360799</v>
      </c>
      <c r="O61" s="28"/>
      <c r="P61" s="21">
        <f>+P20-P22+P58</f>
        <v>840.9300000000012</v>
      </c>
      <c r="Q61" s="14"/>
      <c r="R61" s="20">
        <f>IF(P$12=0,0,P61/P$12)</f>
        <v>4.2360241125899034E-2</v>
      </c>
      <c r="S61" s="14"/>
      <c r="T61" s="21">
        <f>+T20-T22+T58</f>
        <v>85.680000000000291</v>
      </c>
      <c r="U61" s="14"/>
      <c r="V61" s="20">
        <f>IF(T$12=0,0,T61/T$12)</f>
        <v>2.9234019554856879E-3</v>
      </c>
      <c r="W61" s="15"/>
      <c r="X61" s="21">
        <f>+P61-T61</f>
        <v>755.25000000000091</v>
      </c>
      <c r="Y61" s="15"/>
      <c r="Z61" s="20">
        <f>IF(T61=0,0,X61/T61)</f>
        <v>8.8147759103641263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1"/>
      <c r="B63" s="10" t="s">
        <v>13</v>
      </c>
      <c r="C63" s="10"/>
      <c r="D63" s="4">
        <v>103.84</v>
      </c>
      <c r="E63" s="4"/>
      <c r="F63" s="12">
        <f>IF(D$12=0,0,D63/D$12)</f>
        <v>0</v>
      </c>
      <c r="G63" s="4"/>
      <c r="H63" s="4">
        <v>392.22</v>
      </c>
      <c r="I63" s="4"/>
      <c r="J63" s="12">
        <f>IF(H$12=0,0,H63/H$12)</f>
        <v>0</v>
      </c>
      <c r="K63" s="4"/>
      <c r="L63" s="4">
        <f>+D63-H63</f>
        <v>-288.38</v>
      </c>
      <c r="M63" s="4"/>
      <c r="N63" s="12">
        <f>IF(H63=0,0,L63/H63)</f>
        <v>-0.73525062464943136</v>
      </c>
      <c r="O63" s="10"/>
      <c r="P63" s="4">
        <v>2102.1799999999998</v>
      </c>
      <c r="Q63" s="4"/>
      <c r="R63" s="12">
        <f>IF(P$12=0,0,P63/P$12)</f>
        <v>0.10589329871694707</v>
      </c>
      <c r="S63" s="4"/>
      <c r="T63" s="4">
        <v>3083.89</v>
      </c>
      <c r="U63" s="4"/>
      <c r="V63" s="12">
        <f>IF(T$12=0,0,T63/T$12)</f>
        <v>0.10522233959503649</v>
      </c>
      <c r="W63" s="4"/>
      <c r="X63" s="4">
        <f>+P63-T63</f>
        <v>-981.71</v>
      </c>
      <c r="Y63" s="4"/>
      <c r="Z63" s="12">
        <f>IF(T63=0,0,X63/T63)</f>
        <v>-0.31833496006666906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9" t="s">
        <v>4</v>
      </c>
      <c r="C65" s="29"/>
      <c r="D65" s="31">
        <f>+D61-D63</f>
        <v>276.87</v>
      </c>
      <c r="E65" s="14"/>
      <c r="F65" s="32">
        <f>IF(D$12=0,0,D65/D$12)</f>
        <v>0</v>
      </c>
      <c r="G65" s="14"/>
      <c r="H65" s="31">
        <f>+H61-H63</f>
        <v>-904.86</v>
      </c>
      <c r="I65" s="14"/>
      <c r="J65" s="32">
        <f>IF(H$12=0,0,H65/H$12)</f>
        <v>0</v>
      </c>
      <c r="K65" s="15"/>
      <c r="L65" s="31">
        <f>D65-H65</f>
        <v>1181.73</v>
      </c>
      <c r="M65" s="15"/>
      <c r="N65" s="32">
        <f>IF(H65=0,0,L65/H65)</f>
        <v>-1.3059810357403354</v>
      </c>
      <c r="O65" s="28"/>
      <c r="P65" s="31">
        <f>+P61-P63</f>
        <v>-1261.2499999999986</v>
      </c>
      <c r="Q65" s="14"/>
      <c r="R65" s="32">
        <f>IF(P$12=0,0,P65/P$12)</f>
        <v>-6.3533057591048034E-2</v>
      </c>
      <c r="S65" s="14"/>
      <c r="T65" s="31">
        <f>+T61-T63</f>
        <v>-2998.2099999999996</v>
      </c>
      <c r="U65" s="14"/>
      <c r="V65" s="32">
        <f>IF(T$12=0,0,T65/T$12)</f>
        <v>-0.10229893763955081</v>
      </c>
      <c r="W65" s="15"/>
      <c r="X65" s="31">
        <f>P65-T65</f>
        <v>1736.9600000000009</v>
      </c>
      <c r="Y65" s="15"/>
      <c r="Z65" s="32">
        <f>IF(T65=0,0,X65/T65)</f>
        <v>-0.57933233495985981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9" t="s">
        <v>5</v>
      </c>
      <c r="C68" s="29"/>
      <c r="D68" s="34">
        <f>SUM(D65:D67)</f>
        <v>276.87</v>
      </c>
      <c r="E68" s="14"/>
      <c r="F68" s="30">
        <f>IF(D$12=0,0,D68/D$12)</f>
        <v>0</v>
      </c>
      <c r="G68" s="14"/>
      <c r="H68" s="34">
        <f>SUM(H65:H67)</f>
        <v>-904.86</v>
      </c>
      <c r="I68" s="14"/>
      <c r="J68" s="30">
        <f>IF(H$12=0,0,H68/H$12)</f>
        <v>0</v>
      </c>
      <c r="K68" s="15"/>
      <c r="L68" s="34">
        <f>+D68-H68</f>
        <v>1181.73</v>
      </c>
      <c r="M68" s="15"/>
      <c r="N68" s="30">
        <f>IF(H68=0,0,L68/H68)</f>
        <v>-1.3059810357403354</v>
      </c>
      <c r="O68" s="28"/>
      <c r="P68" s="34">
        <f>SUM(P65:P67)</f>
        <v>-1261.2499999999986</v>
      </c>
      <c r="Q68" s="14"/>
      <c r="R68" s="30">
        <f>IF(P$12=0,0,P68/P$12)</f>
        <v>-6.3533057591048034E-2</v>
      </c>
      <c r="S68" s="14"/>
      <c r="T68" s="34">
        <f>SUM(T65:T67)</f>
        <v>-2998.2099999999996</v>
      </c>
      <c r="U68" s="14"/>
      <c r="V68" s="30">
        <f>IF(T$12=0,0,T68/T$12)</f>
        <v>-0.10229893763955081</v>
      </c>
      <c r="W68" s="15"/>
      <c r="X68" s="34">
        <f>+P68-T68</f>
        <v>1736.9600000000009</v>
      </c>
      <c r="Y68" s="15"/>
      <c r="Z68" s="30">
        <f>IF(T68=0,0,X68/T68)</f>
        <v>-0.57933233495985981</v>
      </c>
    </row>
    <row r="69" spans="1:26" ht="15.75" thickTop="1" x14ac:dyDescent="0.25">
      <c r="A69" s="9"/>
      <c r="C69" s="9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9">
        <v>43815.492210879631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62" t="s">
        <v>313</v>
      </c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61"/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e">
        <f ca="1">CONCATENATE("Period ",RIGHT(_xll.OneStop.ReportPlayer.OSRFunctions.OSRGet("Period","PeriodId"),2),", ",_xll.OneStop.ReportPlayer.OSRFunctions.OSRGet("Period","Year"))</f>
        <v>#NAME?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298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1" t="e">
        <f ca="1">D12-D15</f>
        <v>#NAME?</v>
      </c>
      <c r="E18" s="14"/>
      <c r="F18" s="20" t="e">
        <f ca="1">IF(D$12=0,0,D18/D$12)</f>
        <v>#NAME?</v>
      </c>
      <c r="G18" s="14"/>
      <c r="H18" s="21" t="e">
        <f ca="1">H12-H15</f>
        <v>#NAME?</v>
      </c>
      <c r="I18" s="14"/>
      <c r="J18" s="20" t="e">
        <f ca="1">IF(H$12=0,0,H18/H$12)</f>
        <v>#NAME?</v>
      </c>
      <c r="K18" s="15"/>
      <c r="L18" s="21" t="e">
        <f ca="1">+D18-H18</f>
        <v>#NAME?</v>
      </c>
      <c r="M18" s="15"/>
      <c r="N18" s="20" t="e">
        <f ca="1">IF(H18=0,0,L18/H18)</f>
        <v>#NAME?</v>
      </c>
      <c r="O18" s="28"/>
      <c r="P18" s="21" t="e">
        <f ca="1">P12-P15</f>
        <v>#NAME?</v>
      </c>
      <c r="Q18" s="14"/>
      <c r="R18" s="20" t="e">
        <f ca="1">IF(P$12=0,0,P18/P$12)</f>
        <v>#NAME?</v>
      </c>
      <c r="S18" s="14"/>
      <c r="T18" s="21" t="e">
        <f ca="1">T12-T15</f>
        <v>#NAME?</v>
      </c>
      <c r="U18" s="14"/>
      <c r="V18" s="20" t="e">
        <f ca="1">IF(T$12=0,0,T18/T$12)</f>
        <v>#NAME?</v>
      </c>
      <c r="W18" s="15"/>
      <c r="X18" s="21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2" t="e">
        <f ca="1">SUM(_xll.OneStop.ReportPlayer.OSRFunctions.OSRRef(D22))</f>
        <v>#NAME?</v>
      </c>
      <c r="E20" s="22"/>
      <c r="F20" s="33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3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3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3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5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6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3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1" t="e">
        <f ca="1">+D18-D20+D24</f>
        <v>#NAME?</v>
      </c>
      <c r="E27" s="14"/>
      <c r="F27" s="20" t="e">
        <f ca="1">IF(D$12=0,0,D27/D$12)</f>
        <v>#NAME?</v>
      </c>
      <c r="G27" s="14"/>
      <c r="H27" s="21" t="e">
        <f ca="1">+H18-H20+H24</f>
        <v>#NAME?</v>
      </c>
      <c r="I27" s="14"/>
      <c r="J27" s="20" t="e">
        <f ca="1">IF(H$12=0,0,H27/H$12)</f>
        <v>#NAME?</v>
      </c>
      <c r="K27" s="15"/>
      <c r="L27" s="21" t="e">
        <f ca="1">+D27-H27</f>
        <v>#NAME?</v>
      </c>
      <c r="M27" s="15"/>
      <c r="N27" s="20" t="e">
        <f ca="1">IF(H27=0,0,L27/H27)</f>
        <v>#NAME?</v>
      </c>
      <c r="O27" s="28"/>
      <c r="P27" s="21" t="e">
        <f ca="1">+P18-P20+P24</f>
        <v>#NAME?</v>
      </c>
      <c r="Q27" s="14"/>
      <c r="R27" s="20" t="e">
        <f ca="1">IF(P$12=0,0,P27/P$12)</f>
        <v>#NAME?</v>
      </c>
      <c r="S27" s="14"/>
      <c r="T27" s="21" t="e">
        <f ca="1">+T18-T20+T24</f>
        <v>#NAME?</v>
      </c>
      <c r="U27" s="14"/>
      <c r="V27" s="20" t="e">
        <f ca="1">IF(T$12=0,0,T27/T$12)</f>
        <v>#NAME?</v>
      </c>
      <c r="W27" s="15"/>
      <c r="X27" s="21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4" t="e">
        <f ca="1">SUM(D31:D35)</f>
        <v>#NAME?</v>
      </c>
      <c r="E36" s="14"/>
      <c r="F36" s="30" t="e">
        <f ca="1">IF(D$12=0,0,D36/D$12)</f>
        <v>#NAME?</v>
      </c>
      <c r="G36" s="14"/>
      <c r="H36" s="34" t="e">
        <f ca="1">SUM(H31:H35)</f>
        <v>#NAME?</v>
      </c>
      <c r="I36" s="14"/>
      <c r="J36" s="30" t="e">
        <f ca="1">IF(H$12=0,0,H36/H$12)</f>
        <v>#NAME?</v>
      </c>
      <c r="K36" s="15"/>
      <c r="L36" s="34" t="e">
        <f ca="1">+D36-H36</f>
        <v>#NAME?</v>
      </c>
      <c r="M36" s="15"/>
      <c r="N36" s="30" t="e">
        <f ca="1">IF(H36=0,0,L36/H36)</f>
        <v>#NAME?</v>
      </c>
      <c r="O36" s="28"/>
      <c r="P36" s="34" t="e">
        <f ca="1">SUM(P31:P35)</f>
        <v>#NAME?</v>
      </c>
      <c r="Q36" s="14"/>
      <c r="R36" s="30" t="e">
        <f ca="1">IF(P$12=0,0,P36/P$12)</f>
        <v>#NAME?</v>
      </c>
      <c r="S36" s="14"/>
      <c r="T36" s="34" t="e">
        <f ca="1">SUM(T31:T35)</f>
        <v>#NAME?</v>
      </c>
      <c r="U36" s="14"/>
      <c r="V36" s="30" t="e">
        <f ca="1">IF(T$12=0,0,T36/T$12)</f>
        <v>#NAME?</v>
      </c>
      <c r="W36" s="15"/>
      <c r="X36" s="34" t="e">
        <f ca="1">+P36-T36</f>
        <v>#NAME?</v>
      </c>
      <c r="Y36" s="15"/>
      <c r="Z36" s="30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","425", " - ", "Events Center")</f>
        <v>Department 425 - Events Center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32435.55</v>
      </c>
      <c r="E12" s="4"/>
      <c r="F12" s="12"/>
      <c r="G12" s="4"/>
      <c r="H12" s="4">
        <f>SUM(OSRRefH13x_0)</f>
        <v>32868.850000000006</v>
      </c>
      <c r="I12" s="4"/>
      <c r="J12" s="12"/>
      <c r="K12" s="4"/>
      <c r="L12" s="4">
        <f t="shared" ref="L12:L17" si="0">+D12-H12</f>
        <v>-433.30000000000655</v>
      </c>
      <c r="M12" s="4"/>
      <c r="N12" s="12">
        <f t="shared" ref="N12:N17" si="1">IF(H12=0,0,L12/H12)</f>
        <v>-1.3182694253069593E-2</v>
      </c>
      <c r="O12" s="10"/>
      <c r="P12" s="4">
        <f>SUM(OSRRefP13x_0)</f>
        <v>166187.53999999998</v>
      </c>
      <c r="Q12" s="4"/>
      <c r="R12" s="12"/>
      <c r="S12" s="4"/>
      <c r="T12" s="4">
        <f>SUM(OSRRefT13x_0)</f>
        <v>165976.21999999997</v>
      </c>
      <c r="U12" s="4"/>
      <c r="V12" s="12"/>
      <c r="W12" s="4"/>
      <c r="X12" s="4">
        <f t="shared" ref="X12:X17" si="2">+P12-T12</f>
        <v>211.32000000000698</v>
      </c>
      <c r="Y12" s="4"/>
      <c r="Z12" s="12">
        <f t="shared" ref="Z12:Z17" si="3">IF(T12=0,0,X12/T12)</f>
        <v>1.2731944371308554E-3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--704.37</f>
        <v>704.37</v>
      </c>
      <c r="U13" s="2"/>
      <c r="V13" s="19"/>
      <c r="W13" s="2"/>
      <c r="X13" s="2">
        <f t="shared" si="2"/>
        <v>-704.37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--22420.87</f>
        <v>22420.87</v>
      </c>
      <c r="E14" s="2"/>
      <c r="F14" s="19"/>
      <c r="G14" s="2"/>
      <c r="H14" s="2">
        <f>--25049.33</f>
        <v>25049.33</v>
      </c>
      <c r="I14" s="2"/>
      <c r="J14" s="19"/>
      <c r="K14" s="2"/>
      <c r="L14" s="2">
        <f t="shared" si="0"/>
        <v>-2628.4600000000028</v>
      </c>
      <c r="M14" s="2"/>
      <c r="N14" s="19">
        <f t="shared" si="1"/>
        <v>-0.10493134946124318</v>
      </c>
      <c r="O14" s="11"/>
      <c r="P14" s="2">
        <f>--115524.12</f>
        <v>115524.12</v>
      </c>
      <c r="Q14" s="2"/>
      <c r="R14" s="19"/>
      <c r="S14" s="2"/>
      <c r="T14" s="2">
        <f>--125703.47</f>
        <v>125703.47</v>
      </c>
      <c r="U14" s="2"/>
      <c r="V14" s="19"/>
      <c r="W14" s="2"/>
      <c r="X14" s="2">
        <f t="shared" si="2"/>
        <v>-10179.350000000006</v>
      </c>
      <c r="Y14" s="2"/>
      <c r="Z14" s="19">
        <f t="shared" si="3"/>
        <v>-8.0979069233331466E-2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--10014.68</f>
        <v>10014.68</v>
      </c>
      <c r="E15" s="2"/>
      <c r="F15" s="19"/>
      <c r="G15" s="2"/>
      <c r="H15" s="2">
        <f>--7819.52</f>
        <v>7819.52</v>
      </c>
      <c r="I15" s="2"/>
      <c r="J15" s="19"/>
      <c r="K15" s="2"/>
      <c r="L15" s="2">
        <f t="shared" si="0"/>
        <v>2195.16</v>
      </c>
      <c r="M15" s="2"/>
      <c r="N15" s="19">
        <f t="shared" si="1"/>
        <v>0.28072822884269105</v>
      </c>
      <c r="O15" s="11"/>
      <c r="P15" s="2">
        <f>--50663.42</f>
        <v>50663.42</v>
      </c>
      <c r="Q15" s="2"/>
      <c r="R15" s="19"/>
      <c r="S15" s="2"/>
      <c r="T15" s="2">
        <f>--39038.71</f>
        <v>39038.71</v>
      </c>
      <c r="U15" s="2"/>
      <c r="V15" s="19"/>
      <c r="W15" s="2"/>
      <c r="X15" s="2">
        <f t="shared" si="2"/>
        <v>11624.71</v>
      </c>
      <c r="Y15" s="2"/>
      <c r="Z15" s="19">
        <f t="shared" si="3"/>
        <v>0.29777392746840248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 t="shared" ref="D16:D17" si="4">0</f>
        <v>0</v>
      </c>
      <c r="E16" s="2"/>
      <c r="F16" s="19"/>
      <c r="G16" s="2"/>
      <c r="H16" s="2">
        <f t="shared" ref="H16:H17" si="5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ref="P16:P17" si="6">0</f>
        <v>0</v>
      </c>
      <c r="Q16" s="2"/>
      <c r="R16" s="19"/>
      <c r="S16" s="2"/>
      <c r="T16" s="2">
        <f>--396.83</f>
        <v>396.83</v>
      </c>
      <c r="U16" s="2"/>
      <c r="V16" s="19"/>
      <c r="W16" s="2"/>
      <c r="X16" s="2">
        <f t="shared" si="2"/>
        <v>-396.83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"4152", " - ", "NON-TAXABLE SALES-FOOD")</f>
        <v xml:space="preserve">          4152 - NON-TAXABLE SALES-FOOD</v>
      </c>
      <c r="C17" s="11"/>
      <c r="D17" s="2">
        <f t="shared" si="4"/>
        <v>0</v>
      </c>
      <c r="E17" s="2"/>
      <c r="F17" s="19"/>
      <c r="G17" s="2"/>
      <c r="H17" s="2">
        <f t="shared" si="5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6"/>
        <v>0</v>
      </c>
      <c r="Q17" s="2"/>
      <c r="R17" s="19"/>
      <c r="S17" s="2"/>
      <c r="T17" s="2">
        <f>--132.84</f>
        <v>132.84</v>
      </c>
      <c r="U17" s="2"/>
      <c r="V17" s="19"/>
      <c r="W17" s="2"/>
      <c r="X17" s="2">
        <f t="shared" si="2"/>
        <v>-132.84</v>
      </c>
      <c r="Y17" s="2"/>
      <c r="Z17" s="19">
        <f t="shared" si="3"/>
        <v>-1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8" t="s">
        <v>8</v>
      </c>
      <c r="C19" s="10"/>
      <c r="D19" s="4">
        <f>SUM(OSRRefD16x_0)</f>
        <v>7758.6299999999992</v>
      </c>
      <c r="E19" s="4"/>
      <c r="F19" s="12">
        <f t="shared" ref="F19:F21" si="7">IF(D$12=0,0,D19/D$12)</f>
        <v>0.23920143176237182</v>
      </c>
      <c r="G19" s="4"/>
      <c r="H19" s="4">
        <f>SUM(OSRRefH16x_0)</f>
        <v>8217.2099999999973</v>
      </c>
      <c r="I19" s="4"/>
      <c r="J19" s="12">
        <f t="shared" ref="J19:J21" si="8">IF(H$12=0,0,H19/H$12)</f>
        <v>0.24999992394014381</v>
      </c>
      <c r="K19" s="4"/>
      <c r="L19" s="4">
        <f t="shared" ref="L19:L21" si="9">+D19-H19</f>
        <v>-458.57999999999811</v>
      </c>
      <c r="M19" s="4"/>
      <c r="N19" s="12">
        <f t="shared" ref="N19:N21" si="10">IF(H19=0,0,L19/H19)</f>
        <v>-5.5807263049136906E-2</v>
      </c>
      <c r="O19" s="10"/>
      <c r="P19" s="4">
        <f>SUM(OSRRefP16x_0)</f>
        <v>38993.32</v>
      </c>
      <c r="Q19" s="4"/>
      <c r="R19" s="12">
        <f t="shared" ref="R19:R21" si="11">IF(P$12=0,0,P19/P$12)</f>
        <v>0.23463443769611131</v>
      </c>
      <c r="S19" s="4"/>
      <c r="T19" s="4">
        <f>SUM(OSRRefT16x_0)</f>
        <v>31993.79</v>
      </c>
      <c r="U19" s="4"/>
      <c r="V19" s="12">
        <f t="shared" ref="V19:V21" si="12">IF(T$12=0,0,T19/T$12)</f>
        <v>0.19276128833395534</v>
      </c>
      <c r="W19" s="4"/>
      <c r="X19" s="4">
        <f t="shared" ref="X19:X21" si="13">+P19-T19</f>
        <v>6999.5299999999988</v>
      </c>
      <c r="Y19" s="4"/>
      <c r="Z19" s="12">
        <f t="shared" ref="Z19:Z21" si="14">IF(T19=0,0,X19/T19)</f>
        <v>0.21877776906080831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10887.63</v>
      </c>
      <c r="E20" s="2"/>
      <c r="F20" s="19">
        <f t="shared" si="7"/>
        <v>0.33566965875405225</v>
      </c>
      <c r="G20" s="2"/>
      <c r="H20" s="2">
        <v>15080.809999999998</v>
      </c>
      <c r="I20" s="2"/>
      <c r="J20" s="19">
        <f t="shared" si="8"/>
        <v>0.45881769517339349</v>
      </c>
      <c r="K20" s="2"/>
      <c r="L20" s="2">
        <f t="shared" si="9"/>
        <v>-4193.1799999999985</v>
      </c>
      <c r="M20" s="2"/>
      <c r="N20" s="19">
        <f t="shared" si="10"/>
        <v>-0.27804739931077965</v>
      </c>
      <c r="O20" s="11"/>
      <c r="P20" s="2">
        <v>51542.32</v>
      </c>
      <c r="Q20" s="2"/>
      <c r="R20" s="19">
        <f t="shared" si="11"/>
        <v>0.31014551391758977</v>
      </c>
      <c r="S20" s="2"/>
      <c r="T20" s="2">
        <v>43783.89</v>
      </c>
      <c r="U20" s="2"/>
      <c r="V20" s="19">
        <f t="shared" si="12"/>
        <v>0.26379616308890519</v>
      </c>
      <c r="W20" s="2"/>
      <c r="X20" s="2">
        <f t="shared" si="13"/>
        <v>7758.43</v>
      </c>
      <c r="Y20" s="2"/>
      <c r="Z20" s="19">
        <f t="shared" si="14"/>
        <v>0.17719828000664173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-3129</v>
      </c>
      <c r="E21" s="2"/>
      <c r="F21" s="19">
        <f t="shared" si="7"/>
        <v>-9.6468226991680422E-2</v>
      </c>
      <c r="G21" s="2"/>
      <c r="H21" s="2">
        <v>-6863.6</v>
      </c>
      <c r="I21" s="2"/>
      <c r="J21" s="19">
        <f t="shared" si="8"/>
        <v>-0.20881777123324968</v>
      </c>
      <c r="K21" s="2"/>
      <c r="L21" s="2">
        <f t="shared" si="9"/>
        <v>3734.6000000000004</v>
      </c>
      <c r="M21" s="2"/>
      <c r="N21" s="19">
        <f t="shared" si="10"/>
        <v>-0.54411679002272861</v>
      </c>
      <c r="O21" s="11"/>
      <c r="P21" s="2">
        <v>-12549</v>
      </c>
      <c r="Q21" s="2"/>
      <c r="R21" s="19">
        <f t="shared" si="11"/>
        <v>-7.5511076221478471E-2</v>
      </c>
      <c r="S21" s="2"/>
      <c r="T21" s="2">
        <v>-11790.1</v>
      </c>
      <c r="U21" s="2"/>
      <c r="V21" s="19">
        <f t="shared" si="12"/>
        <v>-7.103487475494985E-2</v>
      </c>
      <c r="W21" s="2"/>
      <c r="X21" s="2">
        <f t="shared" si="13"/>
        <v>-758.89999999999964</v>
      </c>
      <c r="Y21" s="2"/>
      <c r="Z21" s="19">
        <f t="shared" si="14"/>
        <v>6.4367562616093124E-2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1">
        <f>D12-D19</f>
        <v>24676.92</v>
      </c>
      <c r="E23" s="14"/>
      <c r="F23" s="20">
        <f>IF(D$12=0,0,D23/D$12)</f>
        <v>0.76079856823762815</v>
      </c>
      <c r="G23" s="14"/>
      <c r="H23" s="21">
        <f>H12-H19</f>
        <v>24651.640000000007</v>
      </c>
      <c r="I23" s="14"/>
      <c r="J23" s="20">
        <f>IF(H$12=0,0,H23/H$12)</f>
        <v>0.75000007605985608</v>
      </c>
      <c r="K23" s="15"/>
      <c r="L23" s="21">
        <f>+D23-H23</f>
        <v>25.27999999999156</v>
      </c>
      <c r="M23" s="15"/>
      <c r="N23" s="20">
        <f>IF(H23=0,0,L23/H23)</f>
        <v>1.0254895820315222E-3</v>
      </c>
      <c r="O23" s="28"/>
      <c r="P23" s="21">
        <f>P12-P19</f>
        <v>127194.21999999997</v>
      </c>
      <c r="Q23" s="14"/>
      <c r="R23" s="20">
        <f>IF(P$12=0,0,P23/P$12)</f>
        <v>0.76536556230388864</v>
      </c>
      <c r="S23" s="14"/>
      <c r="T23" s="21">
        <f>T12-T19</f>
        <v>133982.42999999996</v>
      </c>
      <c r="U23" s="14"/>
      <c r="V23" s="20">
        <f>IF(T$12=0,0,T23/T$12)</f>
        <v>0.80723871166604466</v>
      </c>
      <c r="W23" s="15"/>
      <c r="X23" s="21">
        <f>+P23-T23</f>
        <v>-6788.2099999999919</v>
      </c>
      <c r="Y23" s="15"/>
      <c r="Z23" s="20">
        <f>IF(T23=0,0,X23/T23)</f>
        <v>-5.066492673703555E-2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2">
        <f>SUM(OSRRefD22x_0)</f>
        <v>26739.890000000007</v>
      </c>
      <c r="E25" s="22"/>
      <c r="F25" s="33">
        <f t="shared" ref="F25:F34" si="15">IF(D$12=0,0,D25/D$12)</f>
        <v>0.82440069614974953</v>
      </c>
      <c r="G25" s="22"/>
      <c r="H25" s="22">
        <f>SUM(OSRRefH22x_0)</f>
        <v>22192.870000000003</v>
      </c>
      <c r="I25" s="22"/>
      <c r="J25" s="33">
        <f t="shared" ref="J25:J34" si="16">IF(H$12=0,0,H25/H$12)</f>
        <v>0.67519459914174051</v>
      </c>
      <c r="K25" s="4"/>
      <c r="L25" s="22">
        <f t="shared" ref="L25:L34" si="17">+D25-H25</f>
        <v>4547.0200000000041</v>
      </c>
      <c r="M25" s="4"/>
      <c r="N25" s="33">
        <f t="shared" ref="N25:N34" si="18">IF(H25=0,0,L25/H25)</f>
        <v>0.20488652436570862</v>
      </c>
      <c r="O25" s="10"/>
      <c r="P25" s="22">
        <f>SUM(OSRRefP22x_0)</f>
        <v>146359.26</v>
      </c>
      <c r="Q25" s="22"/>
      <c r="R25" s="33">
        <f t="shared" ref="R25:R34" si="19">IF(P$12=0,0,P25/P$12)</f>
        <v>0.88068732469353617</v>
      </c>
      <c r="S25" s="22"/>
      <c r="T25" s="22">
        <f>SUM(OSRRefT22x_0)</f>
        <v>121331.24999999999</v>
      </c>
      <c r="U25" s="22"/>
      <c r="V25" s="33">
        <f t="shared" ref="V25:V34" si="20">IF(T$12=0,0,T25/T$12)</f>
        <v>0.73101586480280134</v>
      </c>
      <c r="W25" s="4"/>
      <c r="X25" s="22">
        <f t="shared" ref="X25:X34" si="21">+P25-T25</f>
        <v>25028.010000000024</v>
      </c>
      <c r="Y25" s="4"/>
      <c r="Z25" s="33">
        <f t="shared" ref="Z25:Z34" si="22">IF(T25=0,0,X25/T25)</f>
        <v>0.20627834955957369</v>
      </c>
    </row>
    <row r="26" spans="1:26" s="25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2793.89</v>
      </c>
      <c r="E26" s="1"/>
      <c r="F26" s="5">
        <f t="shared" si="15"/>
        <v>8.6136661780053053E-2</v>
      </c>
      <c r="G26" s="1"/>
      <c r="H26" s="1">
        <f>SUM(OSRRefH22_0x_0)</f>
        <v>-2612.8800000000006</v>
      </c>
      <c r="I26" s="1"/>
      <c r="J26" s="5">
        <f t="shared" si="16"/>
        <v>-7.949411068534494E-2</v>
      </c>
      <c r="K26" s="1"/>
      <c r="L26" s="1">
        <f t="shared" si="17"/>
        <v>5406.77</v>
      </c>
      <c r="M26" s="1"/>
      <c r="N26" s="5">
        <f t="shared" si="18"/>
        <v>-2.0692760478858574</v>
      </c>
      <c r="O26" s="13"/>
      <c r="P26" s="1">
        <f>SUM(OSRRefP22_0x_0)</f>
        <v>13783.200000000003</v>
      </c>
      <c r="Q26" s="1"/>
      <c r="R26" s="5">
        <f t="shared" si="19"/>
        <v>8.2937625769055875E-2</v>
      </c>
      <c r="S26" s="1"/>
      <c r="T26" s="1">
        <f>SUM(OSRRefT22_0x_0)</f>
        <v>11096.730000000001</v>
      </c>
      <c r="U26" s="1"/>
      <c r="V26" s="5">
        <f t="shared" si="20"/>
        <v>6.6857348600902006E-2</v>
      </c>
      <c r="W26" s="1"/>
      <c r="X26" s="1">
        <f t="shared" si="21"/>
        <v>2686.4700000000012</v>
      </c>
      <c r="Y26" s="1"/>
      <c r="Z26" s="5">
        <f t="shared" si="22"/>
        <v>0.24209564439253733</v>
      </c>
    </row>
    <row r="27" spans="1:26" s="24" customFormat="1" hidden="1" outlineLevel="2" x14ac:dyDescent="0.25">
      <c r="A27" s="26"/>
      <c r="B27" s="11" t="str">
        <f>CONCATENATE("          ", "6111", " - ", "F.I.C.A.")</f>
        <v xml:space="preserve">          6111 - F.I.C.A.</v>
      </c>
      <c r="C27" s="11"/>
      <c r="D27" s="6">
        <v>596.1</v>
      </c>
      <c r="E27" s="2"/>
      <c r="F27" s="7">
        <f t="shared" si="15"/>
        <v>1.8377983416344106E-2</v>
      </c>
      <c r="G27" s="2"/>
      <c r="H27" s="6">
        <v>779.38</v>
      </c>
      <c r="I27" s="2"/>
      <c r="J27" s="7">
        <f t="shared" si="16"/>
        <v>2.3711812247766497E-2</v>
      </c>
      <c r="K27" s="2"/>
      <c r="L27" s="6">
        <f t="shared" si="17"/>
        <v>-183.27999999999997</v>
      </c>
      <c r="M27" s="2"/>
      <c r="N27" s="7">
        <f t="shared" si="18"/>
        <v>-0.23516128204470216</v>
      </c>
      <c r="O27" s="11"/>
      <c r="P27" s="6">
        <v>3633.51</v>
      </c>
      <c r="Q27" s="2"/>
      <c r="R27" s="7">
        <f t="shared" si="19"/>
        <v>2.1863913503984721E-2</v>
      </c>
      <c r="S27" s="2"/>
      <c r="T27" s="6">
        <v>3696.44</v>
      </c>
      <c r="U27" s="2"/>
      <c r="V27" s="7">
        <f t="shared" si="20"/>
        <v>2.2270901217053867E-2</v>
      </c>
      <c r="W27" s="2"/>
      <c r="X27" s="6">
        <f t="shared" si="21"/>
        <v>-62.929999999999836</v>
      </c>
      <c r="Y27" s="2"/>
      <c r="Z27" s="7">
        <f t="shared" si="22"/>
        <v>-1.7024488426702403E-2</v>
      </c>
    </row>
    <row r="28" spans="1:26" s="24" customFormat="1" hidden="1" outlineLevel="2" x14ac:dyDescent="0.25">
      <c r="A28" s="26"/>
      <c r="B28" s="11" t="str">
        <f>CONCATENATE("          ", "6112", " - ", "COMPENSATION INSURANCE")</f>
        <v xml:space="preserve">          6112 - COMPENSATION INSURANCE</v>
      </c>
      <c r="C28" s="11"/>
      <c r="D28" s="6">
        <v>582.62</v>
      </c>
      <c r="E28" s="2"/>
      <c r="F28" s="7">
        <f t="shared" si="15"/>
        <v>1.796239003192485E-2</v>
      </c>
      <c r="G28" s="2"/>
      <c r="H28" s="6">
        <v>571.77</v>
      </c>
      <c r="I28" s="2"/>
      <c r="J28" s="7">
        <f t="shared" si="16"/>
        <v>1.7395497560760413E-2</v>
      </c>
      <c r="K28" s="2"/>
      <c r="L28" s="6">
        <f t="shared" si="17"/>
        <v>10.850000000000023</v>
      </c>
      <c r="M28" s="2"/>
      <c r="N28" s="7">
        <f t="shared" si="18"/>
        <v>1.8976161743358384E-2</v>
      </c>
      <c r="O28" s="11"/>
      <c r="P28" s="6">
        <v>1791.56</v>
      </c>
      <c r="Q28" s="2"/>
      <c r="R28" s="7">
        <f t="shared" si="19"/>
        <v>1.0780350921615424E-2</v>
      </c>
      <c r="S28" s="2"/>
      <c r="T28" s="6">
        <v>2098.86</v>
      </c>
      <c r="U28" s="2"/>
      <c r="V28" s="7">
        <f t="shared" si="20"/>
        <v>1.2645546452377338E-2</v>
      </c>
      <c r="W28" s="2"/>
      <c r="X28" s="6">
        <f t="shared" si="21"/>
        <v>-307.30000000000018</v>
      </c>
      <c r="Y28" s="2"/>
      <c r="Z28" s="7">
        <f t="shared" si="22"/>
        <v>-0.14641281457553157</v>
      </c>
    </row>
    <row r="29" spans="1:26" s="24" customFormat="1" hidden="1" outlineLevel="2" x14ac:dyDescent="0.25">
      <c r="A29" s="26"/>
      <c r="B29" s="11" t="str">
        <f>CONCATENATE("          ", "6113", " - ", "GROUP INSURANCE")</f>
        <v xml:space="preserve">          6113 - GROUP INSURANCE</v>
      </c>
      <c r="C29" s="11"/>
      <c r="D29" s="6">
        <v>698.2</v>
      </c>
      <c r="E29" s="2"/>
      <c r="F29" s="7">
        <f t="shared" si="15"/>
        <v>2.1525764169252566E-2</v>
      </c>
      <c r="G29" s="2"/>
      <c r="H29" s="6">
        <v>1417.75</v>
      </c>
      <c r="I29" s="2"/>
      <c r="J29" s="7">
        <f t="shared" si="16"/>
        <v>4.3133544374080617E-2</v>
      </c>
      <c r="K29" s="2"/>
      <c r="L29" s="6">
        <f t="shared" si="17"/>
        <v>-719.55</v>
      </c>
      <c r="M29" s="2"/>
      <c r="N29" s="7">
        <f t="shared" si="18"/>
        <v>-0.50752953623699526</v>
      </c>
      <c r="O29" s="11"/>
      <c r="P29" s="6">
        <v>3491</v>
      </c>
      <c r="Q29" s="2"/>
      <c r="R29" s="7">
        <f t="shared" si="19"/>
        <v>2.1006388324900895E-2</v>
      </c>
      <c r="S29" s="2"/>
      <c r="T29" s="6">
        <v>6194.15</v>
      </c>
      <c r="U29" s="2"/>
      <c r="V29" s="7">
        <f t="shared" si="20"/>
        <v>3.7319502757684204E-2</v>
      </c>
      <c r="W29" s="2"/>
      <c r="X29" s="6">
        <f t="shared" si="21"/>
        <v>-2703.1499999999996</v>
      </c>
      <c r="Y29" s="2"/>
      <c r="Z29" s="7">
        <f t="shared" si="22"/>
        <v>-0.43640370349442614</v>
      </c>
    </row>
    <row r="30" spans="1:26" s="24" customFormat="1" hidden="1" outlineLevel="2" x14ac:dyDescent="0.25">
      <c r="A30" s="26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39.04</v>
      </c>
      <c r="E30" s="2"/>
      <c r="F30" s="7">
        <f t="shared" si="15"/>
        <v>1.2036176355881124E-3</v>
      </c>
      <c r="G30" s="2"/>
      <c r="H30" s="6">
        <v>42.47</v>
      </c>
      <c r="I30" s="2"/>
      <c r="J30" s="7">
        <f t="shared" si="16"/>
        <v>1.2921048348208102E-3</v>
      </c>
      <c r="K30" s="2"/>
      <c r="L30" s="6">
        <f t="shared" si="17"/>
        <v>-3.4299999999999997</v>
      </c>
      <c r="M30" s="2"/>
      <c r="N30" s="7">
        <f t="shared" si="18"/>
        <v>-8.0762891452790198E-2</v>
      </c>
      <c r="O30" s="11"/>
      <c r="P30" s="6">
        <v>193.51</v>
      </c>
      <c r="Q30" s="2"/>
      <c r="R30" s="7">
        <f t="shared" si="19"/>
        <v>1.1644073917936328E-3</v>
      </c>
      <c r="S30" s="2"/>
      <c r="T30" s="6">
        <v>155.91</v>
      </c>
      <c r="U30" s="2"/>
      <c r="V30" s="7">
        <f t="shared" si="20"/>
        <v>9.3935143239194153E-4</v>
      </c>
      <c r="W30" s="2"/>
      <c r="X30" s="6">
        <f t="shared" si="21"/>
        <v>37.599999999999994</v>
      </c>
      <c r="Y30" s="2"/>
      <c r="Z30" s="7">
        <f t="shared" si="22"/>
        <v>0.24116477454941951</v>
      </c>
    </row>
    <row r="31" spans="1:26" s="24" customFormat="1" hidden="1" outlineLevel="2" x14ac:dyDescent="0.25">
      <c r="A31" s="26"/>
      <c r="B31" s="11" t="str">
        <f>CONCATENATE("          ", "6115", " - ", "P.E.R.S.")</f>
        <v xml:space="preserve">          6115 - P.E.R.S.</v>
      </c>
      <c r="C31" s="11"/>
      <c r="D31" s="6">
        <v>320.99</v>
      </c>
      <c r="E31" s="2"/>
      <c r="F31" s="7">
        <f t="shared" si="15"/>
        <v>9.8962403905591238E-3</v>
      </c>
      <c r="G31" s="2"/>
      <c r="H31" s="6">
        <v>658.7</v>
      </c>
      <c r="I31" s="2"/>
      <c r="J31" s="7">
        <f t="shared" si="16"/>
        <v>2.0040250875829242E-2</v>
      </c>
      <c r="K31" s="2"/>
      <c r="L31" s="6">
        <f t="shared" si="17"/>
        <v>-337.71000000000004</v>
      </c>
      <c r="M31" s="2"/>
      <c r="N31" s="7">
        <f t="shared" si="18"/>
        <v>-0.51269166540154854</v>
      </c>
      <c r="O31" s="11"/>
      <c r="P31" s="6">
        <v>1604.95</v>
      </c>
      <c r="Q31" s="2"/>
      <c r="R31" s="7">
        <f t="shared" si="19"/>
        <v>9.6574628880119421E-3</v>
      </c>
      <c r="S31" s="2"/>
      <c r="T31" s="6">
        <v>2000.83</v>
      </c>
      <c r="U31" s="2"/>
      <c r="V31" s="7">
        <f t="shared" si="20"/>
        <v>1.205491967463773E-2</v>
      </c>
      <c r="W31" s="2"/>
      <c r="X31" s="6">
        <f t="shared" si="21"/>
        <v>-395.87999999999988</v>
      </c>
      <c r="Y31" s="2"/>
      <c r="Z31" s="7">
        <f t="shared" si="22"/>
        <v>-0.19785788897607487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>
        <v>176.92</v>
      </c>
      <c r="E32" s="2"/>
      <c r="F32" s="7">
        <f t="shared" si="15"/>
        <v>5.454509018653915E-3</v>
      </c>
      <c r="G32" s="2"/>
      <c r="H32" s="6">
        <v>302.93</v>
      </c>
      <c r="I32" s="2"/>
      <c r="J32" s="7">
        <f t="shared" si="16"/>
        <v>9.2163248790267972E-3</v>
      </c>
      <c r="K32" s="2"/>
      <c r="L32" s="6">
        <f t="shared" si="17"/>
        <v>-126.01000000000002</v>
      </c>
      <c r="M32" s="2"/>
      <c r="N32" s="7">
        <f t="shared" si="18"/>
        <v>-0.41597068629716444</v>
      </c>
      <c r="O32" s="11"/>
      <c r="P32" s="6">
        <v>999.36</v>
      </c>
      <c r="Q32" s="2"/>
      <c r="R32" s="7">
        <f t="shared" si="19"/>
        <v>6.0134472175230472E-3</v>
      </c>
      <c r="S32" s="2"/>
      <c r="T32" s="6">
        <v>1569.35</v>
      </c>
      <c r="U32" s="2"/>
      <c r="V32" s="7">
        <f t="shared" si="20"/>
        <v>9.4552701585805497E-3</v>
      </c>
      <c r="W32" s="2"/>
      <c r="X32" s="6">
        <f t="shared" si="21"/>
        <v>-569.9899999999999</v>
      </c>
      <c r="Y32" s="2"/>
      <c r="Z32" s="7">
        <f t="shared" si="22"/>
        <v>-0.3632013253894924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>
        <v>211.96</v>
      </c>
      <c r="E33" s="2"/>
      <c r="F33" s="7">
        <f t="shared" si="15"/>
        <v>6.5348051751858687E-3</v>
      </c>
      <c r="G33" s="2"/>
      <c r="H33" s="6">
        <v>-6535.88</v>
      </c>
      <c r="I33" s="2"/>
      <c r="J33" s="7">
        <f t="shared" si="16"/>
        <v>-0.198847236821489</v>
      </c>
      <c r="K33" s="2"/>
      <c r="L33" s="6">
        <f t="shared" si="17"/>
        <v>6747.84</v>
      </c>
      <c r="M33" s="2"/>
      <c r="N33" s="7">
        <f t="shared" si="18"/>
        <v>-1.0324302159770375</v>
      </c>
      <c r="O33" s="11"/>
      <c r="P33" s="6">
        <v>1259.6199999999999</v>
      </c>
      <c r="Q33" s="2"/>
      <c r="R33" s="7">
        <f t="shared" si="19"/>
        <v>7.5795092700692247E-3</v>
      </c>
      <c r="S33" s="2"/>
      <c r="T33" s="6">
        <v>-5329.08</v>
      </c>
      <c r="U33" s="2"/>
      <c r="V33" s="7">
        <f t="shared" si="20"/>
        <v>-3.2107491061068874E-2</v>
      </c>
      <c r="W33" s="2"/>
      <c r="X33" s="6">
        <f t="shared" si="21"/>
        <v>6588.7</v>
      </c>
      <c r="Y33" s="2"/>
      <c r="Z33" s="7">
        <f t="shared" si="22"/>
        <v>-1.2363672528841751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6">
        <v>168.06</v>
      </c>
      <c r="E34" s="2"/>
      <c r="F34" s="7">
        <f t="shared" si="15"/>
        <v>5.1813519425445232E-3</v>
      </c>
      <c r="G34" s="2"/>
      <c r="H34" s="6">
        <v>150</v>
      </c>
      <c r="I34" s="2"/>
      <c r="J34" s="7">
        <f t="shared" si="16"/>
        <v>4.5635913638597024E-3</v>
      </c>
      <c r="K34" s="2"/>
      <c r="L34" s="6">
        <f t="shared" si="17"/>
        <v>18.060000000000002</v>
      </c>
      <c r="M34" s="2"/>
      <c r="N34" s="7">
        <f t="shared" si="18"/>
        <v>0.12040000000000002</v>
      </c>
      <c r="O34" s="11"/>
      <c r="P34" s="6">
        <v>809.69</v>
      </c>
      <c r="Q34" s="2"/>
      <c r="R34" s="7">
        <f t="shared" si="19"/>
        <v>4.8721462511569771E-3</v>
      </c>
      <c r="S34" s="2"/>
      <c r="T34" s="6">
        <v>710.27</v>
      </c>
      <c r="U34" s="2"/>
      <c r="V34" s="7">
        <f t="shared" si="20"/>
        <v>4.2793479692452337E-3</v>
      </c>
      <c r="W34" s="2"/>
      <c r="X34" s="6">
        <f t="shared" si="21"/>
        <v>99.420000000000073</v>
      </c>
      <c r="Y34" s="2"/>
      <c r="Z34" s="7">
        <f t="shared" si="22"/>
        <v>0.1399749391076634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12691.39</v>
      </c>
      <c r="E35" s="1"/>
      <c r="F35" s="5">
        <f t="shared" ref="F35:F40" si="23">IF(D$12=0,0,D35/D$12)</f>
        <v>0.39128024651963661</v>
      </c>
      <c r="G35" s="1"/>
      <c r="H35" s="1">
        <f>SUM(OSRRefH22_1x_0)</f>
        <v>13672.25</v>
      </c>
      <c r="I35" s="1"/>
      <c r="J35" s="5">
        <f t="shared" ref="J35:J40" si="24">IF(H$12=0,0,H35/H$12)</f>
        <v>0.41596374683020543</v>
      </c>
      <c r="K35" s="1"/>
      <c r="L35" s="1">
        <f t="shared" ref="L35:L40" si="25">+D35-H35</f>
        <v>-980.86000000000058</v>
      </c>
      <c r="M35" s="1"/>
      <c r="N35" s="5">
        <f t="shared" ref="N35:N40" si="26">IF(H35=0,0,L35/H35)</f>
        <v>-7.1740935105780002E-2</v>
      </c>
      <c r="O35" s="13"/>
      <c r="P35" s="1">
        <f>SUM(OSRRefP22_1x_0)</f>
        <v>58256.31</v>
      </c>
      <c r="Q35" s="1"/>
      <c r="R35" s="5">
        <f t="shared" ref="R35:R40" si="27">IF(P$12=0,0,P35/P$12)</f>
        <v>0.35054559445311007</v>
      </c>
      <c r="S35" s="1"/>
      <c r="T35" s="1">
        <f>SUM(OSRRefT22_1x_0)</f>
        <v>56702.28</v>
      </c>
      <c r="U35" s="1"/>
      <c r="V35" s="5">
        <f t="shared" ref="V35:V40" si="28">IF(T$12=0,0,T35/T$12)</f>
        <v>0.34162893937456829</v>
      </c>
      <c r="W35" s="1"/>
      <c r="X35" s="1">
        <f t="shared" ref="X35:X40" si="29">+P35-T35</f>
        <v>1554.0299999999988</v>
      </c>
      <c r="Y35" s="1"/>
      <c r="Z35" s="5">
        <f t="shared" ref="Z35:Z40" si="30">IF(T35=0,0,X35/T35)</f>
        <v>2.7406834434170881E-2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6">
        <v>4595.38</v>
      </c>
      <c r="E36" s="2"/>
      <c r="F36" s="7">
        <f t="shared" si="23"/>
        <v>0.14167726460627306</v>
      </c>
      <c r="G36" s="2"/>
      <c r="H36" s="6">
        <v>5599.47</v>
      </c>
      <c r="I36" s="2"/>
      <c r="J36" s="7">
        <f t="shared" si="24"/>
        <v>0.17035795289460992</v>
      </c>
      <c r="K36" s="2"/>
      <c r="L36" s="6">
        <f t="shared" si="25"/>
        <v>-1004.0900000000001</v>
      </c>
      <c r="M36" s="2"/>
      <c r="N36" s="7">
        <f t="shared" si="26"/>
        <v>-0.17931875695378313</v>
      </c>
      <c r="O36" s="11"/>
      <c r="P36" s="6">
        <v>24585.279999999999</v>
      </c>
      <c r="Q36" s="2"/>
      <c r="R36" s="7">
        <f t="shared" si="27"/>
        <v>0.1479369632645143</v>
      </c>
      <c r="S36" s="2"/>
      <c r="T36" s="6">
        <v>25877.390000000003</v>
      </c>
      <c r="U36" s="2"/>
      <c r="V36" s="7">
        <f t="shared" si="28"/>
        <v>0.15591022617577391</v>
      </c>
      <c r="W36" s="2"/>
      <c r="X36" s="6">
        <f t="shared" si="29"/>
        <v>-1292.1100000000042</v>
      </c>
      <c r="Y36" s="2"/>
      <c r="Z36" s="7">
        <f t="shared" si="30"/>
        <v>-4.9932006280386236E-2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>
        <v>3250.02</v>
      </c>
      <c r="E37" s="2"/>
      <c r="F37" s="7">
        <f t="shared" si="23"/>
        <v>0.10019931834052452</v>
      </c>
      <c r="G37" s="2"/>
      <c r="H37" s="6">
        <v>2875.78</v>
      </c>
      <c r="I37" s="2"/>
      <c r="J37" s="7">
        <f t="shared" si="24"/>
        <v>8.7492565149069709E-2</v>
      </c>
      <c r="K37" s="2"/>
      <c r="L37" s="6">
        <f t="shared" si="25"/>
        <v>374.23999999999978</v>
      </c>
      <c r="M37" s="2"/>
      <c r="N37" s="7">
        <f t="shared" si="26"/>
        <v>0.13013512855642634</v>
      </c>
      <c r="O37" s="11"/>
      <c r="P37" s="6">
        <v>13199.71</v>
      </c>
      <c r="Q37" s="2"/>
      <c r="R37" s="7">
        <f t="shared" si="27"/>
        <v>7.9426592390741207E-2</v>
      </c>
      <c r="S37" s="2"/>
      <c r="T37" s="6">
        <v>13724.26</v>
      </c>
      <c r="U37" s="2"/>
      <c r="V37" s="7">
        <f t="shared" si="28"/>
        <v>8.268811038111365E-2</v>
      </c>
      <c r="W37" s="2"/>
      <c r="X37" s="6">
        <f t="shared" si="29"/>
        <v>-524.55000000000109</v>
      </c>
      <c r="Y37" s="2"/>
      <c r="Z37" s="7">
        <f t="shared" si="30"/>
        <v>-3.8220639947071908E-2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3"/>
        <v>0</v>
      </c>
      <c r="G38" s="2"/>
      <c r="H38" s="6"/>
      <c r="I38" s="2"/>
      <c r="J38" s="7">
        <f t="shared" si="24"/>
        <v>0</v>
      </c>
      <c r="K38" s="2"/>
      <c r="L38" s="6">
        <f t="shared" si="25"/>
        <v>0</v>
      </c>
      <c r="M38" s="2"/>
      <c r="N38" s="7">
        <f t="shared" si="26"/>
        <v>0</v>
      </c>
      <c r="O38" s="11"/>
      <c r="P38" s="6">
        <v>303.38</v>
      </c>
      <c r="Q38" s="2"/>
      <c r="R38" s="7">
        <f t="shared" si="27"/>
        <v>1.8255279547431777E-3</v>
      </c>
      <c r="S38" s="2"/>
      <c r="T38" s="6"/>
      <c r="U38" s="2"/>
      <c r="V38" s="7">
        <f t="shared" si="28"/>
        <v>0</v>
      </c>
      <c r="W38" s="2"/>
      <c r="X38" s="6">
        <f t="shared" si="29"/>
        <v>303.38</v>
      </c>
      <c r="Y38" s="2"/>
      <c r="Z38" s="7">
        <f t="shared" si="30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>
        <v>4185.99</v>
      </c>
      <c r="E39" s="2"/>
      <c r="F39" s="7">
        <f t="shared" si="23"/>
        <v>0.12905561952857281</v>
      </c>
      <c r="G39" s="2"/>
      <c r="H39" s="6">
        <v>5113</v>
      </c>
      <c r="I39" s="2"/>
      <c r="J39" s="7">
        <f t="shared" si="24"/>
        <v>0.15555761762276438</v>
      </c>
      <c r="K39" s="2"/>
      <c r="L39" s="6">
        <f t="shared" si="25"/>
        <v>-927.01000000000022</v>
      </c>
      <c r="M39" s="2"/>
      <c r="N39" s="7">
        <f t="shared" si="26"/>
        <v>-0.18130451789556037</v>
      </c>
      <c r="O39" s="11"/>
      <c r="P39" s="6">
        <v>17602.939999999999</v>
      </c>
      <c r="Q39" s="2"/>
      <c r="R39" s="7">
        <f t="shared" si="27"/>
        <v>0.10592214073329445</v>
      </c>
      <c r="S39" s="2"/>
      <c r="T39" s="6">
        <v>17016.63</v>
      </c>
      <c r="U39" s="2"/>
      <c r="V39" s="7">
        <f t="shared" si="28"/>
        <v>0.10252450622143343</v>
      </c>
      <c r="W39" s="2"/>
      <c r="X39" s="6">
        <f t="shared" si="29"/>
        <v>586.30999999999767</v>
      </c>
      <c r="Y39" s="2"/>
      <c r="Z39" s="7">
        <f t="shared" si="30"/>
        <v>3.445511831661132E-2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>
        <v>660</v>
      </c>
      <c r="E40" s="2"/>
      <c r="F40" s="7">
        <f t="shared" si="23"/>
        <v>2.0348044044266246E-2</v>
      </c>
      <c r="G40" s="2"/>
      <c r="H40" s="6">
        <v>84</v>
      </c>
      <c r="I40" s="2"/>
      <c r="J40" s="7">
        <f t="shared" si="24"/>
        <v>2.5556111637614334E-3</v>
      </c>
      <c r="K40" s="2"/>
      <c r="L40" s="6">
        <f t="shared" si="25"/>
        <v>576</v>
      </c>
      <c r="M40" s="2"/>
      <c r="N40" s="7">
        <f t="shared" si="26"/>
        <v>6.8571428571428568</v>
      </c>
      <c r="O40" s="11"/>
      <c r="P40" s="6">
        <v>2565</v>
      </c>
      <c r="Q40" s="2"/>
      <c r="R40" s="7">
        <f t="shared" si="27"/>
        <v>1.54343701098169E-2</v>
      </c>
      <c r="S40" s="2"/>
      <c r="T40" s="6">
        <v>84</v>
      </c>
      <c r="U40" s="2"/>
      <c r="V40" s="7">
        <f t="shared" si="28"/>
        <v>5.0609659624734201E-4</v>
      </c>
      <c r="W40" s="2"/>
      <c r="X40" s="6">
        <f t="shared" si="29"/>
        <v>2481</v>
      </c>
      <c r="Y40" s="2"/>
      <c r="Z40" s="7">
        <f t="shared" si="30"/>
        <v>29.535714285714285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703.28</v>
      </c>
      <c r="E41" s="1"/>
      <c r="F41" s="5">
        <f t="shared" ref="F41:F58" si="31">IF(D$12=0,0,D41/D$12)</f>
        <v>2.1682382447653886E-2</v>
      </c>
      <c r="G41" s="1"/>
      <c r="H41" s="1">
        <f>SUM(OSRRefH22_2x_0)</f>
        <v>126.29</v>
      </c>
      <c r="I41" s="1"/>
      <c r="J41" s="5">
        <f t="shared" ref="J41:J58" si="32">IF(H$12=0,0,H41/H$12)</f>
        <v>3.8422396889456123E-3</v>
      </c>
      <c r="K41" s="1"/>
      <c r="L41" s="1">
        <f t="shared" ref="L41:L58" si="33">+D41-H41</f>
        <v>576.99</v>
      </c>
      <c r="M41" s="1"/>
      <c r="N41" s="5">
        <f t="shared" ref="N41:N58" si="34">IF(H41=0,0,L41/H41)</f>
        <v>4.5687702906009973</v>
      </c>
      <c r="O41" s="13"/>
      <c r="P41" s="1">
        <f>SUM(OSRRefP22_2x_0)</f>
        <v>1773.24</v>
      </c>
      <c r="Q41" s="1"/>
      <c r="R41" s="5">
        <f t="shared" ref="R41:R58" si="35">IF(P$12=0,0,P41/P$12)</f>
        <v>1.0670114016971431E-2</v>
      </c>
      <c r="S41" s="1"/>
      <c r="T41" s="1">
        <f>SUM(OSRRefT22_2x_0)</f>
        <v>793.18</v>
      </c>
      <c r="U41" s="1"/>
      <c r="V41" s="5">
        <f t="shared" ref="V41:V58" si="36">IF(T$12=0,0,T41/T$12)</f>
        <v>4.778877359660318E-3</v>
      </c>
      <c r="W41" s="1"/>
      <c r="X41" s="1">
        <f t="shared" ref="X41:X58" si="37">+P41-T41</f>
        <v>980.06000000000006</v>
      </c>
      <c r="Y41" s="1"/>
      <c r="Z41" s="5">
        <f t="shared" ref="Z41:Z58" si="38">IF(T41=0,0,X41/T41)</f>
        <v>1.2356085629995714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>
        <v>703.28</v>
      </c>
      <c r="E42" s="2"/>
      <c r="F42" s="7">
        <f t="shared" si="31"/>
        <v>2.1682382447653886E-2</v>
      </c>
      <c r="G42" s="2"/>
      <c r="H42" s="6">
        <v>126.29</v>
      </c>
      <c r="I42" s="2"/>
      <c r="J42" s="7">
        <f t="shared" si="32"/>
        <v>3.8422396889456123E-3</v>
      </c>
      <c r="K42" s="2"/>
      <c r="L42" s="6">
        <f t="shared" si="33"/>
        <v>576.99</v>
      </c>
      <c r="M42" s="2"/>
      <c r="N42" s="7">
        <f t="shared" si="34"/>
        <v>4.5687702906009973</v>
      </c>
      <c r="O42" s="11"/>
      <c r="P42" s="6">
        <v>1773.24</v>
      </c>
      <c r="Q42" s="2"/>
      <c r="R42" s="7">
        <f t="shared" si="35"/>
        <v>1.0670114016971431E-2</v>
      </c>
      <c r="S42" s="2"/>
      <c r="T42" s="6">
        <v>793.18</v>
      </c>
      <c r="U42" s="2"/>
      <c r="V42" s="7">
        <f t="shared" si="36"/>
        <v>4.778877359660318E-3</v>
      </c>
      <c r="W42" s="2"/>
      <c r="X42" s="6">
        <f t="shared" si="37"/>
        <v>980.06000000000006</v>
      </c>
      <c r="Y42" s="2"/>
      <c r="Z42" s="7">
        <f t="shared" si="38"/>
        <v>1.2356085629995714</v>
      </c>
    </row>
    <row r="43" spans="1:26" s="25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-12.58</v>
      </c>
      <c r="E43" s="1"/>
      <c r="F43" s="5">
        <f t="shared" si="31"/>
        <v>-3.8784605163162027E-4</v>
      </c>
      <c r="G43" s="1"/>
      <c r="H43" s="1">
        <f>SUM(OSRRefH22_3x_0)</f>
        <v>-16.63</v>
      </c>
      <c r="I43" s="1"/>
      <c r="J43" s="5">
        <f t="shared" si="32"/>
        <v>-5.0595016253991232E-4</v>
      </c>
      <c r="K43" s="1"/>
      <c r="L43" s="1">
        <f t="shared" si="33"/>
        <v>4.0499999999999989</v>
      </c>
      <c r="M43" s="1"/>
      <c r="N43" s="5">
        <f t="shared" si="34"/>
        <v>-0.24353577871316892</v>
      </c>
      <c r="O43" s="13"/>
      <c r="P43" s="1">
        <f>SUM(OSRRefP22_3x_0)</f>
        <v>2.06</v>
      </c>
      <c r="Q43" s="1"/>
      <c r="R43" s="5">
        <f t="shared" si="35"/>
        <v>1.2395634474160941E-5</v>
      </c>
      <c r="S43" s="1"/>
      <c r="T43" s="1">
        <f>SUM(OSRRefT22_3x_0)</f>
        <v>-577.74</v>
      </c>
      <c r="U43" s="1"/>
      <c r="V43" s="5">
        <f t="shared" si="36"/>
        <v>-3.4808600894754688E-3</v>
      </c>
      <c r="W43" s="1"/>
      <c r="X43" s="1">
        <f t="shared" si="37"/>
        <v>579.79999999999995</v>
      </c>
      <c r="Y43" s="1"/>
      <c r="Z43" s="5">
        <f t="shared" si="38"/>
        <v>-1.0035656177519299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6">
        <v>-12.58</v>
      </c>
      <c r="E44" s="2"/>
      <c r="F44" s="7">
        <f t="shared" si="31"/>
        <v>-3.8784605163162027E-4</v>
      </c>
      <c r="G44" s="2"/>
      <c r="H44" s="6">
        <v>-16.63</v>
      </c>
      <c r="I44" s="2"/>
      <c r="J44" s="7">
        <f t="shared" si="32"/>
        <v>-5.0595016253991232E-4</v>
      </c>
      <c r="K44" s="2"/>
      <c r="L44" s="6">
        <f t="shared" si="33"/>
        <v>4.0499999999999989</v>
      </c>
      <c r="M44" s="2"/>
      <c r="N44" s="7">
        <f t="shared" si="34"/>
        <v>-0.24353577871316892</v>
      </c>
      <c r="O44" s="11"/>
      <c r="P44" s="6">
        <v>2.06</v>
      </c>
      <c r="Q44" s="2"/>
      <c r="R44" s="7">
        <f t="shared" si="35"/>
        <v>1.2395634474160941E-5</v>
      </c>
      <c r="S44" s="2"/>
      <c r="T44" s="6">
        <v>-577.74</v>
      </c>
      <c r="U44" s="2"/>
      <c r="V44" s="7">
        <f t="shared" si="36"/>
        <v>-3.4808600894754688E-3</v>
      </c>
      <c r="W44" s="2"/>
      <c r="X44" s="6">
        <f t="shared" si="37"/>
        <v>579.79999999999995</v>
      </c>
      <c r="Y44" s="2"/>
      <c r="Z44" s="7">
        <f t="shared" si="38"/>
        <v>-1.0035656177519299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1073.4100000000001</v>
      </c>
      <c r="E45" s="1"/>
      <c r="F45" s="5">
        <f t="shared" si="31"/>
        <v>3.3093627208417929E-2</v>
      </c>
      <c r="G45" s="1"/>
      <c r="H45" s="1">
        <f>SUM(OSRRefH22_4x_0)</f>
        <v>1001.22</v>
      </c>
      <c r="I45" s="1"/>
      <c r="J45" s="5">
        <f t="shared" si="32"/>
        <v>3.0461059635490742E-2</v>
      </c>
      <c r="K45" s="1"/>
      <c r="L45" s="1">
        <f t="shared" si="33"/>
        <v>72.190000000000055</v>
      </c>
      <c r="M45" s="1"/>
      <c r="N45" s="5">
        <f t="shared" si="34"/>
        <v>7.2102035516669716E-2</v>
      </c>
      <c r="O45" s="13"/>
      <c r="P45" s="1">
        <f>SUM(OSRRefP22_4x_0)</f>
        <v>4012.16</v>
      </c>
      <c r="Q45" s="1"/>
      <c r="R45" s="5">
        <f t="shared" si="35"/>
        <v>2.4142363500897844E-2</v>
      </c>
      <c r="S45" s="1"/>
      <c r="T45" s="1">
        <f>SUM(OSRRefT22_4x_0)</f>
        <v>3701.1</v>
      </c>
      <c r="U45" s="1"/>
      <c r="V45" s="5">
        <f t="shared" si="36"/>
        <v>2.2298977528226637E-2</v>
      </c>
      <c r="W45" s="1"/>
      <c r="X45" s="1">
        <f t="shared" si="37"/>
        <v>311.05999999999995</v>
      </c>
      <c r="Y45" s="1"/>
      <c r="Z45" s="5">
        <f t="shared" si="38"/>
        <v>8.4045283834535661E-2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>
        <v>1073.4100000000001</v>
      </c>
      <c r="E46" s="2"/>
      <c r="F46" s="7">
        <f t="shared" si="31"/>
        <v>3.3093627208417929E-2</v>
      </c>
      <c r="G46" s="2"/>
      <c r="H46" s="6">
        <v>1001.22</v>
      </c>
      <c r="I46" s="2"/>
      <c r="J46" s="7">
        <f t="shared" si="32"/>
        <v>3.0461059635490742E-2</v>
      </c>
      <c r="K46" s="2"/>
      <c r="L46" s="6">
        <f t="shared" si="33"/>
        <v>72.190000000000055</v>
      </c>
      <c r="M46" s="2"/>
      <c r="N46" s="7">
        <f t="shared" si="34"/>
        <v>7.2102035516669716E-2</v>
      </c>
      <c r="O46" s="11"/>
      <c r="P46" s="6">
        <v>4012.16</v>
      </c>
      <c r="Q46" s="2"/>
      <c r="R46" s="7">
        <f t="shared" si="35"/>
        <v>2.4142363500897844E-2</v>
      </c>
      <c r="S46" s="2"/>
      <c r="T46" s="6">
        <v>3701.1</v>
      </c>
      <c r="U46" s="2"/>
      <c r="V46" s="7">
        <f t="shared" si="36"/>
        <v>2.2298977528226637E-2</v>
      </c>
      <c r="W46" s="2"/>
      <c r="X46" s="6">
        <f t="shared" si="37"/>
        <v>311.05999999999995</v>
      </c>
      <c r="Y46" s="2"/>
      <c r="Z46" s="7">
        <f t="shared" si="38"/>
        <v>8.4045283834535661E-2</v>
      </c>
    </row>
    <row r="47" spans="1:26" s="25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255.35</v>
      </c>
      <c r="E47" s="1"/>
      <c r="F47" s="5">
        <f t="shared" si="31"/>
        <v>7.8725349192475536E-3</v>
      </c>
      <c r="G47" s="1"/>
      <c r="H47" s="1">
        <f>SUM(OSRRefH22_5x_0)</f>
        <v>0</v>
      </c>
      <c r="I47" s="1"/>
      <c r="J47" s="5">
        <f t="shared" si="32"/>
        <v>0</v>
      </c>
      <c r="K47" s="1"/>
      <c r="L47" s="1">
        <f t="shared" si="33"/>
        <v>255.35</v>
      </c>
      <c r="M47" s="1"/>
      <c r="N47" s="5">
        <f t="shared" si="34"/>
        <v>0</v>
      </c>
      <c r="O47" s="13"/>
      <c r="P47" s="1">
        <f>SUM(OSRRefP22_5x_0)</f>
        <v>1276.75</v>
      </c>
      <c r="Q47" s="1"/>
      <c r="R47" s="5">
        <f t="shared" si="35"/>
        <v>7.6825855897499906E-3</v>
      </c>
      <c r="S47" s="1"/>
      <c r="T47" s="1">
        <f>SUM(OSRRefT22_5x_0)</f>
        <v>0</v>
      </c>
      <c r="U47" s="1"/>
      <c r="V47" s="5">
        <f t="shared" si="36"/>
        <v>0</v>
      </c>
      <c r="W47" s="1"/>
      <c r="X47" s="1">
        <f t="shared" si="37"/>
        <v>1276.75</v>
      </c>
      <c r="Y47" s="1"/>
      <c r="Z47" s="5">
        <f t="shared" si="38"/>
        <v>0</v>
      </c>
    </row>
    <row r="48" spans="1:26" s="24" customFormat="1" hidden="1" outlineLevel="2" x14ac:dyDescent="0.25">
      <c r="A48" s="26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255.35</v>
      </c>
      <c r="E48" s="2"/>
      <c r="F48" s="7">
        <f t="shared" si="31"/>
        <v>7.8725349192475536E-3</v>
      </c>
      <c r="G48" s="2"/>
      <c r="H48" s="6"/>
      <c r="I48" s="2"/>
      <c r="J48" s="7">
        <f t="shared" si="32"/>
        <v>0</v>
      </c>
      <c r="K48" s="2"/>
      <c r="L48" s="6">
        <f t="shared" si="33"/>
        <v>255.35</v>
      </c>
      <c r="M48" s="2"/>
      <c r="N48" s="7">
        <f t="shared" si="34"/>
        <v>0</v>
      </c>
      <c r="O48" s="11"/>
      <c r="P48" s="6">
        <v>1276.75</v>
      </c>
      <c r="Q48" s="2"/>
      <c r="R48" s="7">
        <f t="shared" si="35"/>
        <v>7.6825855897499906E-3</v>
      </c>
      <c r="S48" s="2"/>
      <c r="T48" s="6"/>
      <c r="U48" s="2"/>
      <c r="V48" s="7">
        <f t="shared" si="36"/>
        <v>0</v>
      </c>
      <c r="W48" s="2"/>
      <c r="X48" s="6">
        <f t="shared" si="37"/>
        <v>1276.75</v>
      </c>
      <c r="Y48" s="2"/>
      <c r="Z48" s="7">
        <f t="shared" si="38"/>
        <v>0</v>
      </c>
    </row>
    <row r="49" spans="1:26" s="25" customFormat="1" outlineLevel="1" collapsed="1" x14ac:dyDescent="0.25">
      <c r="A49" s="27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0</v>
      </c>
      <c r="E49" s="1"/>
      <c r="F49" s="5">
        <f t="shared" si="31"/>
        <v>0</v>
      </c>
      <c r="G49" s="1"/>
      <c r="H49" s="1">
        <f>SUM(OSRRefH22_6x_0)</f>
        <v>0</v>
      </c>
      <c r="I49" s="1"/>
      <c r="J49" s="5">
        <f t="shared" si="32"/>
        <v>0</v>
      </c>
      <c r="K49" s="1"/>
      <c r="L49" s="1">
        <f t="shared" si="33"/>
        <v>0</v>
      </c>
      <c r="M49" s="1"/>
      <c r="N49" s="5">
        <f t="shared" si="34"/>
        <v>0</v>
      </c>
      <c r="O49" s="13"/>
      <c r="P49" s="1">
        <f>SUM(OSRRefP22_6x_0)</f>
        <v>88.6</v>
      </c>
      <c r="Q49" s="1"/>
      <c r="R49" s="5">
        <f t="shared" si="35"/>
        <v>5.3313262835468899E-4</v>
      </c>
      <c r="S49" s="1"/>
      <c r="T49" s="1">
        <f>SUM(OSRRefT22_6x_0)</f>
        <v>0</v>
      </c>
      <c r="U49" s="1"/>
      <c r="V49" s="5">
        <f t="shared" si="36"/>
        <v>0</v>
      </c>
      <c r="W49" s="1"/>
      <c r="X49" s="1">
        <f t="shared" si="37"/>
        <v>88.6</v>
      </c>
      <c r="Y49" s="1"/>
      <c r="Z49" s="5">
        <f t="shared" si="38"/>
        <v>0</v>
      </c>
    </row>
    <row r="50" spans="1:26" s="24" customFormat="1" hidden="1" outlineLevel="2" x14ac:dyDescent="0.25">
      <c r="A50" s="26"/>
      <c r="B50" s="11" t="str">
        <f>CONCATENATE("          ", "6277", " - ", "EMPLOYEE APPRECIATION")</f>
        <v xml:space="preserve">          6277 - EMPLOYEE APPRECIATION</v>
      </c>
      <c r="C50" s="11"/>
      <c r="D50" s="6"/>
      <c r="E50" s="2"/>
      <c r="F50" s="7">
        <f t="shared" si="31"/>
        <v>0</v>
      </c>
      <c r="G50" s="2"/>
      <c r="H50" s="6"/>
      <c r="I50" s="2"/>
      <c r="J50" s="7">
        <f t="shared" si="32"/>
        <v>0</v>
      </c>
      <c r="K50" s="2"/>
      <c r="L50" s="6">
        <f t="shared" si="33"/>
        <v>0</v>
      </c>
      <c r="M50" s="2"/>
      <c r="N50" s="7">
        <f t="shared" si="34"/>
        <v>0</v>
      </c>
      <c r="O50" s="11"/>
      <c r="P50" s="6">
        <v>88.6</v>
      </c>
      <c r="Q50" s="2"/>
      <c r="R50" s="7">
        <f t="shared" si="35"/>
        <v>5.3313262835468899E-4</v>
      </c>
      <c r="S50" s="2"/>
      <c r="T50" s="6"/>
      <c r="U50" s="2"/>
      <c r="V50" s="7">
        <f t="shared" si="36"/>
        <v>0</v>
      </c>
      <c r="W50" s="2"/>
      <c r="X50" s="6">
        <f t="shared" si="37"/>
        <v>88.6</v>
      </c>
      <c r="Y50" s="2"/>
      <c r="Z50" s="7">
        <f t="shared" si="38"/>
        <v>0</v>
      </c>
    </row>
    <row r="51" spans="1:26" s="25" customFormat="1" outlineLevel="1" collapsed="1" x14ac:dyDescent="0.25">
      <c r="A51" s="27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0</v>
      </c>
      <c r="E51" s="1"/>
      <c r="F51" s="5">
        <f t="shared" si="31"/>
        <v>0</v>
      </c>
      <c r="G51" s="1"/>
      <c r="H51" s="1">
        <f>SUM(OSRRefH22_7x_0)</f>
        <v>0</v>
      </c>
      <c r="I51" s="1"/>
      <c r="J51" s="5">
        <f t="shared" si="32"/>
        <v>0</v>
      </c>
      <c r="K51" s="1"/>
      <c r="L51" s="1">
        <f t="shared" si="33"/>
        <v>0</v>
      </c>
      <c r="M51" s="1"/>
      <c r="N51" s="5">
        <f t="shared" si="34"/>
        <v>0</v>
      </c>
      <c r="O51" s="13"/>
      <c r="P51" s="1">
        <f>SUM(OSRRefP22_7x_0)</f>
        <v>350</v>
      </c>
      <c r="Q51" s="1"/>
      <c r="R51" s="5">
        <f t="shared" si="35"/>
        <v>2.1060544009496745E-3</v>
      </c>
      <c r="S51" s="1"/>
      <c r="T51" s="1">
        <f>SUM(OSRRefT22_7x_0)</f>
        <v>0</v>
      </c>
      <c r="U51" s="1"/>
      <c r="V51" s="5">
        <f t="shared" si="36"/>
        <v>0</v>
      </c>
      <c r="W51" s="1"/>
      <c r="X51" s="1">
        <f t="shared" si="37"/>
        <v>350</v>
      </c>
      <c r="Y51" s="1"/>
      <c r="Z51" s="5">
        <f t="shared" si="38"/>
        <v>0</v>
      </c>
    </row>
    <row r="52" spans="1:26" s="24" customFormat="1" hidden="1" outlineLevel="2" x14ac:dyDescent="0.25">
      <c r="A52" s="26"/>
      <c r="B52" s="11" t="str">
        <f>CONCATENATE("          ", "6351", " - ", "EQUIPMENT RENTAL")</f>
        <v xml:space="preserve">          6351 - EQUIPMENT RENTAL</v>
      </c>
      <c r="C52" s="11"/>
      <c r="D52" s="6"/>
      <c r="E52" s="2"/>
      <c r="F52" s="7">
        <f t="shared" si="31"/>
        <v>0</v>
      </c>
      <c r="G52" s="2"/>
      <c r="H52" s="6"/>
      <c r="I52" s="2"/>
      <c r="J52" s="7">
        <f t="shared" si="32"/>
        <v>0</v>
      </c>
      <c r="K52" s="2"/>
      <c r="L52" s="6">
        <f t="shared" si="33"/>
        <v>0</v>
      </c>
      <c r="M52" s="2"/>
      <c r="N52" s="7">
        <f t="shared" si="34"/>
        <v>0</v>
      </c>
      <c r="O52" s="11"/>
      <c r="P52" s="6">
        <v>350</v>
      </c>
      <c r="Q52" s="2"/>
      <c r="R52" s="7">
        <f t="shared" si="35"/>
        <v>2.1060544009496745E-3</v>
      </c>
      <c r="S52" s="2"/>
      <c r="T52" s="6"/>
      <c r="U52" s="2"/>
      <c r="V52" s="7">
        <f t="shared" si="36"/>
        <v>0</v>
      </c>
      <c r="W52" s="2"/>
      <c r="X52" s="6">
        <f t="shared" si="37"/>
        <v>350</v>
      </c>
      <c r="Y52" s="2"/>
      <c r="Z52" s="7">
        <f t="shared" si="38"/>
        <v>0</v>
      </c>
    </row>
    <row r="53" spans="1:26" s="25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322.36</v>
      </c>
      <c r="E53" s="1"/>
      <c r="F53" s="5">
        <f t="shared" si="31"/>
        <v>9.9384779971358594E-3</v>
      </c>
      <c r="G53" s="1"/>
      <c r="H53" s="1">
        <f>SUM(OSRRefH22_8x_0)</f>
        <v>550.49</v>
      </c>
      <c r="I53" s="1"/>
      <c r="J53" s="5">
        <f t="shared" si="32"/>
        <v>1.6748076065940851E-2</v>
      </c>
      <c r="K53" s="1"/>
      <c r="L53" s="1">
        <f t="shared" si="33"/>
        <v>-228.13</v>
      </c>
      <c r="M53" s="1"/>
      <c r="N53" s="5">
        <f t="shared" si="34"/>
        <v>-0.41441261421642533</v>
      </c>
      <c r="O53" s="13"/>
      <c r="P53" s="1">
        <f>SUM(OSRRefP22_8x_0)</f>
        <v>11540.85</v>
      </c>
      <c r="Q53" s="1"/>
      <c r="R53" s="5">
        <f t="shared" si="35"/>
        <v>6.9444736952000138E-2</v>
      </c>
      <c r="S53" s="1"/>
      <c r="T53" s="1">
        <f>SUM(OSRRefT22_8x_0)</f>
        <v>3118.98</v>
      </c>
      <c r="U53" s="1"/>
      <c r="V53" s="5">
        <f t="shared" si="36"/>
        <v>1.8791728116232559E-2</v>
      </c>
      <c r="W53" s="1"/>
      <c r="X53" s="1">
        <f t="shared" si="37"/>
        <v>8421.8700000000008</v>
      </c>
      <c r="Y53" s="1"/>
      <c r="Z53" s="5">
        <f t="shared" si="38"/>
        <v>2.7002000654059986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6">
        <v>322.36</v>
      </c>
      <c r="E54" s="2"/>
      <c r="F54" s="7">
        <f t="shared" si="31"/>
        <v>9.9384779971358594E-3</v>
      </c>
      <c r="G54" s="2"/>
      <c r="H54" s="6">
        <v>550.49</v>
      </c>
      <c r="I54" s="2"/>
      <c r="J54" s="7">
        <f t="shared" si="32"/>
        <v>1.6748076065940851E-2</v>
      </c>
      <c r="K54" s="2"/>
      <c r="L54" s="6">
        <f t="shared" si="33"/>
        <v>-228.13</v>
      </c>
      <c r="M54" s="2"/>
      <c r="N54" s="7">
        <f t="shared" si="34"/>
        <v>-0.41441261421642533</v>
      </c>
      <c r="O54" s="11"/>
      <c r="P54" s="6">
        <v>11540.85</v>
      </c>
      <c r="Q54" s="2"/>
      <c r="R54" s="7">
        <f t="shared" si="35"/>
        <v>6.9444736952000138E-2</v>
      </c>
      <c r="S54" s="2"/>
      <c r="T54" s="6">
        <v>3118.98</v>
      </c>
      <c r="U54" s="2"/>
      <c r="V54" s="7">
        <f t="shared" si="36"/>
        <v>1.8791728116232559E-2</v>
      </c>
      <c r="W54" s="2"/>
      <c r="X54" s="6">
        <f t="shared" si="37"/>
        <v>8421.8700000000008</v>
      </c>
      <c r="Y54" s="2"/>
      <c r="Z54" s="7">
        <f t="shared" si="38"/>
        <v>2.7002000654059986</v>
      </c>
    </row>
    <row r="55" spans="1:26" s="25" customFormat="1" outlineLevel="1" collapsed="1" x14ac:dyDescent="0.25">
      <c r="A55" s="27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SUM(OSRRefD22_9x_0)</f>
        <v>0</v>
      </c>
      <c r="E55" s="1"/>
      <c r="F55" s="5">
        <f t="shared" si="31"/>
        <v>0</v>
      </c>
      <c r="G55" s="1"/>
      <c r="H55" s="1">
        <f>SUM(OSRRefH22_9x_0)</f>
        <v>84.73</v>
      </c>
      <c r="I55" s="1"/>
      <c r="J55" s="5">
        <f t="shared" si="32"/>
        <v>2.577820641732217E-3</v>
      </c>
      <c r="K55" s="1"/>
      <c r="L55" s="1">
        <f t="shared" si="33"/>
        <v>-84.73</v>
      </c>
      <c r="M55" s="1"/>
      <c r="N55" s="5">
        <f t="shared" si="34"/>
        <v>-1</v>
      </c>
      <c r="O55" s="13"/>
      <c r="P55" s="1">
        <f>SUM(OSRRefP22_9x_0)</f>
        <v>4808.05</v>
      </c>
      <c r="Q55" s="1"/>
      <c r="R55" s="5">
        <f t="shared" si="35"/>
        <v>2.8931471035674519E-2</v>
      </c>
      <c r="S55" s="1"/>
      <c r="T55" s="1">
        <f>SUM(OSRRefT22_9x_0)</f>
        <v>2681.76</v>
      </c>
      <c r="U55" s="1"/>
      <c r="V55" s="5">
        <f t="shared" si="36"/>
        <v>1.6157495332765143E-2</v>
      </c>
      <c r="W55" s="1"/>
      <c r="X55" s="1">
        <f t="shared" si="37"/>
        <v>2126.29</v>
      </c>
      <c r="Y55" s="1"/>
      <c r="Z55" s="5">
        <f t="shared" si="38"/>
        <v>0.79287109957639756</v>
      </c>
    </row>
    <row r="56" spans="1:26" s="24" customFormat="1" hidden="1" outlineLevel="2" x14ac:dyDescent="0.25">
      <c r="A56" s="26"/>
      <c r="B56" s="11" t="str">
        <f>CONCATENATE("          ", "6371", " - ", "COMPUTER SOFTWARE MAINTENANCE")</f>
        <v xml:space="preserve">          6371 - COMPUTER SOFTWARE MAINTENANCE</v>
      </c>
      <c r="C56" s="11"/>
      <c r="D56" s="6"/>
      <c r="E56" s="2"/>
      <c r="F56" s="7">
        <f t="shared" si="31"/>
        <v>0</v>
      </c>
      <c r="G56" s="2"/>
      <c r="H56" s="6"/>
      <c r="I56" s="2"/>
      <c r="J56" s="7">
        <f t="shared" si="32"/>
        <v>0</v>
      </c>
      <c r="K56" s="2"/>
      <c r="L56" s="6">
        <f t="shared" si="33"/>
        <v>0</v>
      </c>
      <c r="M56" s="2"/>
      <c r="N56" s="7">
        <f t="shared" si="34"/>
        <v>0</v>
      </c>
      <c r="O56" s="11"/>
      <c r="P56" s="6">
        <v>2623.84</v>
      </c>
      <c r="Q56" s="2"/>
      <c r="R56" s="7">
        <f t="shared" si="35"/>
        <v>1.5788427941107984E-2</v>
      </c>
      <c r="S56" s="2"/>
      <c r="T56" s="6"/>
      <c r="U56" s="2"/>
      <c r="V56" s="7">
        <f t="shared" si="36"/>
        <v>0</v>
      </c>
      <c r="W56" s="2"/>
      <c r="X56" s="6">
        <f t="shared" si="37"/>
        <v>2623.84</v>
      </c>
      <c r="Y56" s="2"/>
      <c r="Z56" s="7">
        <f t="shared" si="38"/>
        <v>0</v>
      </c>
    </row>
    <row r="57" spans="1:26" s="24" customFormat="1" hidden="1" outlineLevel="2" x14ac:dyDescent="0.25">
      <c r="A57" s="26"/>
      <c r="B57" s="11" t="str">
        <f>CONCATENATE("          ", "6373", " - ", "MAINTENANCE CONTRACTS")</f>
        <v xml:space="preserve">          6373 - MAINTENANCE CONTRACTS</v>
      </c>
      <c r="C57" s="11"/>
      <c r="D57" s="6"/>
      <c r="E57" s="2"/>
      <c r="F57" s="7">
        <f t="shared" si="31"/>
        <v>0</v>
      </c>
      <c r="G57" s="2"/>
      <c r="H57" s="6"/>
      <c r="I57" s="2"/>
      <c r="J57" s="7">
        <f t="shared" si="32"/>
        <v>0</v>
      </c>
      <c r="K57" s="2"/>
      <c r="L57" s="6">
        <f t="shared" si="33"/>
        <v>0</v>
      </c>
      <c r="M57" s="2"/>
      <c r="N57" s="7">
        <f t="shared" si="34"/>
        <v>0</v>
      </c>
      <c r="O57" s="11"/>
      <c r="P57" s="6"/>
      <c r="Q57" s="2"/>
      <c r="R57" s="7">
        <f t="shared" si="35"/>
        <v>0</v>
      </c>
      <c r="S57" s="2"/>
      <c r="T57" s="6">
        <v>62.5</v>
      </c>
      <c r="U57" s="2"/>
      <c r="V57" s="7">
        <f t="shared" si="36"/>
        <v>3.76559967445939E-4</v>
      </c>
      <c r="W57" s="2"/>
      <c r="X57" s="6">
        <f t="shared" si="37"/>
        <v>-62.5</v>
      </c>
      <c r="Y57" s="2"/>
      <c r="Z57" s="7">
        <f t="shared" si="38"/>
        <v>-1</v>
      </c>
    </row>
    <row r="58" spans="1:26" s="24" customFormat="1" hidden="1" outlineLevel="2" x14ac:dyDescent="0.25">
      <c r="A58" s="26"/>
      <c r="B58" s="11" t="str">
        <f>CONCATENATE("          ", "6375", " - ", "OUTSIDE REPAIRS &amp; MAINTENANCE")</f>
        <v xml:space="preserve">          6375 - OUTSIDE REPAIRS &amp; MAINTENANCE</v>
      </c>
      <c r="C58" s="11"/>
      <c r="D58" s="6"/>
      <c r="E58" s="2"/>
      <c r="F58" s="7">
        <f t="shared" si="31"/>
        <v>0</v>
      </c>
      <c r="G58" s="2"/>
      <c r="H58" s="6">
        <v>84.73</v>
      </c>
      <c r="I58" s="2"/>
      <c r="J58" s="7">
        <f t="shared" si="32"/>
        <v>2.577820641732217E-3</v>
      </c>
      <c r="K58" s="2"/>
      <c r="L58" s="6">
        <f t="shared" si="33"/>
        <v>-84.73</v>
      </c>
      <c r="M58" s="2"/>
      <c r="N58" s="7">
        <f t="shared" si="34"/>
        <v>-1</v>
      </c>
      <c r="O58" s="11"/>
      <c r="P58" s="6">
        <v>2184.21</v>
      </c>
      <c r="Q58" s="2"/>
      <c r="R58" s="7">
        <f t="shared" si="35"/>
        <v>1.3143043094566539E-2</v>
      </c>
      <c r="S58" s="2"/>
      <c r="T58" s="6">
        <v>2619.2600000000002</v>
      </c>
      <c r="U58" s="2"/>
      <c r="V58" s="7">
        <f t="shared" si="36"/>
        <v>1.5780935365319205E-2</v>
      </c>
      <c r="W58" s="2"/>
      <c r="X58" s="6">
        <f t="shared" si="37"/>
        <v>-435.05000000000018</v>
      </c>
      <c r="Y58" s="2"/>
      <c r="Z58" s="7">
        <f t="shared" si="38"/>
        <v>-0.16609653108129782</v>
      </c>
    </row>
    <row r="59" spans="1:26" s="25" customFormat="1" outlineLevel="1" collapsed="1" x14ac:dyDescent="0.25">
      <c r="A59" s="27"/>
      <c r="B59" s="13" t="str">
        <f>CONCATENATE("     ","Royalty &amp; Commissions                             ")</f>
        <v xml:space="preserve">     Royalty &amp; Commissions                             </v>
      </c>
      <c r="C59" s="13"/>
      <c r="D59" s="1">
        <f>SUM(OSRRefD22_10x_0)</f>
        <v>6987.84</v>
      </c>
      <c r="E59" s="1"/>
      <c r="F59" s="5">
        <f t="shared" ref="F59:F63" si="39">IF(D$12=0,0,D59/D$12)</f>
        <v>0.21543769105194763</v>
      </c>
      <c r="G59" s="1"/>
      <c r="H59" s="1">
        <f>SUM(OSRRefH22_10x_0)</f>
        <v>6964.75</v>
      </c>
      <c r="I59" s="1"/>
      <c r="J59" s="5">
        <f t="shared" ref="J59:J63" si="40">IF(H$12=0,0,H59/H$12)</f>
        <v>0.2118951530096124</v>
      </c>
      <c r="K59" s="1"/>
      <c r="L59" s="1">
        <f t="shared" ref="L59:L63" si="41">+D59-H59</f>
        <v>23.090000000000146</v>
      </c>
      <c r="M59" s="1"/>
      <c r="N59" s="5">
        <f t="shared" ref="N59:N63" si="42">IF(H59=0,0,L59/H59)</f>
        <v>3.3152661617430841E-3</v>
      </c>
      <c r="O59" s="13"/>
      <c r="P59" s="1">
        <f>SUM(OSRRefP22_10x_0)</f>
        <v>35997.53</v>
      </c>
      <c r="Q59" s="1"/>
      <c r="R59" s="5">
        <f t="shared" ref="R59:R63" si="43">IF(P$12=0,0,P59/P$12)</f>
        <v>0.21660787565662265</v>
      </c>
      <c r="S59" s="1"/>
      <c r="T59" s="1">
        <f>SUM(OSRRefT22_10x_0)</f>
        <v>34900.339999999997</v>
      </c>
      <c r="U59" s="1"/>
      <c r="V59" s="5">
        <f t="shared" ref="V59:V63" si="44">IF(T$12=0,0,T59/T$12)</f>
        <v>0.21027313430803524</v>
      </c>
      <c r="W59" s="1"/>
      <c r="X59" s="1">
        <f t="shared" ref="X59:X63" si="45">+P59-T59</f>
        <v>1097.1900000000023</v>
      </c>
      <c r="Y59" s="1"/>
      <c r="Z59" s="5">
        <f t="shared" ref="Z59:Z63" si="46">IF(T59=0,0,X59/T59)</f>
        <v>3.1437802611665171E-2</v>
      </c>
    </row>
    <row r="60" spans="1:26" s="24" customFormat="1" hidden="1" outlineLevel="2" x14ac:dyDescent="0.25">
      <c r="A60" s="26"/>
      <c r="B60" s="11" t="str">
        <f>CONCATENATE("          ", "6254", " - ", "ROYALTY &amp; COMMISSIONS")</f>
        <v xml:space="preserve">          6254 - ROYALTY &amp; COMMISSIONS</v>
      </c>
      <c r="C60" s="11"/>
      <c r="D60" s="6">
        <v>6987.84</v>
      </c>
      <c r="E60" s="2"/>
      <c r="F60" s="7">
        <f t="shared" si="39"/>
        <v>0.21543769105194763</v>
      </c>
      <c r="G60" s="2"/>
      <c r="H60" s="6">
        <v>6964.75</v>
      </c>
      <c r="I60" s="2"/>
      <c r="J60" s="7">
        <f t="shared" si="40"/>
        <v>0.2118951530096124</v>
      </c>
      <c r="K60" s="2"/>
      <c r="L60" s="6">
        <f t="shared" si="41"/>
        <v>23.090000000000146</v>
      </c>
      <c r="M60" s="2"/>
      <c r="N60" s="7">
        <f t="shared" si="42"/>
        <v>3.3152661617430841E-3</v>
      </c>
      <c r="O60" s="11"/>
      <c r="P60" s="6">
        <v>35997.53</v>
      </c>
      <c r="Q60" s="2"/>
      <c r="R60" s="7">
        <f t="shared" si="43"/>
        <v>0.21660787565662265</v>
      </c>
      <c r="S60" s="2"/>
      <c r="T60" s="6">
        <v>34900.339999999997</v>
      </c>
      <c r="U60" s="2"/>
      <c r="V60" s="7">
        <f t="shared" si="44"/>
        <v>0.21027313430803524</v>
      </c>
      <c r="W60" s="2"/>
      <c r="X60" s="6">
        <f t="shared" si="45"/>
        <v>1097.1900000000023</v>
      </c>
      <c r="Y60" s="2"/>
      <c r="Z60" s="7">
        <f t="shared" si="46"/>
        <v>3.1437802611665171E-2</v>
      </c>
    </row>
    <row r="61" spans="1:26" s="25" customFormat="1" outlineLevel="1" collapsed="1" x14ac:dyDescent="0.25">
      <c r="A61" s="27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SUM(OSRRefD22_11x_0)</f>
        <v>274.56</v>
      </c>
      <c r="E61" s="1"/>
      <c r="F61" s="5">
        <f t="shared" si="39"/>
        <v>8.4647863224147583E-3</v>
      </c>
      <c r="G61" s="1"/>
      <c r="H61" s="1">
        <f>SUM(OSRRefH22_11x_0)</f>
        <v>251.81</v>
      </c>
      <c r="I61" s="1"/>
      <c r="J61" s="5">
        <f t="shared" si="40"/>
        <v>7.6610529422234111E-3</v>
      </c>
      <c r="K61" s="1"/>
      <c r="L61" s="1">
        <f t="shared" si="41"/>
        <v>22.75</v>
      </c>
      <c r="M61" s="1"/>
      <c r="N61" s="5">
        <f t="shared" si="42"/>
        <v>9.0345895715023231E-2</v>
      </c>
      <c r="O61" s="13"/>
      <c r="P61" s="1">
        <f>SUM(OSRRefP22_11x_0)</f>
        <v>1380.9099999999999</v>
      </c>
      <c r="Q61" s="1"/>
      <c r="R61" s="5">
        <f t="shared" si="43"/>
        <v>8.309347379472613E-3</v>
      </c>
      <c r="S61" s="1"/>
      <c r="T61" s="1">
        <f>SUM(OSRRefT22_11x_0)</f>
        <v>1231.4299999999998</v>
      </c>
      <c r="U61" s="1"/>
      <c r="V61" s="5">
        <f t="shared" si="44"/>
        <v>7.4193158513912415E-3</v>
      </c>
      <c r="W61" s="1"/>
      <c r="X61" s="1">
        <f t="shared" si="45"/>
        <v>149.48000000000002</v>
      </c>
      <c r="Y61" s="1"/>
      <c r="Z61" s="5">
        <f t="shared" si="46"/>
        <v>0.12138733017711119</v>
      </c>
    </row>
    <row r="62" spans="1:26" s="24" customFormat="1" hidden="1" outlineLevel="2" x14ac:dyDescent="0.25">
      <c r="A62" s="26"/>
      <c r="B62" s="11" t="str">
        <f>CONCATENATE("          ", "6282", " - ", "JANITORIAL/EXTERMINATOR EXPENS")</f>
        <v xml:space="preserve">          6282 - JANITORIAL/EXTERMINATOR EXPENS</v>
      </c>
      <c r="C62" s="11"/>
      <c r="D62" s="6">
        <v>225.81</v>
      </c>
      <c r="E62" s="2"/>
      <c r="F62" s="7">
        <f t="shared" si="39"/>
        <v>6.9618057964178194E-3</v>
      </c>
      <c r="G62" s="2"/>
      <c r="H62" s="6">
        <v>225.81</v>
      </c>
      <c r="I62" s="2"/>
      <c r="J62" s="7">
        <f t="shared" si="40"/>
        <v>6.8700304391543961E-3</v>
      </c>
      <c r="K62" s="2"/>
      <c r="L62" s="6">
        <f t="shared" si="41"/>
        <v>0</v>
      </c>
      <c r="M62" s="2"/>
      <c r="N62" s="7">
        <f t="shared" si="42"/>
        <v>0</v>
      </c>
      <c r="O62" s="11"/>
      <c r="P62" s="6">
        <v>1129.05</v>
      </c>
      <c r="Q62" s="2"/>
      <c r="R62" s="7">
        <f t="shared" si="43"/>
        <v>6.7938306325492281E-3</v>
      </c>
      <c r="S62" s="2"/>
      <c r="T62" s="6">
        <v>1129.05</v>
      </c>
      <c r="U62" s="2"/>
      <c r="V62" s="7">
        <f t="shared" si="44"/>
        <v>6.8024804999173988E-3</v>
      </c>
      <c r="W62" s="2"/>
      <c r="X62" s="6">
        <f t="shared" si="45"/>
        <v>0</v>
      </c>
      <c r="Y62" s="2"/>
      <c r="Z62" s="7">
        <f t="shared" si="46"/>
        <v>0</v>
      </c>
    </row>
    <row r="63" spans="1:26" s="24" customFormat="1" hidden="1" outlineLevel="2" x14ac:dyDescent="0.25">
      <c r="A63" s="26"/>
      <c r="B63" s="11" t="str">
        <f>CONCATENATE("          ", "6286", " - ", "LAUNDRY EXPENSE")</f>
        <v xml:space="preserve">          6286 - LAUNDRY EXPENSE</v>
      </c>
      <c r="C63" s="11"/>
      <c r="D63" s="6">
        <v>48.75</v>
      </c>
      <c r="E63" s="2"/>
      <c r="F63" s="7">
        <f t="shared" si="39"/>
        <v>1.5029805259969386E-3</v>
      </c>
      <c r="G63" s="2"/>
      <c r="H63" s="6">
        <v>26</v>
      </c>
      <c r="I63" s="2"/>
      <c r="J63" s="7">
        <f t="shared" si="40"/>
        <v>7.9102250306901511E-4</v>
      </c>
      <c r="K63" s="2"/>
      <c r="L63" s="6">
        <f t="shared" si="41"/>
        <v>22.75</v>
      </c>
      <c r="M63" s="2"/>
      <c r="N63" s="7">
        <f t="shared" si="42"/>
        <v>0.875</v>
      </c>
      <c r="O63" s="11"/>
      <c r="P63" s="6">
        <v>251.86</v>
      </c>
      <c r="Q63" s="2"/>
      <c r="R63" s="7">
        <f t="shared" si="43"/>
        <v>1.5155167469233857E-3</v>
      </c>
      <c r="S63" s="2"/>
      <c r="T63" s="6">
        <v>102.38</v>
      </c>
      <c r="U63" s="2"/>
      <c r="V63" s="7">
        <f t="shared" si="44"/>
        <v>6.1683535147384378E-4</v>
      </c>
      <c r="W63" s="2"/>
      <c r="X63" s="6">
        <f t="shared" si="45"/>
        <v>149.48000000000002</v>
      </c>
      <c r="Y63" s="2"/>
      <c r="Z63" s="7">
        <f t="shared" si="46"/>
        <v>1.4600507911701506</v>
      </c>
    </row>
    <row r="64" spans="1:26" s="25" customFormat="1" outlineLevel="1" collapsed="1" x14ac:dyDescent="0.25">
      <c r="A64" s="27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SUM(OSRRefD22_12x_0)</f>
        <v>1338.21</v>
      </c>
      <c r="E64" s="1"/>
      <c r="F64" s="5">
        <f t="shared" ref="F64:F71" si="47">IF(D$12=0,0,D64/D$12)</f>
        <v>4.1257509121935654E-2</v>
      </c>
      <c r="G64" s="1"/>
      <c r="H64" s="1">
        <f>SUM(OSRRefH22_12x_0)</f>
        <v>1811.2</v>
      </c>
      <c r="I64" s="1"/>
      <c r="J64" s="5">
        <f t="shared" ref="J64:J71" si="48">IF(H$12=0,0,H64/H$12)</f>
        <v>5.5103844521484618E-2</v>
      </c>
      <c r="K64" s="1"/>
      <c r="L64" s="1">
        <f t="shared" ref="L64:L71" si="49">+D64-H64</f>
        <v>-472.99</v>
      </c>
      <c r="M64" s="1"/>
      <c r="N64" s="5">
        <f t="shared" ref="N64:N71" si="50">IF(H64=0,0,L64/H64)</f>
        <v>-0.26114730565371025</v>
      </c>
      <c r="O64" s="13"/>
      <c r="P64" s="1">
        <f>SUM(OSRRefP22_12x_0)</f>
        <v>11302.230000000001</v>
      </c>
      <c r="Q64" s="1"/>
      <c r="R64" s="5">
        <f t="shared" ref="R64:R71" si="51">IF(P$12=0,0,P64/P$12)</f>
        <v>6.8008889234415545E-2</v>
      </c>
      <c r="S64" s="1"/>
      <c r="T64" s="1">
        <f>SUM(OSRRefT22_12x_0)</f>
        <v>4520.6299999999992</v>
      </c>
      <c r="U64" s="1"/>
      <c r="V64" s="5">
        <f t="shared" ref="V64:V71" si="52">IF(T$12=0,0,T64/T$12)</f>
        <v>2.7236612570162161E-2</v>
      </c>
      <c r="W64" s="1"/>
      <c r="X64" s="1">
        <f t="shared" ref="X64:X71" si="53">+P64-T64</f>
        <v>6781.6000000000022</v>
      </c>
      <c r="Y64" s="1"/>
      <c r="Z64" s="5">
        <f t="shared" ref="Z64:Z71" si="54">IF(T64=0,0,X64/T64)</f>
        <v>1.500144891309398</v>
      </c>
    </row>
    <row r="65" spans="1:26" s="24" customFormat="1" hidden="1" outlineLevel="2" x14ac:dyDescent="0.25">
      <c r="A65" s="26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47"/>
        <v>0</v>
      </c>
      <c r="G65" s="2"/>
      <c r="H65" s="6"/>
      <c r="I65" s="2"/>
      <c r="J65" s="7">
        <f t="shared" si="48"/>
        <v>0</v>
      </c>
      <c r="K65" s="2"/>
      <c r="L65" s="6">
        <f t="shared" si="49"/>
        <v>0</v>
      </c>
      <c r="M65" s="2"/>
      <c r="N65" s="7">
        <f t="shared" si="50"/>
        <v>0</v>
      </c>
      <c r="O65" s="11"/>
      <c r="P65" s="6">
        <v>3756.46</v>
      </c>
      <c r="Q65" s="2"/>
      <c r="R65" s="7">
        <f t="shared" si="51"/>
        <v>2.2603740328546895E-2</v>
      </c>
      <c r="S65" s="2"/>
      <c r="T65" s="6"/>
      <c r="U65" s="2"/>
      <c r="V65" s="7">
        <f t="shared" si="52"/>
        <v>0</v>
      </c>
      <c r="W65" s="2"/>
      <c r="X65" s="6">
        <f t="shared" si="53"/>
        <v>3756.46</v>
      </c>
      <c r="Y65" s="2"/>
      <c r="Z65" s="7">
        <f t="shared" si="54"/>
        <v>0</v>
      </c>
    </row>
    <row r="66" spans="1:26" s="24" customFormat="1" hidden="1" outlineLevel="2" x14ac:dyDescent="0.25">
      <c r="A66" s="26"/>
      <c r="B66" s="11" t="str">
        <f>CONCATENATE("          ", "6237", " - ", "JANITORIAL SUPPLIES")</f>
        <v xml:space="preserve">          6237 - JANITORIAL SUPPLIES</v>
      </c>
      <c r="C66" s="11"/>
      <c r="D66" s="6">
        <v>101.38</v>
      </c>
      <c r="E66" s="2"/>
      <c r="F66" s="7">
        <f t="shared" si="47"/>
        <v>3.1255828866783514E-3</v>
      </c>
      <c r="G66" s="2"/>
      <c r="H66" s="6"/>
      <c r="I66" s="2"/>
      <c r="J66" s="7">
        <f t="shared" si="48"/>
        <v>0</v>
      </c>
      <c r="K66" s="2"/>
      <c r="L66" s="6">
        <f t="shared" si="49"/>
        <v>101.38</v>
      </c>
      <c r="M66" s="2"/>
      <c r="N66" s="7">
        <f t="shared" si="50"/>
        <v>0</v>
      </c>
      <c r="O66" s="11"/>
      <c r="P66" s="6">
        <v>341.94</v>
      </c>
      <c r="Q66" s="2"/>
      <c r="R66" s="7">
        <f t="shared" si="51"/>
        <v>2.0575549767449476E-3</v>
      </c>
      <c r="S66" s="2"/>
      <c r="T66" s="6">
        <v>24.08</v>
      </c>
      <c r="U66" s="2"/>
      <c r="V66" s="7">
        <f t="shared" si="52"/>
        <v>1.4508102425757138E-4</v>
      </c>
      <c r="W66" s="2"/>
      <c r="X66" s="6">
        <f t="shared" si="53"/>
        <v>317.86</v>
      </c>
      <c r="Y66" s="2"/>
      <c r="Z66" s="7">
        <f t="shared" si="54"/>
        <v>13.200166112956811</v>
      </c>
    </row>
    <row r="67" spans="1:26" s="24" customFormat="1" hidden="1" outlineLevel="2" x14ac:dyDescent="0.25">
      <c r="A67" s="26"/>
      <c r="B67" s="11" t="str">
        <f>CONCATENATE("          ", "6239", " - ", "KITCHEN SUPPLIES")</f>
        <v xml:space="preserve">          6239 - KITCHEN SUPPLIES</v>
      </c>
      <c r="C67" s="11"/>
      <c r="D67" s="6">
        <v>699.28</v>
      </c>
      <c r="E67" s="2"/>
      <c r="F67" s="7">
        <f t="shared" si="47"/>
        <v>2.1559060968597728E-2</v>
      </c>
      <c r="G67" s="2"/>
      <c r="H67" s="6">
        <v>1661.49</v>
      </c>
      <c r="I67" s="2"/>
      <c r="J67" s="7">
        <f t="shared" si="48"/>
        <v>5.0549076100928375E-2</v>
      </c>
      <c r="K67" s="2"/>
      <c r="L67" s="6">
        <f t="shared" si="49"/>
        <v>-962.21</v>
      </c>
      <c r="M67" s="2"/>
      <c r="N67" s="7">
        <f t="shared" si="50"/>
        <v>-0.57912476150924774</v>
      </c>
      <c r="O67" s="11"/>
      <c r="P67" s="6">
        <v>4533.28</v>
      </c>
      <c r="Q67" s="2"/>
      <c r="R67" s="7">
        <f t="shared" si="51"/>
        <v>2.7278097984963254E-2</v>
      </c>
      <c r="S67" s="2"/>
      <c r="T67" s="6">
        <v>2078.37</v>
      </c>
      <c r="U67" s="2"/>
      <c r="V67" s="7">
        <f t="shared" si="52"/>
        <v>1.2522095032649859E-2</v>
      </c>
      <c r="W67" s="2"/>
      <c r="X67" s="6">
        <f t="shared" si="53"/>
        <v>2454.91</v>
      </c>
      <c r="Y67" s="2"/>
      <c r="Z67" s="7">
        <f t="shared" si="54"/>
        <v>1.1811708213648195</v>
      </c>
    </row>
    <row r="68" spans="1:26" s="24" customFormat="1" hidden="1" outlineLevel="2" x14ac:dyDescent="0.25">
      <c r="A68" s="26"/>
      <c r="B68" s="11" t="str">
        <f>CONCATENATE("          ", "6241", " - ", "OFFICE EXPENSE")</f>
        <v xml:space="preserve">          6241 - OFFICE EXPENSE</v>
      </c>
      <c r="C68" s="11"/>
      <c r="D68" s="6">
        <v>85.97</v>
      </c>
      <c r="E68" s="2"/>
      <c r="F68" s="7">
        <f t="shared" si="47"/>
        <v>2.6504868886144985E-3</v>
      </c>
      <c r="G68" s="2"/>
      <c r="H68" s="6"/>
      <c r="I68" s="2"/>
      <c r="J68" s="7">
        <f t="shared" si="48"/>
        <v>0</v>
      </c>
      <c r="K68" s="2"/>
      <c r="L68" s="6">
        <f t="shared" si="49"/>
        <v>85.97</v>
      </c>
      <c r="M68" s="2"/>
      <c r="N68" s="7">
        <f t="shared" si="50"/>
        <v>0</v>
      </c>
      <c r="O68" s="11"/>
      <c r="P68" s="6">
        <v>599.88</v>
      </c>
      <c r="Q68" s="2"/>
      <c r="R68" s="7">
        <f t="shared" si="51"/>
        <v>3.6096568972619732E-3</v>
      </c>
      <c r="S68" s="2"/>
      <c r="T68" s="6">
        <v>1013.92</v>
      </c>
      <c r="U68" s="2"/>
      <c r="V68" s="7">
        <f t="shared" si="52"/>
        <v>6.1088269150845831E-3</v>
      </c>
      <c r="W68" s="2"/>
      <c r="X68" s="6">
        <f t="shared" si="53"/>
        <v>-414.03999999999996</v>
      </c>
      <c r="Y68" s="2"/>
      <c r="Z68" s="7">
        <f t="shared" si="54"/>
        <v>-0.40835568881174056</v>
      </c>
    </row>
    <row r="69" spans="1:26" s="24" customFormat="1" hidden="1" outlineLevel="2" x14ac:dyDescent="0.25">
      <c r="A69" s="26"/>
      <c r="B69" s="11" t="str">
        <f>CONCATENATE("          ", "6243", " - ", "PAPER SUPPLIES")</f>
        <v xml:space="preserve">          6243 - PAPER SUPPLIES</v>
      </c>
      <c r="C69" s="11"/>
      <c r="D69" s="6">
        <v>406.38</v>
      </c>
      <c r="E69" s="2"/>
      <c r="F69" s="7">
        <f t="shared" si="47"/>
        <v>1.252884566471048E-2</v>
      </c>
      <c r="G69" s="2"/>
      <c r="H69" s="6">
        <v>149.71</v>
      </c>
      <c r="I69" s="2"/>
      <c r="J69" s="7">
        <f t="shared" si="48"/>
        <v>4.5547684205562407E-3</v>
      </c>
      <c r="K69" s="2"/>
      <c r="L69" s="6">
        <f t="shared" si="49"/>
        <v>256.66999999999996</v>
      </c>
      <c r="M69" s="2"/>
      <c r="N69" s="7">
        <f t="shared" si="50"/>
        <v>1.7144479326698279</v>
      </c>
      <c r="O69" s="11"/>
      <c r="P69" s="6">
        <v>1571.03</v>
      </c>
      <c r="Q69" s="2"/>
      <c r="R69" s="7">
        <f t="shared" si="51"/>
        <v>9.4533561300684764E-3</v>
      </c>
      <c r="S69" s="2"/>
      <c r="T69" s="6">
        <v>532.53</v>
      </c>
      <c r="U69" s="2"/>
      <c r="V69" s="7">
        <f t="shared" si="52"/>
        <v>3.2084716714237743E-3</v>
      </c>
      <c r="W69" s="2"/>
      <c r="X69" s="6">
        <f t="shared" si="53"/>
        <v>1038.5</v>
      </c>
      <c r="Y69" s="2"/>
      <c r="Z69" s="7">
        <f t="shared" si="54"/>
        <v>1.9501248755938634</v>
      </c>
    </row>
    <row r="70" spans="1:26" s="24" customFormat="1" hidden="1" outlineLevel="2" x14ac:dyDescent="0.25">
      <c r="A70" s="26"/>
      <c r="B70" s="11" t="str">
        <f>CONCATENATE("          ", "6247", " - ", "STORE SUPPLIES")</f>
        <v xml:space="preserve">          6247 - STORE SUPPLIES</v>
      </c>
      <c r="C70" s="11"/>
      <c r="D70" s="6">
        <v>45.2</v>
      </c>
      <c r="E70" s="2"/>
      <c r="F70" s="7">
        <f t="shared" si="47"/>
        <v>1.3935327133345974E-3</v>
      </c>
      <c r="G70" s="2"/>
      <c r="H70" s="6"/>
      <c r="I70" s="2"/>
      <c r="J70" s="7">
        <f t="shared" si="48"/>
        <v>0</v>
      </c>
      <c r="K70" s="2"/>
      <c r="L70" s="6">
        <f t="shared" si="49"/>
        <v>45.2</v>
      </c>
      <c r="M70" s="2"/>
      <c r="N70" s="7">
        <f t="shared" si="50"/>
        <v>0</v>
      </c>
      <c r="O70" s="11"/>
      <c r="P70" s="6">
        <v>45.2</v>
      </c>
      <c r="Q70" s="2"/>
      <c r="R70" s="7">
        <f t="shared" si="51"/>
        <v>2.7198188263692939E-4</v>
      </c>
      <c r="S70" s="2"/>
      <c r="T70" s="6">
        <v>154.22</v>
      </c>
      <c r="U70" s="2"/>
      <c r="V70" s="7">
        <f t="shared" si="52"/>
        <v>9.2916925087220342E-4</v>
      </c>
      <c r="W70" s="2"/>
      <c r="X70" s="6">
        <f t="shared" si="53"/>
        <v>-109.02</v>
      </c>
      <c r="Y70" s="2"/>
      <c r="Z70" s="7">
        <f t="shared" si="54"/>
        <v>-0.70691220334586946</v>
      </c>
    </row>
    <row r="71" spans="1:26" s="24" customFormat="1" hidden="1" outlineLevel="2" x14ac:dyDescent="0.25">
      <c r="A71" s="26"/>
      <c r="B71" s="11" t="str">
        <f>CONCATENATE("          ", "6248", " - ", "UNIFORMS")</f>
        <v xml:space="preserve">          6248 - UNIFORMS</v>
      </c>
      <c r="C71" s="11"/>
      <c r="D71" s="6"/>
      <c r="E71" s="2"/>
      <c r="F71" s="7">
        <f t="shared" si="47"/>
        <v>0</v>
      </c>
      <c r="G71" s="2"/>
      <c r="H71" s="6"/>
      <c r="I71" s="2"/>
      <c r="J71" s="7">
        <f t="shared" si="48"/>
        <v>0</v>
      </c>
      <c r="K71" s="2"/>
      <c r="L71" s="6">
        <f t="shared" si="49"/>
        <v>0</v>
      </c>
      <c r="M71" s="2"/>
      <c r="N71" s="7">
        <f t="shared" si="50"/>
        <v>0</v>
      </c>
      <c r="O71" s="11"/>
      <c r="P71" s="6">
        <v>454.44</v>
      </c>
      <c r="Q71" s="2"/>
      <c r="R71" s="7">
        <f t="shared" si="51"/>
        <v>2.7345010341930571E-3</v>
      </c>
      <c r="S71" s="2"/>
      <c r="T71" s="6">
        <v>717.51</v>
      </c>
      <c r="U71" s="2"/>
      <c r="V71" s="7">
        <f t="shared" si="52"/>
        <v>4.3229686758741708E-3</v>
      </c>
      <c r="W71" s="2"/>
      <c r="X71" s="6">
        <f t="shared" si="53"/>
        <v>-263.07</v>
      </c>
      <c r="Y71" s="2"/>
      <c r="Z71" s="7">
        <f t="shared" si="54"/>
        <v>-0.36664297361709242</v>
      </c>
    </row>
    <row r="72" spans="1:26" s="25" customFormat="1" outlineLevel="1" collapsed="1" x14ac:dyDescent="0.25">
      <c r="A72" s="27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SUM(OSRRefD22_13x_0)</f>
        <v>312.18</v>
      </c>
      <c r="E72" s="1"/>
      <c r="F72" s="5">
        <f t="shared" ref="F72:F77" si="55">IF(D$12=0,0,D72/D$12)</f>
        <v>9.6246248329379339E-3</v>
      </c>
      <c r="G72" s="1"/>
      <c r="H72" s="1">
        <f>SUM(OSRRefH22_13x_0)</f>
        <v>299.64</v>
      </c>
      <c r="I72" s="1"/>
      <c r="J72" s="5">
        <f t="shared" ref="J72:J77" si="56">IF(H$12=0,0,H72/H$12)</f>
        <v>9.1162301084461404E-3</v>
      </c>
      <c r="K72" s="1"/>
      <c r="L72" s="1">
        <f t="shared" ref="L72:L77" si="57">+D72-H72</f>
        <v>12.54000000000002</v>
      </c>
      <c r="M72" s="1"/>
      <c r="N72" s="5">
        <f t="shared" ref="N72:N77" si="58">IF(H72=0,0,L72/H72)</f>
        <v>4.1850220264317249E-2</v>
      </c>
      <c r="O72" s="13"/>
      <c r="P72" s="1">
        <f>SUM(OSRRefP22_13x_0)</f>
        <v>1549.42</v>
      </c>
      <c r="Q72" s="1"/>
      <c r="R72" s="5">
        <f t="shared" ref="R72:R77" si="59">IF(P$12=0,0,P72/P$12)</f>
        <v>9.3233223140555561E-3</v>
      </c>
      <c r="S72" s="1"/>
      <c r="T72" s="1">
        <f>SUM(OSRRefT22_13x_0)</f>
        <v>1744.83</v>
      </c>
      <c r="U72" s="1"/>
      <c r="V72" s="5">
        <f t="shared" ref="V72:V77" si="60">IF(T$12=0,0,T72/T$12)</f>
        <v>1.0512530047979163E-2</v>
      </c>
      <c r="W72" s="1"/>
      <c r="X72" s="1">
        <f t="shared" ref="X72:X77" si="61">+P72-T72</f>
        <v>-195.40999999999985</v>
      </c>
      <c r="Y72" s="1"/>
      <c r="Z72" s="5">
        <f t="shared" ref="Z72:Z77" si="62">IF(T72=0,0,X72/T72)</f>
        <v>-0.11199371858576472</v>
      </c>
    </row>
    <row r="73" spans="1:26" s="24" customFormat="1" hidden="1" outlineLevel="2" x14ac:dyDescent="0.25">
      <c r="A73" s="26"/>
      <c r="B73" s="11" t="str">
        <f>CONCATENATE("          ", "6309", " - ", "TELEPHONE")</f>
        <v xml:space="preserve">          6309 - TELEPHONE</v>
      </c>
      <c r="C73" s="11"/>
      <c r="D73" s="6">
        <v>312.18</v>
      </c>
      <c r="E73" s="2"/>
      <c r="F73" s="7">
        <f t="shared" si="55"/>
        <v>9.6246248329379339E-3</v>
      </c>
      <c r="G73" s="2"/>
      <c r="H73" s="6">
        <v>299.64</v>
      </c>
      <c r="I73" s="2"/>
      <c r="J73" s="7">
        <f t="shared" si="56"/>
        <v>9.1162301084461404E-3</v>
      </c>
      <c r="K73" s="2"/>
      <c r="L73" s="6">
        <f t="shared" si="57"/>
        <v>12.54000000000002</v>
      </c>
      <c r="M73" s="2"/>
      <c r="N73" s="7">
        <f t="shared" si="58"/>
        <v>4.1850220264317249E-2</v>
      </c>
      <c r="O73" s="11"/>
      <c r="P73" s="6">
        <v>1549.42</v>
      </c>
      <c r="Q73" s="2"/>
      <c r="R73" s="7">
        <f t="shared" si="59"/>
        <v>9.3233223140555561E-3</v>
      </c>
      <c r="S73" s="2"/>
      <c r="T73" s="6">
        <v>1744.83</v>
      </c>
      <c r="U73" s="2"/>
      <c r="V73" s="7">
        <f t="shared" si="60"/>
        <v>1.0512530047979163E-2</v>
      </c>
      <c r="W73" s="2"/>
      <c r="X73" s="6">
        <f t="shared" si="61"/>
        <v>-195.40999999999985</v>
      </c>
      <c r="Y73" s="2"/>
      <c r="Z73" s="7">
        <f t="shared" si="62"/>
        <v>-0.11199371858576472</v>
      </c>
    </row>
    <row r="74" spans="1:26" s="25" customFormat="1" outlineLevel="1" collapsed="1" x14ac:dyDescent="0.25">
      <c r="A74" s="27"/>
      <c r="B74" s="13" t="str">
        <f>CONCATENATE("     ","Training                                          ")</f>
        <v xml:space="preserve">     Training                                          </v>
      </c>
      <c r="C74" s="13"/>
      <c r="D74" s="1">
        <f>SUM(OSRRefD22_14x_0)</f>
        <v>0</v>
      </c>
      <c r="E74" s="1"/>
      <c r="F74" s="5">
        <f t="shared" si="55"/>
        <v>0</v>
      </c>
      <c r="G74" s="1"/>
      <c r="H74" s="1">
        <f>SUM(OSRRefH22_14x_0)</f>
        <v>60</v>
      </c>
      <c r="I74" s="1"/>
      <c r="J74" s="5">
        <f t="shared" si="56"/>
        <v>1.8254365455438808E-3</v>
      </c>
      <c r="K74" s="1"/>
      <c r="L74" s="1">
        <f t="shared" si="57"/>
        <v>-60</v>
      </c>
      <c r="M74" s="1"/>
      <c r="N74" s="5">
        <f t="shared" si="58"/>
        <v>-1</v>
      </c>
      <c r="O74" s="13"/>
      <c r="P74" s="1">
        <f>SUM(OSRRefP22_14x_0)</f>
        <v>237.95</v>
      </c>
      <c r="Q74" s="1"/>
      <c r="R74" s="5">
        <f t="shared" si="59"/>
        <v>1.4318161277313572E-3</v>
      </c>
      <c r="S74" s="1"/>
      <c r="T74" s="1">
        <f>SUM(OSRRefT22_14x_0)</f>
        <v>158.83000000000001</v>
      </c>
      <c r="U74" s="1"/>
      <c r="V74" s="5">
        <f t="shared" si="60"/>
        <v>9.5694431407101598E-4</v>
      </c>
      <c r="W74" s="1"/>
      <c r="X74" s="1">
        <f t="shared" si="61"/>
        <v>79.119999999999976</v>
      </c>
      <c r="Y74" s="1"/>
      <c r="Z74" s="5">
        <f t="shared" si="62"/>
        <v>0.4981426682616632</v>
      </c>
    </row>
    <row r="75" spans="1:26" s="24" customFormat="1" hidden="1" outlineLevel="2" x14ac:dyDescent="0.25">
      <c r="A75" s="26"/>
      <c r="B75" s="11" t="str">
        <f>CONCATENATE("          ", "6376", " - ", "TRAINING")</f>
        <v xml:space="preserve">          6376 - TRAINING</v>
      </c>
      <c r="C75" s="11"/>
      <c r="D75" s="6"/>
      <c r="E75" s="2"/>
      <c r="F75" s="7">
        <f t="shared" si="55"/>
        <v>0</v>
      </c>
      <c r="G75" s="2"/>
      <c r="H75" s="6">
        <v>60</v>
      </c>
      <c r="I75" s="2"/>
      <c r="J75" s="7">
        <f t="shared" si="56"/>
        <v>1.8254365455438808E-3</v>
      </c>
      <c r="K75" s="2"/>
      <c r="L75" s="6">
        <f t="shared" si="57"/>
        <v>-60</v>
      </c>
      <c r="M75" s="2"/>
      <c r="N75" s="7">
        <f t="shared" si="58"/>
        <v>-1</v>
      </c>
      <c r="O75" s="11"/>
      <c r="P75" s="6">
        <v>237.95</v>
      </c>
      <c r="Q75" s="2"/>
      <c r="R75" s="7">
        <f t="shared" si="59"/>
        <v>1.4318161277313572E-3</v>
      </c>
      <c r="S75" s="2"/>
      <c r="T75" s="6">
        <v>158.83000000000001</v>
      </c>
      <c r="U75" s="2"/>
      <c r="V75" s="7">
        <f t="shared" si="60"/>
        <v>9.5694431407101598E-4</v>
      </c>
      <c r="W75" s="2"/>
      <c r="X75" s="6">
        <f t="shared" si="61"/>
        <v>79.119999999999976</v>
      </c>
      <c r="Y75" s="2"/>
      <c r="Z75" s="7">
        <f t="shared" si="62"/>
        <v>0.4981426682616632</v>
      </c>
    </row>
    <row r="76" spans="1:26" s="25" customFormat="1" outlineLevel="1" collapsed="1" x14ac:dyDescent="0.25">
      <c r="A76" s="27"/>
      <c r="B76" s="13" t="str">
        <f>CONCATENATE("     ","Travel                                            ")</f>
        <v xml:space="preserve">     Travel                                            </v>
      </c>
      <c r="C76" s="13"/>
      <c r="D76" s="1">
        <f>SUM(OSRRefD22_15x_0)</f>
        <v>0</v>
      </c>
      <c r="E76" s="1"/>
      <c r="F76" s="5">
        <f t="shared" si="55"/>
        <v>0</v>
      </c>
      <c r="G76" s="1"/>
      <c r="H76" s="1">
        <f>SUM(OSRRefH22_15x_0)</f>
        <v>0</v>
      </c>
      <c r="I76" s="1"/>
      <c r="J76" s="5">
        <f t="shared" si="56"/>
        <v>0</v>
      </c>
      <c r="K76" s="1"/>
      <c r="L76" s="1">
        <f t="shared" si="57"/>
        <v>0</v>
      </c>
      <c r="M76" s="1"/>
      <c r="N76" s="5">
        <f t="shared" si="58"/>
        <v>0</v>
      </c>
      <c r="O76" s="13"/>
      <c r="P76" s="1">
        <f>SUM(OSRRefP22_15x_0)</f>
        <v>0</v>
      </c>
      <c r="Q76" s="1"/>
      <c r="R76" s="5">
        <f t="shared" si="59"/>
        <v>0</v>
      </c>
      <c r="S76" s="1"/>
      <c r="T76" s="1">
        <f>SUM(OSRRefT22_15x_0)</f>
        <v>1258.9000000000001</v>
      </c>
      <c r="U76" s="1"/>
      <c r="V76" s="5">
        <f t="shared" si="60"/>
        <v>7.5848214882830826E-3</v>
      </c>
      <c r="W76" s="1"/>
      <c r="X76" s="1">
        <f t="shared" si="61"/>
        <v>-1258.9000000000001</v>
      </c>
      <c r="Y76" s="1"/>
      <c r="Z76" s="5">
        <f t="shared" si="62"/>
        <v>-1</v>
      </c>
    </row>
    <row r="77" spans="1:26" s="24" customFormat="1" hidden="1" outlineLevel="2" x14ac:dyDescent="0.25">
      <c r="A77" s="26"/>
      <c r="B77" s="11" t="str">
        <f>CONCATENATE("          ", "6294", " - ", "TRAVEL OPERATIONAL")</f>
        <v xml:space="preserve">          6294 - TRAVEL OPERATIONAL</v>
      </c>
      <c r="C77" s="11"/>
      <c r="D77" s="6"/>
      <c r="E77" s="2"/>
      <c r="F77" s="7">
        <f t="shared" si="55"/>
        <v>0</v>
      </c>
      <c r="G77" s="2"/>
      <c r="H77" s="6"/>
      <c r="I77" s="2"/>
      <c r="J77" s="7">
        <f t="shared" si="56"/>
        <v>0</v>
      </c>
      <c r="K77" s="2"/>
      <c r="L77" s="6">
        <f t="shared" si="57"/>
        <v>0</v>
      </c>
      <c r="M77" s="2"/>
      <c r="N77" s="7">
        <f t="shared" si="58"/>
        <v>0</v>
      </c>
      <c r="O77" s="11"/>
      <c r="P77" s="6"/>
      <c r="Q77" s="2"/>
      <c r="R77" s="7">
        <f t="shared" si="59"/>
        <v>0</v>
      </c>
      <c r="S77" s="2"/>
      <c r="T77" s="6">
        <v>1258.9000000000001</v>
      </c>
      <c r="U77" s="2"/>
      <c r="V77" s="7">
        <f t="shared" si="60"/>
        <v>7.5848214882830826E-3</v>
      </c>
      <c r="W77" s="2"/>
      <c r="X77" s="6">
        <f t="shared" si="61"/>
        <v>-1258.9000000000001</v>
      </c>
      <c r="Y77" s="2"/>
      <c r="Z77" s="7">
        <f t="shared" si="62"/>
        <v>-1</v>
      </c>
    </row>
    <row r="78" spans="1:26" s="53" customFormat="1" x14ac:dyDescent="0.25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collapsed="1" x14ac:dyDescent="0.25">
      <c r="A79" s="10"/>
      <c r="B79" s="28" t="s">
        <v>0</v>
      </c>
      <c r="C79" s="10"/>
      <c r="D79" s="4">
        <f>SUM(OSRRefD25x_0)</f>
        <v>3178.96</v>
      </c>
      <c r="E79" s="4"/>
      <c r="F79" s="12">
        <f t="shared" ref="F79:F80" si="63">IF(D$12=0,0,D79/D$12)</f>
        <v>9.8008512265091857E-2</v>
      </c>
      <c r="G79" s="4"/>
      <c r="H79" s="4">
        <f>SUM(OSRRefH25x_0)</f>
        <v>2642</v>
      </c>
      <c r="I79" s="4"/>
      <c r="J79" s="12">
        <f t="shared" ref="J79:J80" si="64">IF(H$12=0,0,H79/H$12)</f>
        <v>8.038005588878222E-2</v>
      </c>
      <c r="K79" s="4"/>
      <c r="L79" s="4">
        <f t="shared" ref="L79:L80" si="65">+D79-H79</f>
        <v>536.96</v>
      </c>
      <c r="M79" s="4"/>
      <c r="N79" s="12">
        <f t="shared" ref="N79:N80" si="66">IF(H79=0,0,L79/H79)</f>
        <v>0.20323996971990918</v>
      </c>
      <c r="O79" s="10"/>
      <c r="P79" s="4">
        <f>SUM(OSRRefP25x_0)</f>
        <v>32460.44</v>
      </c>
      <c r="Q79" s="4"/>
      <c r="R79" s="12">
        <f t="shared" ref="R79:R80" si="67">IF(P$12=0,0,P79/P$12)</f>
        <v>0.19532415005360812</v>
      </c>
      <c r="S79" s="4"/>
      <c r="T79" s="4">
        <f>SUM(OSRRefT25x_0)</f>
        <v>2642</v>
      </c>
      <c r="U79" s="4"/>
      <c r="V79" s="12">
        <f t="shared" ref="V79:V80" si="68">IF(T$12=0,0,T79/T$12)</f>
        <v>1.5917942943874733E-2</v>
      </c>
      <c r="W79" s="4"/>
      <c r="X79" s="4">
        <f t="shared" ref="X79:X80" si="69">+P79-T79</f>
        <v>29818.44</v>
      </c>
      <c r="Y79" s="4"/>
      <c r="Z79" s="12">
        <f t="shared" ref="Z79:Z80" si="70">IF(T79=0,0,X79/T79)</f>
        <v>11.286313398940196</v>
      </c>
    </row>
    <row r="80" spans="1:26" s="24" customFormat="1" hidden="1" outlineLevel="1" x14ac:dyDescent="0.25">
      <c r="A80" s="44"/>
      <c r="B80" s="11" t="str">
        <f>CONCATENATE("          ", "9150", " - ", "MISC. INCOME")</f>
        <v xml:space="preserve">          9150 - MISC. INCOME</v>
      </c>
      <c r="C80" s="11"/>
      <c r="D80" s="2">
        <f>--3178.96</f>
        <v>3178.96</v>
      </c>
      <c r="E80" s="2"/>
      <c r="F80" s="19">
        <f t="shared" si="63"/>
        <v>9.8008512265091857E-2</v>
      </c>
      <c r="G80" s="2"/>
      <c r="H80" s="2">
        <f>--2642</f>
        <v>2642</v>
      </c>
      <c r="I80" s="2"/>
      <c r="J80" s="19">
        <f t="shared" si="64"/>
        <v>8.038005588878222E-2</v>
      </c>
      <c r="K80" s="2"/>
      <c r="L80" s="2">
        <f t="shared" si="65"/>
        <v>536.96</v>
      </c>
      <c r="M80" s="2"/>
      <c r="N80" s="19">
        <f t="shared" si="66"/>
        <v>0.20323996971990918</v>
      </c>
      <c r="O80" s="11"/>
      <c r="P80" s="2">
        <f>--32460.44</f>
        <v>32460.44</v>
      </c>
      <c r="Q80" s="2"/>
      <c r="R80" s="19">
        <f t="shared" si="67"/>
        <v>0.19532415005360812</v>
      </c>
      <c r="S80" s="2"/>
      <c r="T80" s="2">
        <f>--2642</f>
        <v>2642</v>
      </c>
      <c r="U80" s="2"/>
      <c r="V80" s="19">
        <f t="shared" si="68"/>
        <v>1.5917942943874733E-2</v>
      </c>
      <c r="W80" s="2"/>
      <c r="X80" s="2">
        <f t="shared" si="69"/>
        <v>29818.44</v>
      </c>
      <c r="Y80" s="2"/>
      <c r="Z80" s="19">
        <f t="shared" si="70"/>
        <v>11.286313398940196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3</v>
      </c>
      <c r="C82" s="29"/>
      <c r="D82" s="21">
        <f>+D23-D25+D79</f>
        <v>1115.9899999999916</v>
      </c>
      <c r="E82" s="14"/>
      <c r="F82" s="20">
        <f>IF(D$12=0,0,D82/D$12)</f>
        <v>3.4406384352970477E-2</v>
      </c>
      <c r="G82" s="14"/>
      <c r="H82" s="21">
        <f>+H23-H25+H79</f>
        <v>5100.7700000000041</v>
      </c>
      <c r="I82" s="14"/>
      <c r="J82" s="20">
        <f>IF(H$12=0,0,H82/H$12)</f>
        <v>0.15518553280689781</v>
      </c>
      <c r="K82" s="15"/>
      <c r="L82" s="21">
        <f>+D82-H82</f>
        <v>-3984.7800000000125</v>
      </c>
      <c r="M82" s="15"/>
      <c r="N82" s="20">
        <f>IF(H82=0,0,L82/H82)</f>
        <v>-0.78121146415149267</v>
      </c>
      <c r="O82" s="28"/>
      <c r="P82" s="21">
        <f>+P23-P25+P79</f>
        <v>13295.399999999961</v>
      </c>
      <c r="Q82" s="14"/>
      <c r="R82" s="20">
        <f>IF(P$12=0,0,P82/P$12)</f>
        <v>8.0002387663960631E-2</v>
      </c>
      <c r="S82" s="14"/>
      <c r="T82" s="21">
        <f>+T23-T25+T79</f>
        <v>15293.179999999978</v>
      </c>
      <c r="U82" s="14"/>
      <c r="V82" s="20">
        <f>IF(T$12=0,0,T82/T$12)</f>
        <v>9.214078980711804E-2</v>
      </c>
      <c r="W82" s="15"/>
      <c r="X82" s="21">
        <f>+P82-T82</f>
        <v>-1997.780000000017</v>
      </c>
      <c r="Y82" s="15"/>
      <c r="Z82" s="20">
        <f>IF(T82=0,0,X82/T82)</f>
        <v>-0.13063208567479229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13</v>
      </c>
      <c r="C84" s="10"/>
      <c r="D84" s="4">
        <v>4134.32</v>
      </c>
      <c r="E84" s="4"/>
      <c r="F84" s="12">
        <f>IF(D$12=0,0,D84/D$12)</f>
        <v>0.12746261432286488</v>
      </c>
      <c r="G84" s="4"/>
      <c r="H84" s="4">
        <v>5239.8599999999997</v>
      </c>
      <c r="I84" s="4"/>
      <c r="J84" s="12">
        <f>IF(H$12=0,0,H84/H$12)</f>
        <v>0.15941719895889264</v>
      </c>
      <c r="K84" s="4"/>
      <c r="L84" s="4">
        <f>+D84-H84</f>
        <v>-1105.54</v>
      </c>
      <c r="M84" s="4"/>
      <c r="N84" s="12">
        <f>IF(H84=0,0,L84/H84)</f>
        <v>-0.21098655307584555</v>
      </c>
      <c r="O84" s="10"/>
      <c r="P84" s="4">
        <v>17598.14</v>
      </c>
      <c r="Q84" s="4"/>
      <c r="R84" s="12">
        <f>IF(P$12=0,0,P84/P$12)</f>
        <v>0.10589325770151001</v>
      </c>
      <c r="S84" s="4"/>
      <c r="T84" s="4">
        <v>17464.41</v>
      </c>
      <c r="U84" s="4"/>
      <c r="V84" s="12">
        <f>IF(T$12=0,0,T84/T$12)</f>
        <v>0.1052223625770005</v>
      </c>
      <c r="W84" s="4"/>
      <c r="X84" s="4">
        <f>+P84-T84</f>
        <v>133.72999999999956</v>
      </c>
      <c r="Y84" s="4"/>
      <c r="Z84" s="12">
        <f>IF(T84=0,0,X84/T84)</f>
        <v>7.6572870197160721E-3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4</v>
      </c>
      <c r="C86" s="29"/>
      <c r="D86" s="31">
        <f>+D82-D84</f>
        <v>-3018.3300000000081</v>
      </c>
      <c r="E86" s="14"/>
      <c r="F86" s="32">
        <f>IF(D$12=0,0,D86/D$12)</f>
        <v>-9.3056229969894391E-2</v>
      </c>
      <c r="G86" s="14"/>
      <c r="H86" s="31">
        <f>+H82-H84</f>
        <v>-139.0899999999956</v>
      </c>
      <c r="I86" s="14"/>
      <c r="J86" s="32">
        <f>IF(H$12=0,0,H86/H$12)</f>
        <v>-4.2316661519948397E-3</v>
      </c>
      <c r="K86" s="15"/>
      <c r="L86" s="31">
        <f>D86-H86</f>
        <v>-2879.2400000000125</v>
      </c>
      <c r="M86" s="15"/>
      <c r="N86" s="32">
        <f>IF(H86=0,0,L86/H86)</f>
        <v>20.700553598390275</v>
      </c>
      <c r="O86" s="28"/>
      <c r="P86" s="31">
        <f>+P82-P84</f>
        <v>-4302.740000000038</v>
      </c>
      <c r="Q86" s="14"/>
      <c r="R86" s="32">
        <f>IF(P$12=0,0,P86/P$12)</f>
        <v>-2.5890870037549377E-2</v>
      </c>
      <c r="S86" s="14"/>
      <c r="T86" s="31">
        <f>+T82-T84</f>
        <v>-2171.2300000000214</v>
      </c>
      <c r="U86" s="14"/>
      <c r="V86" s="32">
        <f>IF(T$12=0,0,T86/T$12)</f>
        <v>-1.3081572769882466E-2</v>
      </c>
      <c r="W86" s="15"/>
      <c r="X86" s="31">
        <f>P86-T86</f>
        <v>-2131.5100000000166</v>
      </c>
      <c r="Y86" s="15"/>
      <c r="Z86" s="32">
        <f>IF(T86=0,0,X86/T86)</f>
        <v>0.98170622181896694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5</v>
      </c>
      <c r="C89" s="29"/>
      <c r="D89" s="34">
        <f>SUM(D86:D88)</f>
        <v>-3018.3300000000081</v>
      </c>
      <c r="E89" s="14"/>
      <c r="F89" s="30">
        <f>IF(D$12=0,0,D89/D$12)</f>
        <v>-9.3056229969894391E-2</v>
      </c>
      <c r="G89" s="14"/>
      <c r="H89" s="34">
        <f>SUM(H86:H88)</f>
        <v>-139.0899999999956</v>
      </c>
      <c r="I89" s="14"/>
      <c r="J89" s="30">
        <f>IF(H$12=0,0,H89/H$12)</f>
        <v>-4.2316661519948397E-3</v>
      </c>
      <c r="K89" s="15"/>
      <c r="L89" s="34">
        <f>+D89-H89</f>
        <v>-2879.2400000000125</v>
      </c>
      <c r="M89" s="15"/>
      <c r="N89" s="30">
        <f>IF(H89=0,0,L89/H89)</f>
        <v>20.700553598390275</v>
      </c>
      <c r="O89" s="28"/>
      <c r="P89" s="34">
        <f>SUM(P86:P88)</f>
        <v>-4302.740000000038</v>
      </c>
      <c r="Q89" s="14"/>
      <c r="R89" s="30">
        <f>IF(P$12=0,0,P89/P$12)</f>
        <v>-2.5890870037549377E-2</v>
      </c>
      <c r="S89" s="14"/>
      <c r="T89" s="34">
        <f>SUM(T86:T88)</f>
        <v>-2171.2300000000214</v>
      </c>
      <c r="U89" s="14"/>
      <c r="V89" s="30">
        <f>IF(T$12=0,0,T89/T$12)</f>
        <v>-1.3081572769882466E-2</v>
      </c>
      <c r="W89" s="15"/>
      <c r="X89" s="34">
        <f>+P89-T89</f>
        <v>-2131.5100000000166</v>
      </c>
      <c r="Y89" s="15"/>
      <c r="Z89" s="30">
        <f>IF(T89=0,0,X89/T89)</f>
        <v>0.98170622181896694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9">
        <v>43815.492225729169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62" t="s">
        <v>313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61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","455", " - ", "Vending")</f>
        <v>Department 455 - Vending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6685.41</v>
      </c>
      <c r="E18" s="22"/>
      <c r="F18" s="33">
        <f t="shared" ref="F18:F26" si="0">IF(D$12=0,0,D18/D$12)</f>
        <v>0</v>
      </c>
      <c r="G18" s="22"/>
      <c r="H18" s="22">
        <f>SUM(OSRRefH22x_0)</f>
        <v>6535.8099999999995</v>
      </c>
      <c r="I18" s="22"/>
      <c r="J18" s="33">
        <f t="shared" ref="J18:J26" si="1">IF(H$12=0,0,H18/H$12)</f>
        <v>0</v>
      </c>
      <c r="K18" s="4"/>
      <c r="L18" s="22">
        <f t="shared" ref="L18:L26" si="2">+D18-H18</f>
        <v>149.60000000000036</v>
      </c>
      <c r="M18" s="4"/>
      <c r="N18" s="33">
        <f t="shared" ref="N18:N26" si="3">IF(H18=0,0,L18/H18)</f>
        <v>2.2889282277177639E-2</v>
      </c>
      <c r="O18" s="10"/>
      <c r="P18" s="22">
        <f>SUM(OSRRefP22x_0)</f>
        <v>45131.89</v>
      </c>
      <c r="Q18" s="22"/>
      <c r="R18" s="33">
        <f t="shared" ref="R18:R26" si="4">IF(P$12=0,0,P18/P$12)</f>
        <v>0</v>
      </c>
      <c r="S18" s="22"/>
      <c r="T18" s="22">
        <f>SUM(OSRRefT22x_0)</f>
        <v>35719.56</v>
      </c>
      <c r="U18" s="22"/>
      <c r="V18" s="33">
        <f t="shared" ref="V18:V26" si="5">IF(T$12=0,0,T18/T$12)</f>
        <v>0</v>
      </c>
      <c r="W18" s="4"/>
      <c r="X18" s="22">
        <f t="shared" ref="X18:X26" si="6">+P18-T18</f>
        <v>9412.3300000000017</v>
      </c>
      <c r="Y18" s="4"/>
      <c r="Z18" s="33">
        <f t="shared" ref="Z18:Z26" si="7">IF(T18=0,0,X18/T18)</f>
        <v>0.2635063253858671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2408.66</v>
      </c>
      <c r="E19" s="1"/>
      <c r="F19" s="5">
        <f t="shared" si="0"/>
        <v>0</v>
      </c>
      <c r="G19" s="1"/>
      <c r="H19" s="1">
        <f>SUM(OSRRefH22_0x_0)</f>
        <v>2539.04</v>
      </c>
      <c r="I19" s="1"/>
      <c r="J19" s="5">
        <f t="shared" si="1"/>
        <v>0</v>
      </c>
      <c r="K19" s="1"/>
      <c r="L19" s="1">
        <f t="shared" si="2"/>
        <v>-130.38000000000011</v>
      </c>
      <c r="M19" s="1"/>
      <c r="N19" s="5">
        <f t="shared" si="3"/>
        <v>-5.1350116579494655E-2</v>
      </c>
      <c r="O19" s="13"/>
      <c r="P19" s="1">
        <f>SUM(OSRRefP22_0x_0)</f>
        <v>22032.829999999998</v>
      </c>
      <c r="Q19" s="1"/>
      <c r="R19" s="5">
        <f t="shared" si="4"/>
        <v>0</v>
      </c>
      <c r="S19" s="1"/>
      <c r="T19" s="1">
        <f>SUM(OSRRefT22_0x_0)</f>
        <v>15497.150000000001</v>
      </c>
      <c r="U19" s="1"/>
      <c r="V19" s="5">
        <f t="shared" si="5"/>
        <v>0</v>
      </c>
      <c r="W19" s="1"/>
      <c r="X19" s="1">
        <f t="shared" si="6"/>
        <v>6535.6799999999967</v>
      </c>
      <c r="Y19" s="1"/>
      <c r="Z19" s="5">
        <f t="shared" si="7"/>
        <v>0.42173431889089258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235.39</v>
      </c>
      <c r="E20" s="2"/>
      <c r="F20" s="7">
        <f t="shared" si="0"/>
        <v>0</v>
      </c>
      <c r="G20" s="2"/>
      <c r="H20" s="6">
        <v>394.57</v>
      </c>
      <c r="I20" s="2"/>
      <c r="J20" s="7">
        <f t="shared" si="1"/>
        <v>0</v>
      </c>
      <c r="K20" s="2"/>
      <c r="L20" s="6">
        <f t="shared" si="2"/>
        <v>-159.18</v>
      </c>
      <c r="M20" s="2"/>
      <c r="N20" s="7">
        <f t="shared" si="3"/>
        <v>-0.40342651494031478</v>
      </c>
      <c r="O20" s="11"/>
      <c r="P20" s="6">
        <v>1897.53</v>
      </c>
      <c r="Q20" s="2"/>
      <c r="R20" s="7">
        <f t="shared" si="4"/>
        <v>0</v>
      </c>
      <c r="S20" s="2"/>
      <c r="T20" s="6">
        <v>1923.4</v>
      </c>
      <c r="U20" s="2"/>
      <c r="V20" s="7">
        <f t="shared" si="5"/>
        <v>0</v>
      </c>
      <c r="W20" s="2"/>
      <c r="X20" s="6">
        <f t="shared" si="6"/>
        <v>-25.870000000000118</v>
      </c>
      <c r="Y20" s="2"/>
      <c r="Z20" s="7">
        <f t="shared" si="7"/>
        <v>-1.3450140376416822E-2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17.11</v>
      </c>
      <c r="E21" s="2"/>
      <c r="F21" s="7">
        <f t="shared" si="0"/>
        <v>0</v>
      </c>
      <c r="G21" s="2"/>
      <c r="H21" s="6">
        <v>155.43</v>
      </c>
      <c r="I21" s="2"/>
      <c r="J21" s="7">
        <f t="shared" si="1"/>
        <v>0</v>
      </c>
      <c r="K21" s="2"/>
      <c r="L21" s="6">
        <f t="shared" si="2"/>
        <v>-138.32</v>
      </c>
      <c r="M21" s="2"/>
      <c r="N21" s="7">
        <f t="shared" si="3"/>
        <v>-0.88991829119217647</v>
      </c>
      <c r="O21" s="11"/>
      <c r="P21" s="6">
        <v>99.44</v>
      </c>
      <c r="Q21" s="2"/>
      <c r="R21" s="7">
        <f t="shared" si="4"/>
        <v>0</v>
      </c>
      <c r="S21" s="2"/>
      <c r="T21" s="6">
        <v>1155.69</v>
      </c>
      <c r="U21" s="2"/>
      <c r="V21" s="7">
        <f t="shared" si="5"/>
        <v>0</v>
      </c>
      <c r="W21" s="2"/>
      <c r="X21" s="6">
        <f t="shared" si="6"/>
        <v>-1056.25</v>
      </c>
      <c r="Y21" s="2"/>
      <c r="Z21" s="7">
        <f t="shared" si="7"/>
        <v>-0.91395616471545138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931.95</v>
      </c>
      <c r="E22" s="2"/>
      <c r="F22" s="7">
        <f t="shared" si="0"/>
        <v>0</v>
      </c>
      <c r="G22" s="2"/>
      <c r="H22" s="6">
        <v>944.6</v>
      </c>
      <c r="I22" s="2"/>
      <c r="J22" s="7">
        <f t="shared" si="1"/>
        <v>0</v>
      </c>
      <c r="K22" s="2"/>
      <c r="L22" s="6">
        <f t="shared" si="2"/>
        <v>-12.649999999999977</v>
      </c>
      <c r="M22" s="2"/>
      <c r="N22" s="7">
        <f t="shared" si="3"/>
        <v>-1.3391911920389559E-2</v>
      </c>
      <c r="O22" s="11"/>
      <c r="P22" s="6">
        <v>4659.75</v>
      </c>
      <c r="Q22" s="2"/>
      <c r="R22" s="7">
        <f t="shared" si="4"/>
        <v>0</v>
      </c>
      <c r="S22" s="2"/>
      <c r="T22" s="6">
        <v>4116.51</v>
      </c>
      <c r="U22" s="2"/>
      <c r="V22" s="7">
        <f t="shared" si="5"/>
        <v>0</v>
      </c>
      <c r="W22" s="2"/>
      <c r="X22" s="6">
        <f t="shared" si="6"/>
        <v>543.23999999999978</v>
      </c>
      <c r="Y22" s="2"/>
      <c r="Z22" s="7">
        <f t="shared" si="7"/>
        <v>0.13196615579702217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13.08</v>
      </c>
      <c r="E23" s="2"/>
      <c r="F23" s="7">
        <f t="shared" si="0"/>
        <v>0</v>
      </c>
      <c r="G23" s="2"/>
      <c r="H23" s="6">
        <v>11.55</v>
      </c>
      <c r="I23" s="2"/>
      <c r="J23" s="7">
        <f t="shared" si="1"/>
        <v>0</v>
      </c>
      <c r="K23" s="2"/>
      <c r="L23" s="6">
        <f t="shared" si="2"/>
        <v>1.5299999999999994</v>
      </c>
      <c r="M23" s="2"/>
      <c r="N23" s="7">
        <f t="shared" si="3"/>
        <v>0.1324675324675324</v>
      </c>
      <c r="O23" s="11"/>
      <c r="P23" s="6">
        <v>88.53</v>
      </c>
      <c r="Q23" s="2"/>
      <c r="R23" s="7">
        <f t="shared" si="4"/>
        <v>0</v>
      </c>
      <c r="S23" s="2"/>
      <c r="T23" s="6">
        <v>85.86</v>
      </c>
      <c r="U23" s="2"/>
      <c r="V23" s="7">
        <f t="shared" si="5"/>
        <v>0</v>
      </c>
      <c r="W23" s="2"/>
      <c r="X23" s="6">
        <f t="shared" si="6"/>
        <v>2.6700000000000017</v>
      </c>
      <c r="Y23" s="2"/>
      <c r="Z23" s="7">
        <f t="shared" si="7"/>
        <v>3.1097134870719797E-2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514.27</v>
      </c>
      <c r="E24" s="2"/>
      <c r="F24" s="7">
        <f t="shared" si="0"/>
        <v>0</v>
      </c>
      <c r="G24" s="2"/>
      <c r="H24" s="6">
        <v>417.84</v>
      </c>
      <c r="I24" s="2"/>
      <c r="J24" s="7">
        <f t="shared" si="1"/>
        <v>0</v>
      </c>
      <c r="K24" s="2"/>
      <c r="L24" s="6">
        <f t="shared" si="2"/>
        <v>96.43</v>
      </c>
      <c r="M24" s="2"/>
      <c r="N24" s="7">
        <f t="shared" si="3"/>
        <v>0.23078211755695963</v>
      </c>
      <c r="O24" s="11"/>
      <c r="P24" s="6">
        <v>3480.67</v>
      </c>
      <c r="Q24" s="2"/>
      <c r="R24" s="7">
        <f t="shared" si="4"/>
        <v>0</v>
      </c>
      <c r="S24" s="2"/>
      <c r="T24" s="6">
        <v>3106.83</v>
      </c>
      <c r="U24" s="2"/>
      <c r="V24" s="7">
        <f t="shared" si="5"/>
        <v>0</v>
      </c>
      <c r="W24" s="2"/>
      <c r="X24" s="6">
        <f t="shared" si="6"/>
        <v>373.84000000000015</v>
      </c>
      <c r="Y24" s="2"/>
      <c r="Z24" s="7">
        <f t="shared" si="7"/>
        <v>0.12032843766797674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464.78</v>
      </c>
      <c r="E25" s="2"/>
      <c r="F25" s="7">
        <f t="shared" si="0"/>
        <v>0</v>
      </c>
      <c r="G25" s="2"/>
      <c r="H25" s="6">
        <v>410.22</v>
      </c>
      <c r="I25" s="2"/>
      <c r="J25" s="7">
        <f t="shared" si="1"/>
        <v>0</v>
      </c>
      <c r="K25" s="2"/>
      <c r="L25" s="6">
        <f t="shared" si="2"/>
        <v>54.559999999999945</v>
      </c>
      <c r="M25" s="2"/>
      <c r="N25" s="7">
        <f t="shared" si="3"/>
        <v>0.13300180391009689</v>
      </c>
      <c r="O25" s="11"/>
      <c r="P25" s="6">
        <v>3919.04</v>
      </c>
      <c r="Q25" s="2"/>
      <c r="R25" s="7">
        <f t="shared" si="4"/>
        <v>0</v>
      </c>
      <c r="S25" s="2"/>
      <c r="T25" s="6">
        <v>2611.92</v>
      </c>
      <c r="U25" s="2"/>
      <c r="V25" s="7">
        <f t="shared" si="5"/>
        <v>0</v>
      </c>
      <c r="W25" s="2"/>
      <c r="X25" s="6">
        <f t="shared" si="6"/>
        <v>1307.1199999999999</v>
      </c>
      <c r="Y25" s="2"/>
      <c r="Z25" s="7">
        <f t="shared" si="7"/>
        <v>0.50044411773714348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232.08</v>
      </c>
      <c r="E26" s="2"/>
      <c r="F26" s="7">
        <f t="shared" si="0"/>
        <v>0</v>
      </c>
      <c r="G26" s="2"/>
      <c r="H26" s="6">
        <v>204.83</v>
      </c>
      <c r="I26" s="2"/>
      <c r="J26" s="7">
        <f t="shared" si="1"/>
        <v>0</v>
      </c>
      <c r="K26" s="2"/>
      <c r="L26" s="6">
        <f t="shared" si="2"/>
        <v>27.25</v>
      </c>
      <c r="M26" s="2"/>
      <c r="N26" s="7">
        <f t="shared" si="3"/>
        <v>0.13303715276082603</v>
      </c>
      <c r="O26" s="11"/>
      <c r="P26" s="6">
        <v>7887.87</v>
      </c>
      <c r="Q26" s="2"/>
      <c r="R26" s="7">
        <f t="shared" si="4"/>
        <v>0</v>
      </c>
      <c r="S26" s="2"/>
      <c r="T26" s="6">
        <v>2496.94</v>
      </c>
      <c r="U26" s="2"/>
      <c r="V26" s="7">
        <f t="shared" si="5"/>
        <v>0</v>
      </c>
      <c r="W26" s="2"/>
      <c r="X26" s="6">
        <f t="shared" si="6"/>
        <v>5390.93</v>
      </c>
      <c r="Y26" s="2"/>
      <c r="Z26" s="7">
        <f t="shared" si="7"/>
        <v>2.1590146339119083</v>
      </c>
    </row>
    <row r="27" spans="1:26" s="25" customFormat="1" outlineLevel="1" collapsed="1" x14ac:dyDescent="0.25">
      <c r="A27" s="27"/>
      <c r="B27" s="13" t="str">
        <f>CONCATENATE("     ","*Payroll                                          ")</f>
        <v xml:space="preserve">     *Payroll                                          </v>
      </c>
      <c r="C27" s="13"/>
      <c r="D27" s="1">
        <f>SUM(OSRRefD22_1x_0)</f>
        <v>4276.75</v>
      </c>
      <c r="E27" s="1"/>
      <c r="F27" s="5">
        <f t="shared" ref="F27:F29" si="8">IF(D$12=0,0,D27/D$12)</f>
        <v>0</v>
      </c>
      <c r="G27" s="1"/>
      <c r="H27" s="1">
        <f>SUM(OSRRefH22_1x_0)</f>
        <v>3996.77</v>
      </c>
      <c r="I27" s="1"/>
      <c r="J27" s="5">
        <f t="shared" ref="J27:J29" si="9">IF(H$12=0,0,H27/H$12)</f>
        <v>0</v>
      </c>
      <c r="K27" s="1"/>
      <c r="L27" s="1">
        <f t="shared" ref="L27:L29" si="10">+D27-H27</f>
        <v>279.98</v>
      </c>
      <c r="M27" s="1"/>
      <c r="N27" s="5">
        <f t="shared" ref="N27:N29" si="11">IF(H27=0,0,L27/H27)</f>
        <v>7.005156664006186E-2</v>
      </c>
      <c r="O27" s="13"/>
      <c r="P27" s="1">
        <f>SUM(OSRRefP22_1x_0)</f>
        <v>23099.06</v>
      </c>
      <c r="Q27" s="1"/>
      <c r="R27" s="5">
        <f t="shared" ref="R27:R29" si="12">IF(P$12=0,0,P27/P$12)</f>
        <v>0</v>
      </c>
      <c r="S27" s="1"/>
      <c r="T27" s="1">
        <f>SUM(OSRRefT22_1x_0)</f>
        <v>20205.91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2893.1500000000015</v>
      </c>
      <c r="Y27" s="1"/>
      <c r="Z27" s="5">
        <f t="shared" ref="Z27:Z29" si="15">IF(T27=0,0,X27/T27)</f>
        <v>0.14318335576076513</v>
      </c>
    </row>
    <row r="28" spans="1:26" s="24" customFormat="1" hidden="1" outlineLevel="2" x14ac:dyDescent="0.25">
      <c r="A28" s="26"/>
      <c r="B28" s="11" t="str">
        <f>CONCATENATE("          ", "6001", " - ", "ADMINISTRATIVE SALARIES")</f>
        <v xml:space="preserve">          6001 - ADMINISTRATIVE SALARIES</v>
      </c>
      <c r="C28" s="11"/>
      <c r="D28" s="6">
        <v>4276.75</v>
      </c>
      <c r="E28" s="2"/>
      <c r="F28" s="7">
        <f t="shared" si="8"/>
        <v>0</v>
      </c>
      <c r="G28" s="2"/>
      <c r="H28" s="6">
        <v>3996.77</v>
      </c>
      <c r="I28" s="2"/>
      <c r="J28" s="7">
        <f t="shared" si="9"/>
        <v>0</v>
      </c>
      <c r="K28" s="2"/>
      <c r="L28" s="6">
        <f t="shared" si="10"/>
        <v>279.98</v>
      </c>
      <c r="M28" s="2"/>
      <c r="N28" s="7">
        <f t="shared" si="11"/>
        <v>7.005156664006186E-2</v>
      </c>
      <c r="O28" s="11"/>
      <c r="P28" s="6">
        <v>23099.06</v>
      </c>
      <c r="Q28" s="2"/>
      <c r="R28" s="7">
        <f t="shared" si="12"/>
        <v>0</v>
      </c>
      <c r="S28" s="2"/>
      <c r="T28" s="6">
        <v>20205.91</v>
      </c>
      <c r="U28" s="2"/>
      <c r="V28" s="7">
        <f t="shared" si="13"/>
        <v>0</v>
      </c>
      <c r="W28" s="2"/>
      <c r="X28" s="6">
        <f t="shared" si="14"/>
        <v>2893.1500000000015</v>
      </c>
      <c r="Y28" s="2"/>
      <c r="Z28" s="7">
        <f t="shared" si="15"/>
        <v>0.14318335576076513</v>
      </c>
    </row>
    <row r="29" spans="1:26" s="24" customFormat="1" hidden="1" outlineLevel="2" x14ac:dyDescent="0.25">
      <c r="A29" s="26"/>
      <c r="B29" s="11" t="str">
        <f>CONCATENATE("          ", "6002", " - ", "STAFF SALARIES")</f>
        <v xml:space="preserve">          6002 - STAFF SALARIES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>
        <v>0</v>
      </c>
      <c r="Q29" s="2"/>
      <c r="R29" s="7">
        <f t="shared" si="12"/>
        <v>0</v>
      </c>
      <c r="S29" s="2"/>
      <c r="T29" s="6"/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25" customFormat="1" outlineLevel="1" collapsed="1" x14ac:dyDescent="0.25">
      <c r="A30" s="27"/>
      <c r="B30" s="13" t="str">
        <f>CONCATENATE("     ","General                                           ")</f>
        <v xml:space="preserve">     General                                           </v>
      </c>
      <c r="C30" s="13"/>
      <c r="D30" s="1">
        <f>SUM(OSRRefD22_2x_0)</f>
        <v>0</v>
      </c>
      <c r="E30" s="1"/>
      <c r="F30" s="5">
        <f t="shared" ref="F30:F31" si="16">IF(D$12=0,0,D30/D$12)</f>
        <v>0</v>
      </c>
      <c r="G30" s="1"/>
      <c r="H30" s="1">
        <f>SUM(OSRRefH22_2x_0)</f>
        <v>0</v>
      </c>
      <c r="I30" s="1"/>
      <c r="J30" s="5">
        <f t="shared" ref="J30:J31" si="17">IF(H$12=0,0,H30/H$12)</f>
        <v>0</v>
      </c>
      <c r="K30" s="1"/>
      <c r="L30" s="1">
        <f t="shared" ref="L30:L31" si="18">+D30-H30</f>
        <v>0</v>
      </c>
      <c r="M30" s="1"/>
      <c r="N30" s="5">
        <f t="shared" ref="N30:N31" si="19">IF(H30=0,0,L30/H30)</f>
        <v>0</v>
      </c>
      <c r="O30" s="13"/>
      <c r="P30" s="1">
        <f>SUM(OSRRefP22_2x_0)</f>
        <v>0</v>
      </c>
      <c r="Q30" s="1"/>
      <c r="R30" s="5">
        <f t="shared" ref="R30:R31" si="20">IF(P$12=0,0,P30/P$12)</f>
        <v>0</v>
      </c>
      <c r="S30" s="1"/>
      <c r="T30" s="1">
        <f>SUM(OSRRefT22_2x_0)</f>
        <v>16.5</v>
      </c>
      <c r="U30" s="1"/>
      <c r="V30" s="5">
        <f t="shared" ref="V30:V31" si="21">IF(T$12=0,0,T30/T$12)</f>
        <v>0</v>
      </c>
      <c r="W30" s="1"/>
      <c r="X30" s="1">
        <f t="shared" ref="X30:X31" si="22">+P30-T30</f>
        <v>-16.5</v>
      </c>
      <c r="Y30" s="1"/>
      <c r="Z30" s="5">
        <f t="shared" ref="Z30:Z31" si="23">IF(T30=0,0,X30/T30)</f>
        <v>-1</v>
      </c>
    </row>
    <row r="31" spans="1:26" s="24" customFormat="1" hidden="1" outlineLevel="2" x14ac:dyDescent="0.25">
      <c r="A31" s="26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16"/>
        <v>0</v>
      </c>
      <c r="G31" s="2"/>
      <c r="H31" s="6"/>
      <c r="I31" s="2"/>
      <c r="J31" s="7">
        <f t="shared" si="17"/>
        <v>0</v>
      </c>
      <c r="K31" s="2"/>
      <c r="L31" s="6">
        <f t="shared" si="18"/>
        <v>0</v>
      </c>
      <c r="M31" s="2"/>
      <c r="N31" s="7">
        <f t="shared" si="19"/>
        <v>0</v>
      </c>
      <c r="O31" s="11"/>
      <c r="P31" s="6"/>
      <c r="Q31" s="2"/>
      <c r="R31" s="7">
        <f t="shared" si="20"/>
        <v>0</v>
      </c>
      <c r="S31" s="2"/>
      <c r="T31" s="6">
        <v>16.5</v>
      </c>
      <c r="U31" s="2"/>
      <c r="V31" s="7">
        <f t="shared" si="21"/>
        <v>0</v>
      </c>
      <c r="W31" s="2"/>
      <c r="X31" s="6">
        <f t="shared" si="22"/>
        <v>-16.5</v>
      </c>
      <c r="Y31" s="2"/>
      <c r="Z31" s="7">
        <f t="shared" si="23"/>
        <v>-1</v>
      </c>
    </row>
    <row r="32" spans="1:26" s="53" customFormat="1" x14ac:dyDescent="0.25">
      <c r="A32" s="37"/>
      <c r="B32" s="37"/>
      <c r="C32" s="37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collapsed="1" x14ac:dyDescent="0.25">
      <c r="A33" s="10"/>
      <c r="B33" s="28" t="s">
        <v>0</v>
      </c>
      <c r="C33" s="10"/>
      <c r="D33" s="4">
        <f>SUM(OSRRefD25x_0)</f>
        <v>18196.37</v>
      </c>
      <c r="E33" s="4"/>
      <c r="F33" s="12">
        <f t="shared" ref="F33:F35" si="24">IF(D$12=0,0,D33/D$12)</f>
        <v>0</v>
      </c>
      <c r="G33" s="4"/>
      <c r="H33" s="4">
        <f>SUM(OSRRefH25x_0)</f>
        <v>21700.89</v>
      </c>
      <c r="I33" s="4"/>
      <c r="J33" s="12">
        <f t="shared" ref="J33:J35" si="25">IF(H$12=0,0,H33/H$12)</f>
        <v>0</v>
      </c>
      <c r="K33" s="4"/>
      <c r="L33" s="4">
        <f t="shared" ref="L33:L35" si="26">+D33-H33</f>
        <v>-3504.5200000000004</v>
      </c>
      <c r="M33" s="4"/>
      <c r="N33" s="12">
        <f t="shared" ref="N33:N35" si="27">IF(H33=0,0,L33/H33)</f>
        <v>-0.16149199410715415</v>
      </c>
      <c r="O33" s="10"/>
      <c r="P33" s="4">
        <f>SUM(OSRRefP25x_0)</f>
        <v>326413.39</v>
      </c>
      <c r="Q33" s="4"/>
      <c r="R33" s="12">
        <f t="shared" ref="R33:R35" si="28">IF(P$12=0,0,P33/P$12)</f>
        <v>0</v>
      </c>
      <c r="S33" s="4"/>
      <c r="T33" s="4">
        <f>SUM(OSRRefT25x_0)</f>
        <v>277818.02</v>
      </c>
      <c r="U33" s="4"/>
      <c r="V33" s="12">
        <f t="shared" ref="V33:V35" si="29">IF(T$12=0,0,T33/T$12)</f>
        <v>0</v>
      </c>
      <c r="W33" s="4"/>
      <c r="X33" s="4">
        <f t="shared" ref="X33:X35" si="30">+P33-T33</f>
        <v>48595.369999999995</v>
      </c>
      <c r="Y33" s="4"/>
      <c r="Z33" s="12">
        <f t="shared" ref="Z33:Z35" si="31">IF(T33=0,0,X33/T33)</f>
        <v>0.17491799128076715</v>
      </c>
    </row>
    <row r="34" spans="1:26" s="24" customFormat="1" hidden="1" outlineLevel="1" x14ac:dyDescent="0.25">
      <c r="A34" s="44"/>
      <c r="B34" s="11" t="str">
        <f>CONCATENATE("          ", "9160", " - ", "MISC. INCOME")</f>
        <v xml:space="preserve">          9160 - MISC. INCOME</v>
      </c>
      <c r="C34" s="11"/>
      <c r="D34" s="2">
        <f>--7692.32</f>
        <v>7692.32</v>
      </c>
      <c r="E34" s="2"/>
      <c r="F34" s="19">
        <f t="shared" si="24"/>
        <v>0</v>
      </c>
      <c r="G34" s="2"/>
      <c r="H34" s="2">
        <f>--14981.17</f>
        <v>14981.17</v>
      </c>
      <c r="I34" s="2"/>
      <c r="J34" s="19">
        <f t="shared" si="25"/>
        <v>0</v>
      </c>
      <c r="K34" s="2"/>
      <c r="L34" s="2">
        <f t="shared" si="26"/>
        <v>-7288.85</v>
      </c>
      <c r="M34" s="2"/>
      <c r="N34" s="19">
        <f t="shared" si="27"/>
        <v>-0.48653409580159629</v>
      </c>
      <c r="O34" s="11"/>
      <c r="P34" s="2">
        <f>--103039.27</f>
        <v>103039.27</v>
      </c>
      <c r="Q34" s="2"/>
      <c r="R34" s="19">
        <f t="shared" si="28"/>
        <v>0</v>
      </c>
      <c r="S34" s="2"/>
      <c r="T34" s="2">
        <f>--59887.02</f>
        <v>59887.02</v>
      </c>
      <c r="U34" s="2"/>
      <c r="V34" s="19">
        <f t="shared" si="29"/>
        <v>0</v>
      </c>
      <c r="W34" s="2"/>
      <c r="X34" s="2">
        <f t="shared" si="30"/>
        <v>43152.250000000007</v>
      </c>
      <c r="Y34" s="2"/>
      <c r="Z34" s="19">
        <f t="shared" si="31"/>
        <v>0.72056098299765137</v>
      </c>
    </row>
    <row r="35" spans="1:26" s="24" customFormat="1" hidden="1" outlineLevel="1" x14ac:dyDescent="0.25">
      <c r="A35" s="44"/>
      <c r="B35" s="11" t="str">
        <f>CONCATENATE("          ", "9165", " - ", "OTHER INCOME")</f>
        <v xml:space="preserve">          9165 - OTHER INCOME</v>
      </c>
      <c r="C35" s="11"/>
      <c r="D35" s="2">
        <f>--10504.05</f>
        <v>10504.05</v>
      </c>
      <c r="E35" s="2"/>
      <c r="F35" s="19">
        <f t="shared" si="24"/>
        <v>0</v>
      </c>
      <c r="G35" s="2"/>
      <c r="H35" s="2">
        <f>--6719.72</f>
        <v>6719.72</v>
      </c>
      <c r="I35" s="2"/>
      <c r="J35" s="19">
        <f t="shared" si="25"/>
        <v>0</v>
      </c>
      <c r="K35" s="2"/>
      <c r="L35" s="2">
        <f t="shared" si="26"/>
        <v>3784.329999999999</v>
      </c>
      <c r="M35" s="2"/>
      <c r="N35" s="19">
        <f t="shared" si="27"/>
        <v>0.56316781056353526</v>
      </c>
      <c r="O35" s="11"/>
      <c r="P35" s="2">
        <f>--223374.12</f>
        <v>223374.12</v>
      </c>
      <c r="Q35" s="2"/>
      <c r="R35" s="19">
        <f t="shared" si="28"/>
        <v>0</v>
      </c>
      <c r="S35" s="2"/>
      <c r="T35" s="2">
        <f>--217931</f>
        <v>217931</v>
      </c>
      <c r="U35" s="2"/>
      <c r="V35" s="19">
        <f t="shared" si="29"/>
        <v>0</v>
      </c>
      <c r="W35" s="2"/>
      <c r="X35" s="2">
        <f t="shared" si="30"/>
        <v>5443.1199999999953</v>
      </c>
      <c r="Y35" s="2"/>
      <c r="Z35" s="19">
        <f t="shared" si="31"/>
        <v>2.4976345724105314E-2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9" t="s">
        <v>3</v>
      </c>
      <c r="C37" s="29"/>
      <c r="D37" s="21">
        <f>+D16-D18+D33</f>
        <v>11510.96</v>
      </c>
      <c r="E37" s="14"/>
      <c r="F37" s="20">
        <f>IF(D$12=0,0,D37/D$12)</f>
        <v>0</v>
      </c>
      <c r="G37" s="14"/>
      <c r="H37" s="21">
        <f>+H16-H18+H33</f>
        <v>15165.08</v>
      </c>
      <c r="I37" s="14"/>
      <c r="J37" s="20">
        <f>IF(H$12=0,0,H37/H$12)</f>
        <v>0</v>
      </c>
      <c r="K37" s="15"/>
      <c r="L37" s="21">
        <f>+D37-H37</f>
        <v>-3654.1200000000008</v>
      </c>
      <c r="M37" s="15"/>
      <c r="N37" s="20">
        <f>IF(H37=0,0,L37/H37)</f>
        <v>-0.24095619673618607</v>
      </c>
      <c r="O37" s="28"/>
      <c r="P37" s="21">
        <f>+P16-P18+P33</f>
        <v>281281.5</v>
      </c>
      <c r="Q37" s="14"/>
      <c r="R37" s="20">
        <f>IF(P$12=0,0,P37/P$12)</f>
        <v>0</v>
      </c>
      <c r="S37" s="14"/>
      <c r="T37" s="21">
        <f>+T16-T18+T33</f>
        <v>242098.46000000002</v>
      </c>
      <c r="U37" s="14"/>
      <c r="V37" s="20">
        <f>IF(T$12=0,0,T37/T$12)</f>
        <v>0</v>
      </c>
      <c r="W37" s="15"/>
      <c r="X37" s="21">
        <f>+P37-T37</f>
        <v>39183.039999999979</v>
      </c>
      <c r="Y37" s="15"/>
      <c r="Z37" s="20">
        <f>IF(T37=0,0,X37/T37)</f>
        <v>0.16184753922019982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51"/>
      <c r="B39" s="10" t="s">
        <v>13</v>
      </c>
      <c r="C39" s="10"/>
      <c r="D39" s="4"/>
      <c r="E39" s="4"/>
      <c r="F39" s="12">
        <f>IF(D$12=0,0,D39/D$12)</f>
        <v>0</v>
      </c>
      <c r="G39" s="4"/>
      <c r="H39" s="4"/>
      <c r="I39" s="4"/>
      <c r="J39" s="12">
        <f>IF(H$12=0,0,H39/H$12)</f>
        <v>0</v>
      </c>
      <c r="K39" s="4"/>
      <c r="L39" s="4">
        <f>+D39-H39</f>
        <v>0</v>
      </c>
      <c r="M39" s="4"/>
      <c r="N39" s="12">
        <f>IF(H39=0,0,L39/H39)</f>
        <v>0</v>
      </c>
      <c r="O39" s="10"/>
      <c r="P39" s="4"/>
      <c r="Q39" s="4"/>
      <c r="R39" s="12">
        <f>IF(P$12=0,0,P39/P$12)</f>
        <v>0</v>
      </c>
      <c r="S39" s="4"/>
      <c r="T39" s="4"/>
      <c r="U39" s="4"/>
      <c r="V39" s="12">
        <f>IF(T$12=0,0,T39/T$12)</f>
        <v>0</v>
      </c>
      <c r="W39" s="4"/>
      <c r="X39" s="4">
        <f>+P39-T39</f>
        <v>0</v>
      </c>
      <c r="Y39" s="4"/>
      <c r="Z39" s="12">
        <f>IF(T39=0,0,X39/T39)</f>
        <v>0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.75" thickBot="1" x14ac:dyDescent="0.3">
      <c r="A41" s="10"/>
      <c r="B41" s="29" t="s">
        <v>4</v>
      </c>
      <c r="C41" s="29"/>
      <c r="D41" s="31">
        <f>+D37-D39</f>
        <v>11510.96</v>
      </c>
      <c r="E41" s="14"/>
      <c r="F41" s="32">
        <f>IF(D$12=0,0,D41/D$12)</f>
        <v>0</v>
      </c>
      <c r="G41" s="14"/>
      <c r="H41" s="31">
        <f>+H37-H39</f>
        <v>15165.08</v>
      </c>
      <c r="I41" s="14"/>
      <c r="J41" s="32">
        <f>IF(H$12=0,0,H41/H$12)</f>
        <v>0</v>
      </c>
      <c r="K41" s="15"/>
      <c r="L41" s="31">
        <f>D41-H41</f>
        <v>-3654.1200000000008</v>
      </c>
      <c r="M41" s="15"/>
      <c r="N41" s="32">
        <f>IF(H41=0,0,L41/H41)</f>
        <v>-0.24095619673618607</v>
      </c>
      <c r="O41" s="28"/>
      <c r="P41" s="31">
        <f>+P37-P39</f>
        <v>281281.5</v>
      </c>
      <c r="Q41" s="14"/>
      <c r="R41" s="32">
        <f>IF(P$12=0,0,P41/P$12)</f>
        <v>0</v>
      </c>
      <c r="S41" s="14"/>
      <c r="T41" s="31">
        <f>+T37-T39</f>
        <v>242098.46000000002</v>
      </c>
      <c r="U41" s="14"/>
      <c r="V41" s="32">
        <f>IF(T$12=0,0,T41/T$12)</f>
        <v>0</v>
      </c>
      <c r="W41" s="15"/>
      <c r="X41" s="31">
        <f>P41-T41</f>
        <v>39183.039999999979</v>
      </c>
      <c r="Y41" s="15"/>
      <c r="Z41" s="32">
        <f>IF(T41=0,0,X41/T41)</f>
        <v>0.16184753922019982</v>
      </c>
    </row>
    <row r="42" spans="1:26" ht="15.75" thickTop="1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x14ac:dyDescent="0.25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ht="15.75" thickBot="1" x14ac:dyDescent="0.3">
      <c r="A44" s="10"/>
      <c r="B44" s="29" t="s">
        <v>5</v>
      </c>
      <c r="C44" s="29"/>
      <c r="D44" s="34">
        <f>SUM(D41:D43)</f>
        <v>11510.96</v>
      </c>
      <c r="E44" s="14"/>
      <c r="F44" s="30">
        <f>IF(D$12=0,0,D44/D$12)</f>
        <v>0</v>
      </c>
      <c r="G44" s="14"/>
      <c r="H44" s="34">
        <f>SUM(H41:H43)</f>
        <v>15165.08</v>
      </c>
      <c r="I44" s="14"/>
      <c r="J44" s="30">
        <f>IF(H$12=0,0,H44/H$12)</f>
        <v>0</v>
      </c>
      <c r="K44" s="15"/>
      <c r="L44" s="34">
        <f>+D44-H44</f>
        <v>-3654.1200000000008</v>
      </c>
      <c r="M44" s="15"/>
      <c r="N44" s="30">
        <f>IF(H44=0,0,L44/H44)</f>
        <v>-0.24095619673618607</v>
      </c>
      <c r="O44" s="28"/>
      <c r="P44" s="34">
        <f>SUM(P41:P43)</f>
        <v>281281.5</v>
      </c>
      <c r="Q44" s="14"/>
      <c r="R44" s="30">
        <f>IF(P$12=0,0,P44/P$12)</f>
        <v>0</v>
      </c>
      <c r="S44" s="14"/>
      <c r="T44" s="34">
        <f>SUM(T41:T43)</f>
        <v>242098.46000000002</v>
      </c>
      <c r="U44" s="14"/>
      <c r="V44" s="30">
        <f>IF(T$12=0,0,T44/T$12)</f>
        <v>0</v>
      </c>
      <c r="W44" s="15"/>
      <c r="X44" s="34">
        <f>+P44-T44</f>
        <v>39183.039999999979</v>
      </c>
      <c r="Y44" s="15"/>
      <c r="Z44" s="30">
        <f>IF(T44=0,0,X44/T44)</f>
        <v>0.16184753922019982</v>
      </c>
    </row>
    <row r="45" spans="1:26" ht="15.75" thickTop="1" x14ac:dyDescent="0.25">
      <c r="A45" s="9"/>
      <c r="C45" s="9"/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25">
      <c r="A46" s="9"/>
      <c r="B46" s="59">
        <v>43815.492332210648</v>
      </c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  <row r="47" spans="1:26" x14ac:dyDescent="0.25">
      <c r="A47" s="9"/>
      <c r="B47" s="62" t="s">
        <v>313</v>
      </c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  <row r="48" spans="1:26" x14ac:dyDescent="0.25">
      <c r="A48" s="9"/>
      <c r="B48" s="61"/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  <row r="49" spans="4:24" x14ac:dyDescent="0.25">
      <c r="D49" s="18"/>
      <c r="E49" s="18"/>
      <c r="G49" s="18"/>
      <c r="H49" s="18"/>
      <c r="I49" s="18"/>
      <c r="J49" s="43"/>
      <c r="K49" s="18"/>
      <c r="L49" s="18"/>
      <c r="M49" s="18"/>
      <c r="P49" s="18"/>
      <c r="Q49" s="18"/>
      <c r="R49" s="43"/>
      <c r="S49" s="18"/>
      <c r="T49" s="18"/>
      <c r="U49" s="18"/>
      <c r="V49" s="43"/>
      <c r="W49" s="18"/>
      <c r="X49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300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1143734.8299999998</v>
      </c>
      <c r="E12" s="4"/>
      <c r="F12" s="12"/>
      <c r="G12" s="4"/>
      <c r="H12" s="4">
        <f>SUM(OSRRefH13x_0)</f>
        <v>845755.95000000019</v>
      </c>
      <c r="I12" s="4"/>
      <c r="J12" s="12"/>
      <c r="K12" s="4"/>
      <c r="L12" s="4">
        <f t="shared" ref="L12:L18" si="0">+D12-H12</f>
        <v>297978.87999999966</v>
      </c>
      <c r="M12" s="4"/>
      <c r="N12" s="12">
        <f t="shared" ref="N12:N18" si="1">IF(H12=0,0,L12/H12)</f>
        <v>0.3523225346508051</v>
      </c>
      <c r="O12" s="10"/>
      <c r="P12" s="4">
        <f>SUM(OSRRefP13x_0)</f>
        <v>5289699.8599999994</v>
      </c>
      <c r="Q12" s="4"/>
      <c r="R12" s="12"/>
      <c r="S12" s="4"/>
      <c r="T12" s="4">
        <f>SUM(OSRRefT13x_0)</f>
        <v>4965161.4600000009</v>
      </c>
      <c r="U12" s="4"/>
      <c r="V12" s="12"/>
      <c r="W12" s="4"/>
      <c r="X12" s="4">
        <f t="shared" ref="X12:X18" si="2">+P12-T12</f>
        <v>324538.39999999851</v>
      </c>
      <c r="Y12" s="4"/>
      <c r="Z12" s="12">
        <f t="shared" ref="Z12:Z18" si="3">IF(T12=0,0,X12/T12)</f>
        <v>6.5363111071920402E-2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--10277.85</f>
        <v>10277.85</v>
      </c>
      <c r="E13" s="2"/>
      <c r="F13" s="19"/>
      <c r="G13" s="2"/>
      <c r="H13" s="2">
        <f>--1221.45</f>
        <v>1221.45</v>
      </c>
      <c r="I13" s="2"/>
      <c r="J13" s="19"/>
      <c r="K13" s="2"/>
      <c r="L13" s="2">
        <f t="shared" si="0"/>
        <v>9056.4</v>
      </c>
      <c r="M13" s="2"/>
      <c r="N13" s="19">
        <f t="shared" si="1"/>
        <v>7.4144664128699489</v>
      </c>
      <c r="O13" s="11"/>
      <c r="P13" s="2">
        <f>--19655.64</f>
        <v>19655.64</v>
      </c>
      <c r="Q13" s="2"/>
      <c r="R13" s="19"/>
      <c r="S13" s="2"/>
      <c r="T13" s="2">
        <f>--8277.54</f>
        <v>8277.5400000000009</v>
      </c>
      <c r="U13" s="2"/>
      <c r="V13" s="19"/>
      <c r="W13" s="2"/>
      <c r="X13" s="2">
        <f t="shared" si="2"/>
        <v>11378.099999999999</v>
      </c>
      <c r="Y13" s="2"/>
      <c r="Z13" s="19">
        <f t="shared" si="3"/>
        <v>1.3745750549076172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--152.78</f>
        <v>152.78</v>
      </c>
      <c r="E14" s="2"/>
      <c r="F14" s="19"/>
      <c r="G14" s="2"/>
      <c r="H14" s="2">
        <f>--128.98</f>
        <v>128.97999999999999</v>
      </c>
      <c r="I14" s="2"/>
      <c r="J14" s="19"/>
      <c r="K14" s="2"/>
      <c r="L14" s="2">
        <f t="shared" si="0"/>
        <v>23.800000000000011</v>
      </c>
      <c r="M14" s="2"/>
      <c r="N14" s="19">
        <f t="shared" si="1"/>
        <v>0.18452473251666934</v>
      </c>
      <c r="O14" s="11"/>
      <c r="P14" s="2">
        <f>--803.92</f>
        <v>803.92</v>
      </c>
      <c r="Q14" s="2"/>
      <c r="R14" s="19"/>
      <c r="S14" s="2"/>
      <c r="T14" s="2">
        <f>--564.96</f>
        <v>564.96</v>
      </c>
      <c r="U14" s="2"/>
      <c r="V14" s="19"/>
      <c r="W14" s="2"/>
      <c r="X14" s="2">
        <f t="shared" si="2"/>
        <v>238.95999999999992</v>
      </c>
      <c r="Y14" s="2"/>
      <c r="Z14" s="19">
        <f t="shared" si="3"/>
        <v>0.42296799773435273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--1110207.4</f>
        <v>1110207.3999999999</v>
      </c>
      <c r="E15" s="2"/>
      <c r="F15" s="19"/>
      <c r="G15" s="2"/>
      <c r="H15" s="2">
        <f>--827760.55</f>
        <v>827760.55</v>
      </c>
      <c r="I15" s="2"/>
      <c r="J15" s="19"/>
      <c r="K15" s="2"/>
      <c r="L15" s="2">
        <f t="shared" si="0"/>
        <v>282446.84999999986</v>
      </c>
      <c r="M15" s="2"/>
      <c r="N15" s="19">
        <f t="shared" si="1"/>
        <v>0.34121806118931358</v>
      </c>
      <c r="O15" s="11"/>
      <c r="P15" s="2">
        <f>--5054212.33</f>
        <v>5054212.33</v>
      </c>
      <c r="Q15" s="2"/>
      <c r="R15" s="19"/>
      <c r="S15" s="2"/>
      <c r="T15" s="2">
        <f>--4772305.17</f>
        <v>4772305.17</v>
      </c>
      <c r="U15" s="2"/>
      <c r="V15" s="19"/>
      <c r="W15" s="2"/>
      <c r="X15" s="2">
        <f t="shared" si="2"/>
        <v>281907.16000000015</v>
      </c>
      <c r="Y15" s="2"/>
      <c r="Z15" s="19">
        <f t="shared" si="3"/>
        <v>5.9071486411251477E-2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--22208.1</f>
        <v>22208.1</v>
      </c>
      <c r="E16" s="2"/>
      <c r="F16" s="19"/>
      <c r="G16" s="2"/>
      <c r="H16" s="2">
        <f>--15905.43</f>
        <v>15905.43</v>
      </c>
      <c r="I16" s="2"/>
      <c r="J16" s="19"/>
      <c r="K16" s="2"/>
      <c r="L16" s="2">
        <f t="shared" si="0"/>
        <v>6302.6699999999983</v>
      </c>
      <c r="M16" s="2"/>
      <c r="N16" s="19">
        <f t="shared" si="1"/>
        <v>0.39625901343126202</v>
      </c>
      <c r="O16" s="11"/>
      <c r="P16" s="2">
        <f>--211996.16</f>
        <v>211996.16</v>
      </c>
      <c r="Q16" s="2"/>
      <c r="R16" s="19"/>
      <c r="S16" s="2"/>
      <c r="T16" s="2">
        <f>--179283.4</f>
        <v>179283.4</v>
      </c>
      <c r="U16" s="2"/>
      <c r="V16" s="19"/>
      <c r="W16" s="2"/>
      <c r="X16" s="2">
        <f t="shared" si="2"/>
        <v>32712.760000000009</v>
      </c>
      <c r="Y16" s="2"/>
      <c r="Z16" s="19">
        <f t="shared" si="3"/>
        <v>0.18246396487349084</v>
      </c>
    </row>
    <row r="17" spans="1:26" s="24" customFormat="1" hidden="1" outlineLevel="1" x14ac:dyDescent="0.2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>--888.7</f>
        <v>888.7</v>
      </c>
      <c r="E17" s="2"/>
      <c r="F17" s="19"/>
      <c r="G17" s="2"/>
      <c r="H17" s="2">
        <f>--739.54</f>
        <v>739.54</v>
      </c>
      <c r="I17" s="2"/>
      <c r="J17" s="19"/>
      <c r="K17" s="2"/>
      <c r="L17" s="2">
        <f t="shared" si="0"/>
        <v>149.16000000000008</v>
      </c>
      <c r="M17" s="2"/>
      <c r="N17" s="19">
        <f t="shared" si="1"/>
        <v>0.20169294426264989</v>
      </c>
      <c r="O17" s="11"/>
      <c r="P17" s="2">
        <f>--3031.81</f>
        <v>3031.81</v>
      </c>
      <c r="Q17" s="2"/>
      <c r="R17" s="19"/>
      <c r="S17" s="2"/>
      <c r="T17" s="2">
        <f>--3675.49</f>
        <v>3675.49</v>
      </c>
      <c r="U17" s="2"/>
      <c r="V17" s="19"/>
      <c r="W17" s="2"/>
      <c r="X17" s="2">
        <f t="shared" si="2"/>
        <v>-643.67999999999984</v>
      </c>
      <c r="Y17" s="2"/>
      <c r="Z17" s="19">
        <f t="shared" si="3"/>
        <v>-0.17512767005215626</v>
      </c>
    </row>
    <row r="18" spans="1:26" s="24" customFormat="1" hidden="1" outlineLevel="1" x14ac:dyDescent="0.25">
      <c r="A18" s="44"/>
      <c r="B18" s="11" t="str">
        <f>CONCATENATE("          ", "4159", " - ", "NON-TAXABLE SALES-FOOD")</f>
        <v xml:space="preserve">          4159 - NON-TAXABLE SALES-FOOD</v>
      </c>
      <c r="C18" s="11"/>
      <c r="D18" s="2">
        <f>0</f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--1054.9</f>
        <v>1054.9000000000001</v>
      </c>
      <c r="U18" s="2"/>
      <c r="V18" s="19"/>
      <c r="W18" s="2"/>
      <c r="X18" s="2">
        <f t="shared" si="2"/>
        <v>-1054.9000000000001</v>
      </c>
      <c r="Y18" s="2"/>
      <c r="Z18" s="19">
        <f t="shared" si="3"/>
        <v>-1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261352.09</v>
      </c>
      <c r="E20" s="4"/>
      <c r="F20" s="12">
        <f t="shared" ref="F20:F22" si="4">IF(D$12=0,0,D20/D$12)</f>
        <v>0.22850759034766829</v>
      </c>
      <c r="G20" s="4"/>
      <c r="H20" s="4">
        <f>SUM(OSRRefH16x_0)</f>
        <v>213907.74000000002</v>
      </c>
      <c r="I20" s="4"/>
      <c r="J20" s="12">
        <f t="shared" ref="J20:J22" si="5">IF(H$12=0,0,H20/H$12)</f>
        <v>0.25291898921905304</v>
      </c>
      <c r="K20" s="4"/>
      <c r="L20" s="4">
        <f t="shared" ref="L20:L22" si="6">+D20-H20</f>
        <v>47444.349999999977</v>
      </c>
      <c r="M20" s="4"/>
      <c r="N20" s="12">
        <f t="shared" ref="N20:N22" si="7">IF(H20=0,0,L20/H20)</f>
        <v>0.2217981920616803</v>
      </c>
      <c r="O20" s="10"/>
      <c r="P20" s="4">
        <f>SUM(OSRRefP16x_0)</f>
        <v>1271423.05</v>
      </c>
      <c r="Q20" s="4"/>
      <c r="R20" s="12">
        <f t="shared" ref="R20:R22" si="8">IF(P$12=0,0,P20/P$12)</f>
        <v>0.24035825919242235</v>
      </c>
      <c r="S20" s="4"/>
      <c r="T20" s="4">
        <f>SUM(OSRRefT16x_0)</f>
        <v>1222652.04</v>
      </c>
      <c r="U20" s="4"/>
      <c r="V20" s="12">
        <f t="shared" ref="V20:V22" si="9">IF(T$12=0,0,T20/T$12)</f>
        <v>0.24624617947469524</v>
      </c>
      <c r="W20" s="4"/>
      <c r="X20" s="4">
        <f t="shared" ref="X20:X22" si="10">+P20-T20</f>
        <v>48771.010000000009</v>
      </c>
      <c r="Y20" s="4"/>
      <c r="Z20" s="12">
        <f t="shared" ref="Z20:Z22" si="11">IF(T20=0,0,X20/T20)</f>
        <v>3.9889525723115798E-2</v>
      </c>
    </row>
    <row r="21" spans="1:26" s="24" customFormat="1" hidden="1" outlineLevel="1" x14ac:dyDescent="0.25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238826.84</v>
      </c>
      <c r="E21" s="2"/>
      <c r="F21" s="19">
        <f t="shared" si="4"/>
        <v>0.20881312148201348</v>
      </c>
      <c r="G21" s="2"/>
      <c r="H21" s="2">
        <v>209864.6</v>
      </c>
      <c r="I21" s="2"/>
      <c r="J21" s="19">
        <f t="shared" si="5"/>
        <v>0.24813848486670412</v>
      </c>
      <c r="K21" s="2"/>
      <c r="L21" s="2">
        <f t="shared" si="6"/>
        <v>28962.239999999991</v>
      </c>
      <c r="M21" s="2"/>
      <c r="N21" s="19">
        <f t="shared" si="7"/>
        <v>0.13800440855675511</v>
      </c>
      <c r="O21" s="11"/>
      <c r="P21" s="2">
        <v>1275186.31</v>
      </c>
      <c r="Q21" s="2"/>
      <c r="R21" s="19">
        <f t="shared" si="8"/>
        <v>0.24106969086143956</v>
      </c>
      <c r="S21" s="2"/>
      <c r="T21" s="2">
        <v>1251452.45</v>
      </c>
      <c r="U21" s="2"/>
      <c r="V21" s="19">
        <f t="shared" si="9"/>
        <v>0.25204667765225097</v>
      </c>
      <c r="W21" s="2"/>
      <c r="X21" s="2">
        <f t="shared" si="10"/>
        <v>23733.860000000102</v>
      </c>
      <c r="Y21" s="2"/>
      <c r="Z21" s="19">
        <f t="shared" si="11"/>
        <v>1.8965051368911464E-2</v>
      </c>
    </row>
    <row r="22" spans="1:26" s="24" customFormat="1" hidden="1" outlineLevel="1" x14ac:dyDescent="0.25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22525.25</v>
      </c>
      <c r="E22" s="2"/>
      <c r="F22" s="19">
        <f t="shared" si="4"/>
        <v>1.9694468865654815E-2</v>
      </c>
      <c r="G22" s="2"/>
      <c r="H22" s="2">
        <v>4043.14</v>
      </c>
      <c r="I22" s="2"/>
      <c r="J22" s="19">
        <f t="shared" si="5"/>
        <v>4.780504352348924E-3</v>
      </c>
      <c r="K22" s="2"/>
      <c r="L22" s="2">
        <f t="shared" si="6"/>
        <v>18482.11</v>
      </c>
      <c r="M22" s="2"/>
      <c r="N22" s="19">
        <f t="shared" si="7"/>
        <v>4.5712268187596772</v>
      </c>
      <c r="O22" s="11"/>
      <c r="P22" s="2">
        <v>-3763.26</v>
      </c>
      <c r="Q22" s="2"/>
      <c r="R22" s="19">
        <f t="shared" si="8"/>
        <v>-7.1143166901722866E-4</v>
      </c>
      <c r="S22" s="2"/>
      <c r="T22" s="2">
        <v>-28800.41</v>
      </c>
      <c r="U22" s="2"/>
      <c r="V22" s="19">
        <f t="shared" si="9"/>
        <v>-5.8004981775557395E-3</v>
      </c>
      <c r="W22" s="2"/>
      <c r="X22" s="2">
        <f t="shared" si="10"/>
        <v>25037.15</v>
      </c>
      <c r="Y22" s="2"/>
      <c r="Z22" s="19">
        <f t="shared" si="11"/>
        <v>-0.8693331101883619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6</v>
      </c>
      <c r="C24" s="29"/>
      <c r="D24" s="21">
        <f>D12-D20</f>
        <v>882382.73999999987</v>
      </c>
      <c r="E24" s="14"/>
      <c r="F24" s="20">
        <f>IF(D$12=0,0,D24/D$12)</f>
        <v>0.77149240965233179</v>
      </c>
      <c r="G24" s="14"/>
      <c r="H24" s="21">
        <f>H12-H20</f>
        <v>631848.2100000002</v>
      </c>
      <c r="I24" s="14"/>
      <c r="J24" s="20">
        <f>IF(H$12=0,0,H24/H$12)</f>
        <v>0.74708101078094702</v>
      </c>
      <c r="K24" s="15"/>
      <c r="L24" s="21">
        <f>+D24-H24</f>
        <v>250534.52999999968</v>
      </c>
      <c r="M24" s="15"/>
      <c r="N24" s="20">
        <f>IF(H24=0,0,L24/H24)</f>
        <v>0.39651062713305718</v>
      </c>
      <c r="O24" s="28"/>
      <c r="P24" s="21">
        <f>P12-P20</f>
        <v>4018276.8099999996</v>
      </c>
      <c r="Q24" s="14"/>
      <c r="R24" s="20">
        <f>IF(P$12=0,0,P24/P$12)</f>
        <v>0.75964174080757774</v>
      </c>
      <c r="S24" s="14"/>
      <c r="T24" s="21">
        <f>T12-T20</f>
        <v>3742509.4200000009</v>
      </c>
      <c r="U24" s="14"/>
      <c r="V24" s="20">
        <f>IF(T$12=0,0,T24/T$12)</f>
        <v>0.75375382052530482</v>
      </c>
      <c r="W24" s="15"/>
      <c r="X24" s="21">
        <f>+P24-T24</f>
        <v>275767.38999999873</v>
      </c>
      <c r="Y24" s="15"/>
      <c r="Z24" s="20">
        <f>IF(T24=0,0,X24/T24)</f>
        <v>7.3685155881317368E-2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9</v>
      </c>
      <c r="C26" s="10"/>
      <c r="D26" s="22">
        <f>SUM(OSRRefD22x_0)</f>
        <v>509287.63000000006</v>
      </c>
      <c r="E26" s="22"/>
      <c r="F26" s="33">
        <f t="shared" ref="F26:F36" si="12">IF(D$12=0,0,D26/D$12)</f>
        <v>0.44528470816963767</v>
      </c>
      <c r="G26" s="22"/>
      <c r="H26" s="22">
        <f>SUM(OSRRefH22x_0)</f>
        <v>412739.46</v>
      </c>
      <c r="I26" s="22"/>
      <c r="J26" s="33">
        <f t="shared" ref="J26:J36" si="13">IF(H$12=0,0,H26/H$12)</f>
        <v>0.48801248161482036</v>
      </c>
      <c r="K26" s="4"/>
      <c r="L26" s="22">
        <f t="shared" ref="L26:L36" si="14">+D26-H26</f>
        <v>96548.170000000042</v>
      </c>
      <c r="M26" s="4"/>
      <c r="N26" s="33">
        <f t="shared" ref="N26:N36" si="15">IF(H26=0,0,L26/H26)</f>
        <v>0.23392037679169334</v>
      </c>
      <c r="O26" s="10"/>
      <c r="P26" s="22">
        <f>SUM(OSRRefP22x_0)</f>
        <v>2524670.4900000002</v>
      </c>
      <c r="Q26" s="22"/>
      <c r="R26" s="33">
        <f t="shared" ref="R26:R36" si="16">IF(P$12=0,0,P26/P$12)</f>
        <v>0.47728048033333986</v>
      </c>
      <c r="S26" s="22"/>
      <c r="T26" s="22">
        <f>SUM(OSRRefT22x_0)</f>
        <v>2263425.3499999996</v>
      </c>
      <c r="U26" s="22"/>
      <c r="V26" s="33">
        <f t="shared" ref="V26:V36" si="17">IF(T$12=0,0,T26/T$12)</f>
        <v>0.45586137897719026</v>
      </c>
      <c r="W26" s="4"/>
      <c r="X26" s="22">
        <f t="shared" ref="X26:X36" si="18">+P26-T26</f>
        <v>261245.1400000006</v>
      </c>
      <c r="Y26" s="4"/>
      <c r="Z26" s="33">
        <f t="shared" ref="Z26:Z36" si="19">IF(T26=0,0,X26/T26)</f>
        <v>0.11542025894514288</v>
      </c>
    </row>
    <row r="27" spans="1:26" s="25" customFormat="1" outlineLevel="1" collapsed="1" x14ac:dyDescent="0.25">
      <c r="A27" s="27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94696.54</v>
      </c>
      <c r="E27" s="1"/>
      <c r="F27" s="5">
        <f t="shared" si="12"/>
        <v>8.279588722501352E-2</v>
      </c>
      <c r="G27" s="1"/>
      <c r="H27" s="1">
        <f>SUM(OSRRefH22_0x_0)</f>
        <v>89565.62</v>
      </c>
      <c r="I27" s="1"/>
      <c r="J27" s="5">
        <f t="shared" si="13"/>
        <v>0.10590007673017254</v>
      </c>
      <c r="K27" s="1"/>
      <c r="L27" s="1">
        <f t="shared" si="14"/>
        <v>5130.9199999999983</v>
      </c>
      <c r="M27" s="1"/>
      <c r="N27" s="5">
        <f t="shared" si="15"/>
        <v>5.7286713361667102E-2</v>
      </c>
      <c r="O27" s="13"/>
      <c r="P27" s="1">
        <f>SUM(OSRRefP22_0x_0)</f>
        <v>469917.94</v>
      </c>
      <c r="Q27" s="1"/>
      <c r="R27" s="5">
        <f t="shared" si="16"/>
        <v>8.8836408952700022E-2</v>
      </c>
      <c r="S27" s="1"/>
      <c r="T27" s="1">
        <f>SUM(OSRRefT22_0x_0)</f>
        <v>455756.35999999993</v>
      </c>
      <c r="U27" s="1"/>
      <c r="V27" s="5">
        <f t="shared" si="17"/>
        <v>9.1790843796648633E-2</v>
      </c>
      <c r="W27" s="1"/>
      <c r="X27" s="1">
        <f t="shared" si="18"/>
        <v>14161.580000000075</v>
      </c>
      <c r="Y27" s="1"/>
      <c r="Z27" s="5">
        <f t="shared" si="19"/>
        <v>3.1072698579565794E-2</v>
      </c>
    </row>
    <row r="28" spans="1:26" s="24" customFormat="1" hidden="1" outlineLevel="2" x14ac:dyDescent="0.25">
      <c r="A28" s="26"/>
      <c r="B28" s="11" t="str">
        <f>CONCATENATE("          ", "6111", " - ", "F.I.C.A.")</f>
        <v xml:space="preserve">          6111 - F.I.C.A.</v>
      </c>
      <c r="C28" s="11"/>
      <c r="D28" s="6">
        <v>12482.38</v>
      </c>
      <c r="E28" s="2"/>
      <c r="F28" s="7">
        <f t="shared" si="12"/>
        <v>1.0913701036804134E-2</v>
      </c>
      <c r="G28" s="2"/>
      <c r="H28" s="6">
        <v>10429.200000000001</v>
      </c>
      <c r="I28" s="2"/>
      <c r="J28" s="7">
        <f t="shared" si="13"/>
        <v>1.2331216824427896E-2</v>
      </c>
      <c r="K28" s="2"/>
      <c r="L28" s="6">
        <f t="shared" si="14"/>
        <v>2053.1799999999985</v>
      </c>
      <c r="M28" s="2"/>
      <c r="N28" s="7">
        <f t="shared" si="15"/>
        <v>0.19686840793157656</v>
      </c>
      <c r="O28" s="11"/>
      <c r="P28" s="6">
        <v>73946.710000000006</v>
      </c>
      <c r="Q28" s="2"/>
      <c r="R28" s="7">
        <f t="shared" si="16"/>
        <v>1.3979377272267394E-2</v>
      </c>
      <c r="S28" s="2"/>
      <c r="T28" s="6">
        <v>66395.539999999994</v>
      </c>
      <c r="U28" s="2"/>
      <c r="V28" s="7">
        <f t="shared" si="17"/>
        <v>1.3372282157366133E-2</v>
      </c>
      <c r="W28" s="2"/>
      <c r="X28" s="6">
        <f t="shared" si="18"/>
        <v>7551.1700000000128</v>
      </c>
      <c r="Y28" s="2"/>
      <c r="Z28" s="7">
        <f t="shared" si="19"/>
        <v>0.11373007885770661</v>
      </c>
    </row>
    <row r="29" spans="1:26" s="24" customFormat="1" hidden="1" outlineLevel="2" x14ac:dyDescent="0.25">
      <c r="A29" s="26"/>
      <c r="B29" s="11" t="str">
        <f>CONCATENATE("          ", "6112", " - ", "COMPENSATION INSURANCE")</f>
        <v xml:space="preserve">          6112 - COMPENSATION INSURANCE</v>
      </c>
      <c r="C29" s="11"/>
      <c r="D29" s="6">
        <v>11345</v>
      </c>
      <c r="E29" s="2"/>
      <c r="F29" s="7">
        <f t="shared" si="12"/>
        <v>9.919257246017419E-3</v>
      </c>
      <c r="G29" s="2"/>
      <c r="H29" s="6">
        <v>8605.0499999999993</v>
      </c>
      <c r="I29" s="2"/>
      <c r="J29" s="7">
        <f t="shared" si="13"/>
        <v>1.0174388959368241E-2</v>
      </c>
      <c r="K29" s="2"/>
      <c r="L29" s="6">
        <f t="shared" si="14"/>
        <v>2739.9500000000007</v>
      </c>
      <c r="M29" s="2"/>
      <c r="N29" s="7">
        <f t="shared" si="15"/>
        <v>0.31841186280149458</v>
      </c>
      <c r="O29" s="11"/>
      <c r="P29" s="6">
        <v>34732.239999999998</v>
      </c>
      <c r="Q29" s="2"/>
      <c r="R29" s="7">
        <f t="shared" si="16"/>
        <v>6.5660133692349047E-3</v>
      </c>
      <c r="S29" s="2"/>
      <c r="T29" s="6">
        <v>42010.87</v>
      </c>
      <c r="U29" s="2"/>
      <c r="V29" s="7">
        <f t="shared" si="17"/>
        <v>8.4611286739505135E-3</v>
      </c>
      <c r="W29" s="2"/>
      <c r="X29" s="6">
        <f t="shared" si="18"/>
        <v>-7278.6300000000047</v>
      </c>
      <c r="Y29" s="2"/>
      <c r="Z29" s="7">
        <f t="shared" si="19"/>
        <v>-0.17325587401546325</v>
      </c>
    </row>
    <row r="30" spans="1:26" s="24" customFormat="1" hidden="1" outlineLevel="2" x14ac:dyDescent="0.25">
      <c r="A30" s="26"/>
      <c r="B30" s="11" t="str">
        <f>CONCATENATE("          ", "6113", " - ", "GROUP INSURANCE")</f>
        <v xml:space="preserve">          6113 - GROUP INSURANCE</v>
      </c>
      <c r="C30" s="11"/>
      <c r="D30" s="6">
        <v>47638.21</v>
      </c>
      <c r="E30" s="2"/>
      <c r="F30" s="7">
        <f t="shared" si="12"/>
        <v>4.1651446428364873E-2</v>
      </c>
      <c r="G30" s="2"/>
      <c r="H30" s="6">
        <v>49320.19</v>
      </c>
      <c r="I30" s="2"/>
      <c r="J30" s="7">
        <f t="shared" si="13"/>
        <v>5.8314919333408169E-2</v>
      </c>
      <c r="K30" s="2"/>
      <c r="L30" s="6">
        <f t="shared" si="14"/>
        <v>-1681.9800000000032</v>
      </c>
      <c r="M30" s="2"/>
      <c r="N30" s="7">
        <f t="shared" si="15"/>
        <v>-3.4103274946832185E-2</v>
      </c>
      <c r="O30" s="11"/>
      <c r="P30" s="6">
        <v>228420.05000000002</v>
      </c>
      <c r="Q30" s="2"/>
      <c r="R30" s="7">
        <f t="shared" si="16"/>
        <v>4.3182043602753684E-2</v>
      </c>
      <c r="S30" s="2"/>
      <c r="T30" s="6">
        <v>220185.4</v>
      </c>
      <c r="U30" s="2"/>
      <c r="V30" s="7">
        <f t="shared" si="17"/>
        <v>4.4346070469982249E-2</v>
      </c>
      <c r="W30" s="2"/>
      <c r="X30" s="6">
        <f t="shared" si="18"/>
        <v>8234.6500000000233</v>
      </c>
      <c r="Y30" s="2"/>
      <c r="Z30" s="7">
        <f t="shared" si="19"/>
        <v>3.7398710359542564E-2</v>
      </c>
    </row>
    <row r="31" spans="1:26" s="24" customFormat="1" hidden="1" outlineLevel="2" x14ac:dyDescent="0.25">
      <c r="A31" s="26"/>
      <c r="B31" s="11" t="str">
        <f>CONCATENATE("          ", "6114", " - ", "STATE UNEMPLOYMENT INSURANCE")</f>
        <v xml:space="preserve">          6114 - STATE UNEMPLOYMENT INSURANCE</v>
      </c>
      <c r="C31" s="11"/>
      <c r="D31" s="6">
        <v>764.12</v>
      </c>
      <c r="E31" s="2"/>
      <c r="F31" s="7">
        <f t="shared" si="12"/>
        <v>6.6809192127164664E-4</v>
      </c>
      <c r="G31" s="2"/>
      <c r="H31" s="6">
        <v>644.17999999999995</v>
      </c>
      <c r="I31" s="2"/>
      <c r="J31" s="7">
        <f t="shared" si="13"/>
        <v>7.6166180090131181E-4</v>
      </c>
      <c r="K31" s="2"/>
      <c r="L31" s="6">
        <f t="shared" si="14"/>
        <v>119.94000000000005</v>
      </c>
      <c r="M31" s="2"/>
      <c r="N31" s="7">
        <f t="shared" si="15"/>
        <v>0.18619019528703168</v>
      </c>
      <c r="O31" s="11"/>
      <c r="P31" s="6">
        <v>3313.07</v>
      </c>
      <c r="Q31" s="2"/>
      <c r="R31" s="7">
        <f t="shared" si="16"/>
        <v>6.2632476089106515E-4</v>
      </c>
      <c r="S31" s="2"/>
      <c r="T31" s="6">
        <v>3137.98</v>
      </c>
      <c r="U31" s="2"/>
      <c r="V31" s="7">
        <f t="shared" si="17"/>
        <v>6.3199958858941099E-4</v>
      </c>
      <c r="W31" s="2"/>
      <c r="X31" s="6">
        <f t="shared" si="18"/>
        <v>175.09000000000015</v>
      </c>
      <c r="Y31" s="2"/>
      <c r="Z31" s="7">
        <f t="shared" si="19"/>
        <v>5.5797041408804433E-2</v>
      </c>
    </row>
    <row r="32" spans="1:26" s="24" customFormat="1" hidden="1" outlineLevel="2" x14ac:dyDescent="0.25">
      <c r="A32" s="26"/>
      <c r="B32" s="11" t="str">
        <f>CONCATENATE("          ", "6115", " - ", "P.E.R.S.")</f>
        <v xml:space="preserve">          6115 - P.E.R.S.</v>
      </c>
      <c r="C32" s="11"/>
      <c r="D32" s="6">
        <v>3962.54</v>
      </c>
      <c r="E32" s="2"/>
      <c r="F32" s="7">
        <f t="shared" si="12"/>
        <v>3.4645617988218482E-3</v>
      </c>
      <c r="G32" s="2"/>
      <c r="H32" s="6">
        <v>3594.01</v>
      </c>
      <c r="I32" s="2"/>
      <c r="J32" s="7">
        <f t="shared" si="13"/>
        <v>4.2494646357498275E-3</v>
      </c>
      <c r="K32" s="2"/>
      <c r="L32" s="6">
        <f t="shared" si="14"/>
        <v>368.52999999999975</v>
      </c>
      <c r="M32" s="2"/>
      <c r="N32" s="7">
        <f t="shared" si="15"/>
        <v>0.10254005971046261</v>
      </c>
      <c r="O32" s="11"/>
      <c r="P32" s="6">
        <v>21913.129999999997</v>
      </c>
      <c r="Q32" s="2"/>
      <c r="R32" s="7">
        <f t="shared" si="16"/>
        <v>4.1426036599361993E-3</v>
      </c>
      <c r="S32" s="2"/>
      <c r="T32" s="6">
        <v>21314.94</v>
      </c>
      <c r="U32" s="2"/>
      <c r="V32" s="7">
        <f t="shared" si="17"/>
        <v>4.292899671383495E-3</v>
      </c>
      <c r="W32" s="2"/>
      <c r="X32" s="6">
        <f t="shared" si="18"/>
        <v>598.18999999999869</v>
      </c>
      <c r="Y32" s="2"/>
      <c r="Z32" s="7">
        <f t="shared" si="19"/>
        <v>2.8064352984338625E-2</v>
      </c>
    </row>
    <row r="33" spans="1:26" s="24" customFormat="1" hidden="1" outlineLevel="2" x14ac:dyDescent="0.25">
      <c r="A33" s="26"/>
      <c r="B33" s="11" t="str">
        <f>CONCATENATE("          ", "6117", " - ", "RETIREMENT STAFF HOURLY")</f>
        <v xml:space="preserve">          6117 - RETIREMENT STAFF HOURLY</v>
      </c>
      <c r="C33" s="11"/>
      <c r="D33" s="6">
        <v>1771.39</v>
      </c>
      <c r="E33" s="2"/>
      <c r="F33" s="7">
        <f t="shared" si="12"/>
        <v>1.5487768261809429E-3</v>
      </c>
      <c r="G33" s="2"/>
      <c r="H33" s="6">
        <v>1459.27</v>
      </c>
      <c r="I33" s="2"/>
      <c r="J33" s="7">
        <f t="shared" si="13"/>
        <v>1.7254031733385969E-3</v>
      </c>
      <c r="K33" s="2"/>
      <c r="L33" s="6">
        <f t="shared" si="14"/>
        <v>312.12000000000012</v>
      </c>
      <c r="M33" s="2"/>
      <c r="N33" s="7">
        <f t="shared" si="15"/>
        <v>0.21388776580070865</v>
      </c>
      <c r="O33" s="11"/>
      <c r="P33" s="6">
        <v>8264.41</v>
      </c>
      <c r="Q33" s="2"/>
      <c r="R33" s="7">
        <f t="shared" si="16"/>
        <v>1.562358965296757E-3</v>
      </c>
      <c r="S33" s="2"/>
      <c r="T33" s="6">
        <v>7805.22</v>
      </c>
      <c r="U33" s="2"/>
      <c r="V33" s="7">
        <f t="shared" si="17"/>
        <v>1.5719972175889721E-3</v>
      </c>
      <c r="W33" s="2"/>
      <c r="X33" s="6">
        <f t="shared" si="18"/>
        <v>459.1899999999996</v>
      </c>
      <c r="Y33" s="2"/>
      <c r="Z33" s="7">
        <f t="shared" si="19"/>
        <v>5.8831141210625659E-2</v>
      </c>
    </row>
    <row r="34" spans="1:26" s="24" customFormat="1" hidden="1" outlineLevel="2" x14ac:dyDescent="0.25">
      <c r="A34" s="26"/>
      <c r="B34" s="11" t="str">
        <f>CONCATENATE("          ", "6118", " - ", "VACATION")</f>
        <v xml:space="preserve">          6118 - VACATION</v>
      </c>
      <c r="C34" s="11"/>
      <c r="D34" s="6">
        <v>7791.66</v>
      </c>
      <c r="E34" s="2"/>
      <c r="F34" s="7">
        <f t="shared" si="12"/>
        <v>6.8124706843106292E-3</v>
      </c>
      <c r="G34" s="2"/>
      <c r="H34" s="6">
        <v>7479.24</v>
      </c>
      <c r="I34" s="2"/>
      <c r="J34" s="7">
        <f t="shared" si="13"/>
        <v>8.8432602809356501E-3</v>
      </c>
      <c r="K34" s="2"/>
      <c r="L34" s="6">
        <f t="shared" si="14"/>
        <v>312.42000000000007</v>
      </c>
      <c r="M34" s="2"/>
      <c r="N34" s="7">
        <f t="shared" si="15"/>
        <v>4.177162385483018E-2</v>
      </c>
      <c r="O34" s="11"/>
      <c r="P34" s="6">
        <v>45496.5</v>
      </c>
      <c r="Q34" s="2"/>
      <c r="R34" s="7">
        <f t="shared" si="16"/>
        <v>8.6009605845576292E-3</v>
      </c>
      <c r="S34" s="2"/>
      <c r="T34" s="6">
        <v>43186.85</v>
      </c>
      <c r="U34" s="2"/>
      <c r="V34" s="7">
        <f t="shared" si="17"/>
        <v>8.6979749496404069E-3</v>
      </c>
      <c r="W34" s="2"/>
      <c r="X34" s="6">
        <f t="shared" si="18"/>
        <v>2309.6500000000015</v>
      </c>
      <c r="Y34" s="2"/>
      <c r="Z34" s="7">
        <f t="shared" si="19"/>
        <v>5.3480399705002832E-2</v>
      </c>
    </row>
    <row r="35" spans="1:26" s="24" customFormat="1" hidden="1" outlineLevel="2" x14ac:dyDescent="0.25">
      <c r="A35" s="26"/>
      <c r="B35" s="11" t="str">
        <f>CONCATENATE("          ", "6119", " - ", "SICK LEAVE")</f>
        <v xml:space="preserve">          6119 - SICK LEAVE</v>
      </c>
      <c r="C35" s="11"/>
      <c r="D35" s="6">
        <v>5258.52</v>
      </c>
      <c r="E35" s="2"/>
      <c r="F35" s="7">
        <f t="shared" si="12"/>
        <v>4.5976740954894249E-3</v>
      </c>
      <c r="G35" s="2"/>
      <c r="H35" s="6">
        <v>4750.8999999999996</v>
      </c>
      <c r="I35" s="2"/>
      <c r="J35" s="7">
        <f t="shared" si="13"/>
        <v>5.6173415037754082E-3</v>
      </c>
      <c r="K35" s="2"/>
      <c r="L35" s="6">
        <f t="shared" si="14"/>
        <v>507.6200000000008</v>
      </c>
      <c r="M35" s="2"/>
      <c r="N35" s="7">
        <f t="shared" si="15"/>
        <v>0.10684712370287752</v>
      </c>
      <c r="O35" s="11"/>
      <c r="P35" s="6">
        <v>35969.630000000005</v>
      </c>
      <c r="Q35" s="2"/>
      <c r="R35" s="7">
        <f t="shared" si="16"/>
        <v>6.799937794580279E-3</v>
      </c>
      <c r="S35" s="2"/>
      <c r="T35" s="6">
        <v>34242.310000000005</v>
      </c>
      <c r="U35" s="2"/>
      <c r="V35" s="7">
        <f t="shared" si="17"/>
        <v>6.8965149020551687E-3</v>
      </c>
      <c r="W35" s="2"/>
      <c r="X35" s="6">
        <f t="shared" si="18"/>
        <v>1727.3199999999997</v>
      </c>
      <c r="Y35" s="2"/>
      <c r="Z35" s="7">
        <f t="shared" si="19"/>
        <v>5.0444026702637743E-2</v>
      </c>
    </row>
    <row r="36" spans="1:26" s="24" customFormat="1" hidden="1" outlineLevel="2" x14ac:dyDescent="0.25">
      <c r="A36" s="26"/>
      <c r="B36" s="11" t="str">
        <f>CONCATENATE("          ", "6156", " - ", "EMPLOYEE MEALS")</f>
        <v xml:space="preserve">          6156 - EMPLOYEE MEALS</v>
      </c>
      <c r="C36" s="11"/>
      <c r="D36" s="6">
        <v>3682.72</v>
      </c>
      <c r="E36" s="2"/>
      <c r="F36" s="7">
        <f t="shared" si="12"/>
        <v>3.2199071877526018E-3</v>
      </c>
      <c r="G36" s="2"/>
      <c r="H36" s="6">
        <v>3283.58</v>
      </c>
      <c r="I36" s="2"/>
      <c r="J36" s="7">
        <f t="shared" si="13"/>
        <v>3.8824202182674555E-3</v>
      </c>
      <c r="K36" s="2"/>
      <c r="L36" s="6">
        <f t="shared" si="14"/>
        <v>399.13999999999987</v>
      </c>
      <c r="M36" s="2"/>
      <c r="N36" s="7">
        <f t="shared" si="15"/>
        <v>0.12155635008131366</v>
      </c>
      <c r="O36" s="11"/>
      <c r="P36" s="6">
        <v>17862.2</v>
      </c>
      <c r="Q36" s="2"/>
      <c r="R36" s="7">
        <f t="shared" si="16"/>
        <v>3.3767889431821191E-3</v>
      </c>
      <c r="S36" s="2"/>
      <c r="T36" s="6">
        <v>17477.25</v>
      </c>
      <c r="U36" s="2"/>
      <c r="V36" s="7">
        <f t="shared" si="17"/>
        <v>3.5199761660922898E-3</v>
      </c>
      <c r="W36" s="2"/>
      <c r="X36" s="6">
        <f t="shared" si="18"/>
        <v>384.95000000000073</v>
      </c>
      <c r="Y36" s="2"/>
      <c r="Z36" s="7">
        <f t="shared" si="19"/>
        <v>2.2025776366419243E-2</v>
      </c>
    </row>
    <row r="37" spans="1:26" s="25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258756.52000000002</v>
      </c>
      <c r="E37" s="1"/>
      <c r="F37" s="5">
        <f t="shared" ref="F37:F44" si="20">IF(D$12=0,0,D37/D$12)</f>
        <v>0.22623820942831657</v>
      </c>
      <c r="G37" s="1"/>
      <c r="H37" s="1">
        <f>SUM(OSRRefH22_1x_0)</f>
        <v>197428.89</v>
      </c>
      <c r="I37" s="1"/>
      <c r="J37" s="5">
        <f t="shared" ref="J37:J44" si="21">IF(H$12=0,0,H37/H$12)</f>
        <v>0.23343482242129066</v>
      </c>
      <c r="K37" s="1"/>
      <c r="L37" s="1">
        <f t="shared" ref="L37:L44" si="22">+D37-H37</f>
        <v>61327.630000000005</v>
      </c>
      <c r="M37" s="1"/>
      <c r="N37" s="5">
        <f t="shared" ref="N37:N44" si="23">IF(H37=0,0,L37/H37)</f>
        <v>0.31063148863370504</v>
      </c>
      <c r="O37" s="13"/>
      <c r="P37" s="1">
        <f>SUM(OSRRefP22_1x_0)</f>
        <v>1308578.6600000001</v>
      </c>
      <c r="Q37" s="1"/>
      <c r="R37" s="5">
        <f t="shared" ref="R37:R44" si="24">IF(P$12=0,0,P37/P$12)</f>
        <v>0.24738240252444121</v>
      </c>
      <c r="S37" s="1"/>
      <c r="T37" s="1">
        <f>SUM(OSRRefT22_1x_0)</f>
        <v>1139565.03</v>
      </c>
      <c r="U37" s="1"/>
      <c r="V37" s="5">
        <f t="shared" ref="V37:V44" si="25">IF(T$12=0,0,T37/T$12)</f>
        <v>0.22951217985164973</v>
      </c>
      <c r="W37" s="1"/>
      <c r="X37" s="1">
        <f t="shared" ref="X37:X44" si="26">+P37-T37</f>
        <v>169013.63000000012</v>
      </c>
      <c r="Y37" s="1"/>
      <c r="Z37" s="5">
        <f t="shared" ref="Z37:Z44" si="27">IF(T37=0,0,X37/T37)</f>
        <v>0.14831415983342355</v>
      </c>
    </row>
    <row r="38" spans="1:26" s="24" customFormat="1" hidden="1" outlineLevel="2" x14ac:dyDescent="0.25">
      <c r="A38" s="26"/>
      <c r="B38" s="11" t="str">
        <f>CONCATENATE("          ", "6001", " - ", "ADMINISTRATIVE SALARIES")</f>
        <v xml:space="preserve">          6001 - ADMINISTRATIVE SALARIES</v>
      </c>
      <c r="C38" s="11"/>
      <c r="D38" s="6">
        <v>8145.04</v>
      </c>
      <c r="E38" s="2"/>
      <c r="F38" s="7">
        <f t="shared" si="20"/>
        <v>7.1214409025210862E-3</v>
      </c>
      <c r="G38" s="2"/>
      <c r="H38" s="6">
        <v>5930.85</v>
      </c>
      <c r="I38" s="2"/>
      <c r="J38" s="7">
        <f t="shared" si="21"/>
        <v>7.0124839204501006E-3</v>
      </c>
      <c r="K38" s="2"/>
      <c r="L38" s="6">
        <f t="shared" si="22"/>
        <v>2214.1899999999996</v>
      </c>
      <c r="M38" s="2"/>
      <c r="N38" s="7">
        <f t="shared" si="23"/>
        <v>0.37333434499270751</v>
      </c>
      <c r="O38" s="11"/>
      <c r="P38" s="6">
        <v>38281.699999999997</v>
      </c>
      <c r="Q38" s="2"/>
      <c r="R38" s="7">
        <f t="shared" si="24"/>
        <v>7.2370268660195778E-3</v>
      </c>
      <c r="S38" s="2"/>
      <c r="T38" s="6">
        <v>39539</v>
      </c>
      <c r="U38" s="2"/>
      <c r="V38" s="7">
        <f t="shared" si="25"/>
        <v>7.9632858505270018E-3</v>
      </c>
      <c r="W38" s="2"/>
      <c r="X38" s="6">
        <f t="shared" si="26"/>
        <v>-1257.3000000000029</v>
      </c>
      <c r="Y38" s="2"/>
      <c r="Z38" s="7">
        <f t="shared" si="27"/>
        <v>-3.1798983282328913E-2</v>
      </c>
    </row>
    <row r="39" spans="1:26" s="24" customFormat="1" hidden="1" outlineLevel="2" x14ac:dyDescent="0.25">
      <c r="A39" s="26"/>
      <c r="B39" s="11" t="str">
        <f>CONCATENATE("          ", "6002", " - ", "STAFF SALARIES")</f>
        <v xml:space="preserve">          6002 - STAFF SALARIES</v>
      </c>
      <c r="C39" s="11"/>
      <c r="D39" s="6">
        <v>36788.339999999997</v>
      </c>
      <c r="E39" s="2"/>
      <c r="F39" s="7">
        <f t="shared" si="20"/>
        <v>3.2165095470599599E-2</v>
      </c>
      <c r="G39" s="2"/>
      <c r="H39" s="6">
        <v>33019.910000000003</v>
      </c>
      <c r="I39" s="2"/>
      <c r="J39" s="7">
        <f t="shared" si="21"/>
        <v>3.9041889093419914E-2</v>
      </c>
      <c r="K39" s="2"/>
      <c r="L39" s="6">
        <f t="shared" si="22"/>
        <v>3768.429999999993</v>
      </c>
      <c r="M39" s="2"/>
      <c r="N39" s="7">
        <f t="shared" si="23"/>
        <v>0.11412599246939173</v>
      </c>
      <c r="O39" s="11"/>
      <c r="P39" s="6">
        <v>200926.82</v>
      </c>
      <c r="Q39" s="2"/>
      <c r="R39" s="7">
        <f t="shared" si="24"/>
        <v>3.7984540771279232E-2</v>
      </c>
      <c r="S39" s="2"/>
      <c r="T39" s="6">
        <v>187349.08000000002</v>
      </c>
      <c r="U39" s="2"/>
      <c r="V39" s="7">
        <f t="shared" si="25"/>
        <v>3.7732726621139925E-2</v>
      </c>
      <c r="W39" s="2"/>
      <c r="X39" s="6">
        <f t="shared" si="26"/>
        <v>13577.739999999991</v>
      </c>
      <c r="Y39" s="2"/>
      <c r="Z39" s="7">
        <f t="shared" si="27"/>
        <v>7.2472947291761403E-2</v>
      </c>
    </row>
    <row r="40" spans="1:26" s="24" customFormat="1" hidden="1" outlineLevel="2" x14ac:dyDescent="0.25">
      <c r="A40" s="26"/>
      <c r="B40" s="11" t="str">
        <f>CONCATENATE("          ", "6004", " - ", "STAFF HOURLY")</f>
        <v xml:space="preserve">          6004 - STAFF HOURLY</v>
      </c>
      <c r="C40" s="11"/>
      <c r="D40" s="6">
        <v>61622.700000000004</v>
      </c>
      <c r="E40" s="2"/>
      <c r="F40" s="7">
        <f t="shared" si="20"/>
        <v>5.3878485103054888E-2</v>
      </c>
      <c r="G40" s="2"/>
      <c r="H40" s="6">
        <v>51358.36</v>
      </c>
      <c r="I40" s="2"/>
      <c r="J40" s="7">
        <f t="shared" si="21"/>
        <v>6.0724798921012603E-2</v>
      </c>
      <c r="K40" s="2"/>
      <c r="L40" s="6">
        <f t="shared" si="22"/>
        <v>10264.340000000004</v>
      </c>
      <c r="M40" s="2"/>
      <c r="N40" s="7">
        <f t="shared" si="23"/>
        <v>0.19985723843206837</v>
      </c>
      <c r="O40" s="11"/>
      <c r="P40" s="6">
        <v>304417.78999999998</v>
      </c>
      <c r="Q40" s="2"/>
      <c r="R40" s="7">
        <f t="shared" si="24"/>
        <v>5.7549161210821514E-2</v>
      </c>
      <c r="S40" s="2"/>
      <c r="T40" s="6">
        <v>298455.94</v>
      </c>
      <c r="U40" s="2"/>
      <c r="V40" s="7">
        <f t="shared" si="25"/>
        <v>6.0110017046656111E-2</v>
      </c>
      <c r="W40" s="2"/>
      <c r="X40" s="6">
        <f t="shared" si="26"/>
        <v>5961.8499999999767</v>
      </c>
      <c r="Y40" s="2"/>
      <c r="Z40" s="7">
        <f t="shared" si="27"/>
        <v>1.997564531635717E-2</v>
      </c>
    </row>
    <row r="41" spans="1:26" s="24" customFormat="1" hidden="1" outlineLevel="2" x14ac:dyDescent="0.25">
      <c r="A41" s="26"/>
      <c r="B41" s="11" t="str">
        <f>CONCATENATE("          ", "6005", " - ", "TEMPORARY WAGES-HOURLY")</f>
        <v xml:space="preserve">          6005 - TEMPORARY WAGES-HOURLY</v>
      </c>
      <c r="C41" s="11"/>
      <c r="D41" s="6">
        <v>44648.61</v>
      </c>
      <c r="E41" s="2"/>
      <c r="F41" s="7">
        <f t="shared" si="20"/>
        <v>3.9037553835796018E-2</v>
      </c>
      <c r="G41" s="2"/>
      <c r="H41" s="6">
        <v>34222.639999999999</v>
      </c>
      <c r="I41" s="2"/>
      <c r="J41" s="7">
        <f t="shared" si="21"/>
        <v>4.0463965993972603E-2</v>
      </c>
      <c r="K41" s="2"/>
      <c r="L41" s="6">
        <f t="shared" si="22"/>
        <v>10425.970000000001</v>
      </c>
      <c r="M41" s="2"/>
      <c r="N41" s="7">
        <f t="shared" si="23"/>
        <v>0.30465124841333108</v>
      </c>
      <c r="O41" s="11"/>
      <c r="P41" s="6">
        <v>240670.9</v>
      </c>
      <c r="Q41" s="2"/>
      <c r="R41" s="7">
        <f t="shared" si="24"/>
        <v>4.5498025666809765E-2</v>
      </c>
      <c r="S41" s="2"/>
      <c r="T41" s="6">
        <v>188476.30000000002</v>
      </c>
      <c r="U41" s="2"/>
      <c r="V41" s="7">
        <f t="shared" si="25"/>
        <v>3.7959752470969992E-2</v>
      </c>
      <c r="W41" s="2"/>
      <c r="X41" s="6">
        <f t="shared" si="26"/>
        <v>52194.599999999977</v>
      </c>
      <c r="Y41" s="2"/>
      <c r="Z41" s="7">
        <f t="shared" si="27"/>
        <v>0.27692924786829948</v>
      </c>
    </row>
    <row r="42" spans="1:26" s="24" customFormat="1" hidden="1" outlineLevel="2" x14ac:dyDescent="0.25">
      <c r="A42" s="26"/>
      <c r="B42" s="11" t="str">
        <f>CONCATENATE("          ", "6006", " - ", "TEMPORARY PART TIME")</f>
        <v xml:space="preserve">          6006 - TEMPORARY PART TIME</v>
      </c>
      <c r="C42" s="11"/>
      <c r="D42" s="6">
        <v>3812</v>
      </c>
      <c r="E42" s="2"/>
      <c r="F42" s="7">
        <f t="shared" si="20"/>
        <v>3.3329403809447687E-3</v>
      </c>
      <c r="G42" s="2"/>
      <c r="H42" s="6">
        <v>352.5</v>
      </c>
      <c r="I42" s="2"/>
      <c r="J42" s="7">
        <f t="shared" si="21"/>
        <v>4.1678689934135246E-4</v>
      </c>
      <c r="K42" s="2"/>
      <c r="L42" s="6">
        <f t="shared" si="22"/>
        <v>3459.5</v>
      </c>
      <c r="M42" s="2"/>
      <c r="N42" s="7">
        <f t="shared" si="23"/>
        <v>9.8141843971631211</v>
      </c>
      <c r="O42" s="11"/>
      <c r="P42" s="6">
        <v>27338.289999999997</v>
      </c>
      <c r="Q42" s="2"/>
      <c r="R42" s="7">
        <f t="shared" si="24"/>
        <v>5.1682119446376301E-3</v>
      </c>
      <c r="S42" s="2"/>
      <c r="T42" s="6">
        <v>6291.07</v>
      </c>
      <c r="U42" s="2"/>
      <c r="V42" s="7">
        <f t="shared" si="25"/>
        <v>1.2670423813367791E-3</v>
      </c>
      <c r="W42" s="2"/>
      <c r="X42" s="6">
        <f t="shared" si="26"/>
        <v>21047.219999999998</v>
      </c>
      <c r="Y42" s="2"/>
      <c r="Z42" s="7">
        <f t="shared" si="27"/>
        <v>3.345570785255926</v>
      </c>
    </row>
    <row r="43" spans="1:26" s="24" customFormat="1" hidden="1" outlineLevel="2" x14ac:dyDescent="0.25">
      <c r="A43" s="26"/>
      <c r="B43" s="11" t="str">
        <f>CONCATENATE("          ", "6007", " - ", "STUDENT HOURLY")</f>
        <v xml:space="preserve">          6007 - STUDENT HOURLY</v>
      </c>
      <c r="C43" s="11"/>
      <c r="D43" s="6">
        <v>83054.83</v>
      </c>
      <c r="E43" s="2"/>
      <c r="F43" s="7">
        <f t="shared" si="20"/>
        <v>7.2617207958946231E-2</v>
      </c>
      <c r="G43" s="2"/>
      <c r="H43" s="6">
        <v>53939.5</v>
      </c>
      <c r="I43" s="2"/>
      <c r="J43" s="7">
        <f t="shared" si="21"/>
        <v>6.3776672218504624E-2</v>
      </c>
      <c r="K43" s="2"/>
      <c r="L43" s="6">
        <f t="shared" si="22"/>
        <v>29115.33</v>
      </c>
      <c r="M43" s="2"/>
      <c r="N43" s="7">
        <f t="shared" si="23"/>
        <v>0.53977752852733163</v>
      </c>
      <c r="O43" s="11"/>
      <c r="P43" s="6">
        <v>396207.66</v>
      </c>
      <c r="Q43" s="2"/>
      <c r="R43" s="7">
        <f t="shared" si="24"/>
        <v>7.4901727978191945E-2</v>
      </c>
      <c r="S43" s="2"/>
      <c r="T43" s="6">
        <v>330243.62</v>
      </c>
      <c r="U43" s="2"/>
      <c r="V43" s="7">
        <f t="shared" si="25"/>
        <v>6.6512161318516297E-2</v>
      </c>
      <c r="W43" s="2"/>
      <c r="X43" s="6">
        <f t="shared" si="26"/>
        <v>65964.039999999979</v>
      </c>
      <c r="Y43" s="2"/>
      <c r="Z43" s="7">
        <f t="shared" si="27"/>
        <v>0.19974357112485619</v>
      </c>
    </row>
    <row r="44" spans="1:26" s="24" customFormat="1" hidden="1" outlineLevel="2" x14ac:dyDescent="0.25">
      <c r="A44" s="26"/>
      <c r="B44" s="11" t="str">
        <f>CONCATENATE("          ", "6008", " - ", "STUDENT HOURLY-FICA EXEMPT")</f>
        <v xml:space="preserve">          6008 - STUDENT HOURLY-FICA EXEMPT</v>
      </c>
      <c r="C44" s="11"/>
      <c r="D44" s="6">
        <v>20685</v>
      </c>
      <c r="E44" s="2"/>
      <c r="F44" s="7">
        <f t="shared" si="20"/>
        <v>1.8085485776453972E-2</v>
      </c>
      <c r="G44" s="2"/>
      <c r="H44" s="6">
        <v>18605.129999999997</v>
      </c>
      <c r="I44" s="2"/>
      <c r="J44" s="7">
        <f t="shared" si="21"/>
        <v>2.1998225374589436E-2</v>
      </c>
      <c r="K44" s="2"/>
      <c r="L44" s="6">
        <f t="shared" si="22"/>
        <v>2079.8700000000026</v>
      </c>
      <c r="M44" s="2"/>
      <c r="N44" s="7">
        <f t="shared" si="23"/>
        <v>0.11179013530139284</v>
      </c>
      <c r="O44" s="11"/>
      <c r="P44" s="6">
        <v>100735.5</v>
      </c>
      <c r="Q44" s="2"/>
      <c r="R44" s="7">
        <f t="shared" si="24"/>
        <v>1.9043708086681502E-2</v>
      </c>
      <c r="S44" s="2"/>
      <c r="T44" s="6">
        <v>89210.01999999999</v>
      </c>
      <c r="U44" s="2"/>
      <c r="V44" s="7">
        <f t="shared" si="25"/>
        <v>1.7967194162503624E-2</v>
      </c>
      <c r="W44" s="2"/>
      <c r="X44" s="6">
        <f t="shared" si="26"/>
        <v>11525.48000000001</v>
      </c>
      <c r="Y44" s="2"/>
      <c r="Z44" s="7">
        <f t="shared" si="27"/>
        <v>0.12919490433922123</v>
      </c>
    </row>
    <row r="45" spans="1:26" s="25" customFormat="1" outlineLevel="1" collapsed="1" x14ac:dyDescent="0.25">
      <c r="A45" s="27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267.33</v>
      </c>
      <c r="E45" s="1"/>
      <c r="F45" s="5">
        <f t="shared" ref="F45:F68" si="28">IF(D$12=0,0,D45/D$12)</f>
        <v>2.3373424764899399E-4</v>
      </c>
      <c r="G45" s="1"/>
      <c r="H45" s="1">
        <f>SUM(OSRRefH22_2x_0)</f>
        <v>322.68</v>
      </c>
      <c r="I45" s="1"/>
      <c r="J45" s="5">
        <f t="shared" ref="J45:J68" si="29">IF(H$12=0,0,H45/H$12)</f>
        <v>3.8152850121834782E-4</v>
      </c>
      <c r="K45" s="1"/>
      <c r="L45" s="1">
        <f t="shared" ref="L45:L68" si="30">+D45-H45</f>
        <v>-55.350000000000023</v>
      </c>
      <c r="M45" s="1"/>
      <c r="N45" s="5">
        <f t="shared" ref="N45:N68" si="31">IF(H45=0,0,L45/H45)</f>
        <v>-0.17153216809222765</v>
      </c>
      <c r="O45" s="13"/>
      <c r="P45" s="1">
        <f>SUM(OSRRefP22_2x_0)</f>
        <v>7928.8</v>
      </c>
      <c r="Q45" s="1"/>
      <c r="R45" s="5">
        <f t="shared" ref="R45:R68" si="32">IF(P$12=0,0,P45/P$12)</f>
        <v>1.4989130215036436E-3</v>
      </c>
      <c r="S45" s="1"/>
      <c r="T45" s="1">
        <f>SUM(OSRRefT22_2x_0)</f>
        <v>10563.99</v>
      </c>
      <c r="U45" s="1"/>
      <c r="V45" s="5">
        <f t="shared" ref="V45:V68" si="33">IF(T$12=0,0,T45/T$12)</f>
        <v>2.1276226533829571E-3</v>
      </c>
      <c r="W45" s="1"/>
      <c r="X45" s="1">
        <f t="shared" ref="X45:X68" si="34">+P45-T45</f>
        <v>-2635.1899999999996</v>
      </c>
      <c r="Y45" s="1"/>
      <c r="Z45" s="5">
        <f t="shared" ref="Z45:Z68" si="35">IF(T45=0,0,X45/T45)</f>
        <v>-0.24945025506461097</v>
      </c>
    </row>
    <row r="46" spans="1:26" s="24" customFormat="1" hidden="1" outlineLevel="2" x14ac:dyDescent="0.25">
      <c r="A46" s="26"/>
      <c r="B46" s="11" t="str">
        <f>CONCATENATE("          ", "6362", " - ", "ADVERTISING EXPENSE")</f>
        <v xml:space="preserve">          6362 - ADVERTISING EXPENSE</v>
      </c>
      <c r="C46" s="11"/>
      <c r="D46" s="6">
        <v>267.33</v>
      </c>
      <c r="E46" s="2"/>
      <c r="F46" s="7">
        <f t="shared" si="28"/>
        <v>2.3373424764899399E-4</v>
      </c>
      <c r="G46" s="2"/>
      <c r="H46" s="6">
        <v>322.68</v>
      </c>
      <c r="I46" s="2"/>
      <c r="J46" s="7">
        <f t="shared" si="29"/>
        <v>3.8152850121834782E-4</v>
      </c>
      <c r="K46" s="2"/>
      <c r="L46" s="6">
        <f t="shared" si="30"/>
        <v>-55.350000000000023</v>
      </c>
      <c r="M46" s="2"/>
      <c r="N46" s="7">
        <f t="shared" si="31"/>
        <v>-0.17153216809222765</v>
      </c>
      <c r="O46" s="11"/>
      <c r="P46" s="6">
        <v>7928.8</v>
      </c>
      <c r="Q46" s="2"/>
      <c r="R46" s="7">
        <f t="shared" si="32"/>
        <v>1.4989130215036436E-3</v>
      </c>
      <c r="S46" s="2"/>
      <c r="T46" s="6">
        <v>10563.99</v>
      </c>
      <c r="U46" s="2"/>
      <c r="V46" s="7">
        <f t="shared" si="33"/>
        <v>2.1276226533829571E-3</v>
      </c>
      <c r="W46" s="2"/>
      <c r="X46" s="6">
        <f t="shared" si="34"/>
        <v>-2635.1899999999996</v>
      </c>
      <c r="Y46" s="2"/>
      <c r="Z46" s="7">
        <f t="shared" si="35"/>
        <v>-0.24945025506461097</v>
      </c>
    </row>
    <row r="47" spans="1:26" s="25" customFormat="1" outlineLevel="1" collapsed="1" x14ac:dyDescent="0.25">
      <c r="A47" s="27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-0.2</v>
      </c>
      <c r="E47" s="1"/>
      <c r="F47" s="5">
        <f t="shared" si="28"/>
        <v>-1.7486570728986198E-7</v>
      </c>
      <c r="G47" s="1"/>
      <c r="H47" s="1">
        <f>SUM(OSRRefH22_3x_0)</f>
        <v>-0.24</v>
      </c>
      <c r="I47" s="1"/>
      <c r="J47" s="5">
        <f t="shared" si="29"/>
        <v>-2.8376980380687827E-7</v>
      </c>
      <c r="K47" s="1"/>
      <c r="L47" s="1">
        <f t="shared" si="30"/>
        <v>3.999999999999998E-2</v>
      </c>
      <c r="M47" s="1"/>
      <c r="N47" s="5">
        <f t="shared" si="31"/>
        <v>-0.1666666666666666</v>
      </c>
      <c r="O47" s="13"/>
      <c r="P47" s="1">
        <f>SUM(OSRRefP22_3x_0)</f>
        <v>29.51</v>
      </c>
      <c r="Q47" s="1"/>
      <c r="R47" s="5">
        <f t="shared" si="32"/>
        <v>5.578766429292267E-6</v>
      </c>
      <c r="S47" s="1"/>
      <c r="T47" s="1">
        <f>SUM(OSRRefT22_3x_0)</f>
        <v>32.53</v>
      </c>
      <c r="U47" s="1"/>
      <c r="V47" s="5">
        <f t="shared" si="33"/>
        <v>6.5516499840067629E-6</v>
      </c>
      <c r="W47" s="1"/>
      <c r="X47" s="1">
        <f t="shared" si="34"/>
        <v>-3.0199999999999996</v>
      </c>
      <c r="Y47" s="1"/>
      <c r="Z47" s="5">
        <f t="shared" si="35"/>
        <v>-9.2837380879188428E-2</v>
      </c>
    </row>
    <row r="48" spans="1:26" s="24" customFormat="1" hidden="1" outlineLevel="2" x14ac:dyDescent="0.25">
      <c r="A48" s="26"/>
      <c r="B48" s="11" t="str">
        <f>CONCATENATE("          ", "6272", " - ", "CASH (OVER/SHORT)")</f>
        <v xml:space="preserve">          6272 - CASH (OVER/SHORT)</v>
      </c>
      <c r="C48" s="11"/>
      <c r="D48" s="6">
        <v>-0.2</v>
      </c>
      <c r="E48" s="2"/>
      <c r="F48" s="7">
        <f t="shared" si="28"/>
        <v>-1.7486570728986198E-7</v>
      </c>
      <c r="G48" s="2"/>
      <c r="H48" s="6">
        <v>-0.24</v>
      </c>
      <c r="I48" s="2"/>
      <c r="J48" s="7">
        <f t="shared" si="29"/>
        <v>-2.8376980380687827E-7</v>
      </c>
      <c r="K48" s="2"/>
      <c r="L48" s="6">
        <f t="shared" si="30"/>
        <v>3.999999999999998E-2</v>
      </c>
      <c r="M48" s="2"/>
      <c r="N48" s="7">
        <f t="shared" si="31"/>
        <v>-0.1666666666666666</v>
      </c>
      <c r="O48" s="11"/>
      <c r="P48" s="6">
        <v>29.51</v>
      </c>
      <c r="Q48" s="2"/>
      <c r="R48" s="7">
        <f t="shared" si="32"/>
        <v>5.578766429292267E-6</v>
      </c>
      <c r="S48" s="2"/>
      <c r="T48" s="6">
        <v>32.53</v>
      </c>
      <c r="U48" s="2"/>
      <c r="V48" s="7">
        <f t="shared" si="33"/>
        <v>6.5516499840067629E-6</v>
      </c>
      <c r="W48" s="2"/>
      <c r="X48" s="6">
        <f t="shared" si="34"/>
        <v>-3.0199999999999996</v>
      </c>
      <c r="Y48" s="2"/>
      <c r="Z48" s="7">
        <f t="shared" si="35"/>
        <v>-9.2837380879188428E-2</v>
      </c>
    </row>
    <row r="49" spans="1:26" s="25" customFormat="1" outlineLevel="1" collapsed="1" x14ac:dyDescent="0.25">
      <c r="A49" s="27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647.59</v>
      </c>
      <c r="E49" s="1"/>
      <c r="F49" s="5">
        <f t="shared" si="28"/>
        <v>5.6620641691920855E-4</v>
      </c>
      <c r="G49" s="1"/>
      <c r="H49" s="1">
        <f>SUM(OSRRefH22_4x_0)</f>
        <v>359.47</v>
      </c>
      <c r="I49" s="1"/>
      <c r="J49" s="5">
        <f t="shared" si="29"/>
        <v>4.2502804739357727E-4</v>
      </c>
      <c r="K49" s="1"/>
      <c r="L49" s="1">
        <f t="shared" si="30"/>
        <v>288.12</v>
      </c>
      <c r="M49" s="1"/>
      <c r="N49" s="5">
        <f t="shared" si="31"/>
        <v>0.80151333908253808</v>
      </c>
      <c r="O49" s="13"/>
      <c r="P49" s="1">
        <f>SUM(OSRRefP22_4x_0)</f>
        <v>2391.7199999999998</v>
      </c>
      <c r="Q49" s="1"/>
      <c r="R49" s="5">
        <f t="shared" si="32"/>
        <v>4.5214663653903421E-4</v>
      </c>
      <c r="S49" s="1"/>
      <c r="T49" s="1">
        <f>SUM(OSRRefT22_4x_0)</f>
        <v>2155.27</v>
      </c>
      <c r="U49" s="1"/>
      <c r="V49" s="5">
        <f t="shared" si="33"/>
        <v>4.3407853246327254E-4</v>
      </c>
      <c r="W49" s="1"/>
      <c r="X49" s="1">
        <f t="shared" si="34"/>
        <v>236.44999999999982</v>
      </c>
      <c r="Y49" s="1"/>
      <c r="Z49" s="5">
        <f t="shared" si="35"/>
        <v>0.10970783242934752</v>
      </c>
    </row>
    <row r="50" spans="1:26" s="24" customFormat="1" hidden="1" outlineLevel="2" x14ac:dyDescent="0.25">
      <c r="A50" s="26"/>
      <c r="B50" s="11" t="str">
        <f>CONCATENATE("          ", "6381", " - ", "BANK/CREDIT CARD FEES")</f>
        <v xml:space="preserve">          6381 - BANK/CREDIT CARD FEES</v>
      </c>
      <c r="C50" s="11"/>
      <c r="D50" s="6">
        <v>647.59</v>
      </c>
      <c r="E50" s="2"/>
      <c r="F50" s="7">
        <f t="shared" si="28"/>
        <v>5.6620641691920855E-4</v>
      </c>
      <c r="G50" s="2"/>
      <c r="H50" s="6">
        <v>359.47</v>
      </c>
      <c r="I50" s="2"/>
      <c r="J50" s="7">
        <f t="shared" si="29"/>
        <v>4.2502804739357727E-4</v>
      </c>
      <c r="K50" s="2"/>
      <c r="L50" s="6">
        <f t="shared" si="30"/>
        <v>288.12</v>
      </c>
      <c r="M50" s="2"/>
      <c r="N50" s="7">
        <f t="shared" si="31"/>
        <v>0.80151333908253808</v>
      </c>
      <c r="O50" s="11"/>
      <c r="P50" s="6">
        <v>2391.7199999999998</v>
      </c>
      <c r="Q50" s="2"/>
      <c r="R50" s="7">
        <f t="shared" si="32"/>
        <v>4.5214663653903421E-4</v>
      </c>
      <c r="S50" s="2"/>
      <c r="T50" s="6">
        <v>2155.27</v>
      </c>
      <c r="U50" s="2"/>
      <c r="V50" s="7">
        <f t="shared" si="33"/>
        <v>4.3407853246327254E-4</v>
      </c>
      <c r="W50" s="2"/>
      <c r="X50" s="6">
        <f t="shared" si="34"/>
        <v>236.44999999999982</v>
      </c>
      <c r="Y50" s="2"/>
      <c r="Z50" s="7">
        <f t="shared" si="35"/>
        <v>0.10970783242934752</v>
      </c>
    </row>
    <row r="51" spans="1:26" s="25" customFormat="1" outlineLevel="1" collapsed="1" x14ac:dyDescent="0.25">
      <c r="A51" s="27"/>
      <c r="B51" s="13" t="str">
        <f>CONCATENATE("     ","Donations                                         ")</f>
        <v xml:space="preserve">     Donations                                         </v>
      </c>
      <c r="C51" s="13"/>
      <c r="D51" s="1">
        <f>SUM(OSRRefD22_5x_0)</f>
        <v>16127.990000000002</v>
      </c>
      <c r="E51" s="1"/>
      <c r="F51" s="5">
        <f t="shared" si="28"/>
        <v>1.4101161892569105E-2</v>
      </c>
      <c r="G51" s="1"/>
      <c r="H51" s="1">
        <f>SUM(OSRRefH22_5x_0)</f>
        <v>11681.22</v>
      </c>
      <c r="I51" s="1"/>
      <c r="J51" s="5">
        <f t="shared" si="29"/>
        <v>1.3811572948437427E-2</v>
      </c>
      <c r="K51" s="1"/>
      <c r="L51" s="1">
        <f t="shared" si="30"/>
        <v>4446.7700000000023</v>
      </c>
      <c r="M51" s="1"/>
      <c r="N51" s="5">
        <f t="shared" si="31"/>
        <v>0.38067684711014793</v>
      </c>
      <c r="O51" s="13"/>
      <c r="P51" s="1">
        <f>SUM(OSRRefP22_5x_0)</f>
        <v>66243.740000000005</v>
      </c>
      <c r="Q51" s="1"/>
      <c r="R51" s="5">
        <f t="shared" si="32"/>
        <v>1.2523156654109297E-2</v>
      </c>
      <c r="S51" s="1"/>
      <c r="T51" s="1">
        <f>SUM(OSRRefT22_5x_0)</f>
        <v>56208.55</v>
      </c>
      <c r="U51" s="1"/>
      <c r="V51" s="5">
        <f t="shared" si="33"/>
        <v>1.1320588555442464E-2</v>
      </c>
      <c r="W51" s="1"/>
      <c r="X51" s="1">
        <f t="shared" si="34"/>
        <v>10035.190000000002</v>
      </c>
      <c r="Y51" s="1"/>
      <c r="Z51" s="5">
        <f t="shared" si="35"/>
        <v>0.17853493819000849</v>
      </c>
    </row>
    <row r="52" spans="1:26" s="24" customFormat="1" hidden="1" outlineLevel="2" x14ac:dyDescent="0.25">
      <c r="A52" s="26"/>
      <c r="B52" s="11" t="str">
        <f>CONCATENATE("          ", "6399", " - ", "DONATION-ON CAMPUS")</f>
        <v xml:space="preserve">          6399 - DONATION-ON CAMPUS</v>
      </c>
      <c r="C52" s="11"/>
      <c r="D52" s="6">
        <v>16127.990000000002</v>
      </c>
      <c r="E52" s="2"/>
      <c r="F52" s="7">
        <f t="shared" si="28"/>
        <v>1.4101161892569105E-2</v>
      </c>
      <c r="G52" s="2"/>
      <c r="H52" s="6">
        <v>11681.22</v>
      </c>
      <c r="I52" s="2"/>
      <c r="J52" s="7">
        <f t="shared" si="29"/>
        <v>1.3811572948437427E-2</v>
      </c>
      <c r="K52" s="2"/>
      <c r="L52" s="6">
        <f t="shared" si="30"/>
        <v>4446.7700000000023</v>
      </c>
      <c r="M52" s="2"/>
      <c r="N52" s="7">
        <f t="shared" si="31"/>
        <v>0.38067684711014793</v>
      </c>
      <c r="O52" s="11"/>
      <c r="P52" s="6">
        <v>66243.740000000005</v>
      </c>
      <c r="Q52" s="2"/>
      <c r="R52" s="7">
        <f t="shared" si="32"/>
        <v>1.2523156654109297E-2</v>
      </c>
      <c r="S52" s="2"/>
      <c r="T52" s="6">
        <v>56208.55</v>
      </c>
      <c r="U52" s="2"/>
      <c r="V52" s="7">
        <f t="shared" si="33"/>
        <v>1.1320588555442464E-2</v>
      </c>
      <c r="W52" s="2"/>
      <c r="X52" s="6">
        <f t="shared" si="34"/>
        <v>10035.190000000002</v>
      </c>
      <c r="Y52" s="2"/>
      <c r="Z52" s="7">
        <f t="shared" si="35"/>
        <v>0.17853493819000849</v>
      </c>
    </row>
    <row r="53" spans="1:26" s="25" customFormat="1" outlineLevel="1" collapsed="1" x14ac:dyDescent="0.25">
      <c r="A53" s="27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172.19</v>
      </c>
      <c r="E53" s="1"/>
      <c r="F53" s="5">
        <f t="shared" si="28"/>
        <v>1.5055063069120664E-4</v>
      </c>
      <c r="G53" s="1"/>
      <c r="H53" s="1">
        <f>SUM(OSRRefH22_6x_0)</f>
        <v>189.68</v>
      </c>
      <c r="I53" s="1"/>
      <c r="J53" s="5">
        <f t="shared" si="29"/>
        <v>2.2427273494203613E-4</v>
      </c>
      <c r="K53" s="1"/>
      <c r="L53" s="1">
        <f t="shared" si="30"/>
        <v>-17.490000000000009</v>
      </c>
      <c r="M53" s="1"/>
      <c r="N53" s="5">
        <f t="shared" si="31"/>
        <v>-9.2207929143821213E-2</v>
      </c>
      <c r="O53" s="13"/>
      <c r="P53" s="1">
        <f>SUM(OSRRefP22_6x_0)</f>
        <v>1054.8499999999999</v>
      </c>
      <c r="Q53" s="1"/>
      <c r="R53" s="5">
        <f t="shared" si="32"/>
        <v>1.9941585116702633E-4</v>
      </c>
      <c r="S53" s="1"/>
      <c r="T53" s="1">
        <f>SUM(OSRRefT22_6x_0)</f>
        <v>332.79</v>
      </c>
      <c r="U53" s="1"/>
      <c r="V53" s="5">
        <f t="shared" si="33"/>
        <v>6.7025010703277297E-5</v>
      </c>
      <c r="W53" s="1"/>
      <c r="X53" s="1">
        <f t="shared" si="34"/>
        <v>722.06</v>
      </c>
      <c r="Y53" s="1"/>
      <c r="Z53" s="5">
        <f t="shared" si="35"/>
        <v>2.1697166381201356</v>
      </c>
    </row>
    <row r="54" spans="1:26" s="24" customFormat="1" hidden="1" outlineLevel="2" x14ac:dyDescent="0.25">
      <c r="A54" s="26"/>
      <c r="B54" s="11" t="str">
        <f>CONCATENATE("          ", "6277", " - ", "EMPLOYEE APPRECIATION")</f>
        <v xml:space="preserve">          6277 - EMPLOYEE APPRECIATION</v>
      </c>
      <c r="C54" s="11"/>
      <c r="D54" s="6">
        <v>172.19</v>
      </c>
      <c r="E54" s="2"/>
      <c r="F54" s="7">
        <f t="shared" si="28"/>
        <v>1.5055063069120664E-4</v>
      </c>
      <c r="G54" s="2"/>
      <c r="H54" s="6">
        <v>189.68</v>
      </c>
      <c r="I54" s="2"/>
      <c r="J54" s="7">
        <f t="shared" si="29"/>
        <v>2.2427273494203613E-4</v>
      </c>
      <c r="K54" s="2"/>
      <c r="L54" s="6">
        <f t="shared" si="30"/>
        <v>-17.490000000000009</v>
      </c>
      <c r="M54" s="2"/>
      <c r="N54" s="7">
        <f t="shared" si="31"/>
        <v>-9.2207929143821213E-2</v>
      </c>
      <c r="O54" s="11"/>
      <c r="P54" s="6">
        <v>1054.8499999999999</v>
      </c>
      <c r="Q54" s="2"/>
      <c r="R54" s="7">
        <f t="shared" si="32"/>
        <v>1.9941585116702633E-4</v>
      </c>
      <c r="S54" s="2"/>
      <c r="T54" s="6">
        <v>332.79</v>
      </c>
      <c r="U54" s="2"/>
      <c r="V54" s="7">
        <f t="shared" si="33"/>
        <v>6.7025010703277297E-5</v>
      </c>
      <c r="W54" s="2"/>
      <c r="X54" s="6">
        <f t="shared" si="34"/>
        <v>722.06</v>
      </c>
      <c r="Y54" s="2"/>
      <c r="Z54" s="7">
        <f t="shared" si="35"/>
        <v>2.1697166381201356</v>
      </c>
    </row>
    <row r="55" spans="1:26" s="25" customFormat="1" outlineLevel="1" collapsed="1" x14ac:dyDescent="0.25">
      <c r="A55" s="27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SUM(OSRRefD22_7x_0)</f>
        <v>-2249.69</v>
      </c>
      <c r="E55" s="1"/>
      <c r="F55" s="5">
        <f t="shared" si="28"/>
        <v>-1.9669681651646479E-3</v>
      </c>
      <c r="G55" s="1"/>
      <c r="H55" s="1">
        <f>SUM(OSRRefH22_7x_0)</f>
        <v>623.47</v>
      </c>
      <c r="I55" s="1"/>
      <c r="J55" s="5">
        <f t="shared" si="29"/>
        <v>7.371748315811433E-4</v>
      </c>
      <c r="K55" s="1"/>
      <c r="L55" s="1">
        <f t="shared" si="30"/>
        <v>-2873.16</v>
      </c>
      <c r="M55" s="1"/>
      <c r="N55" s="5">
        <f t="shared" si="31"/>
        <v>-4.6083372094888286</v>
      </c>
      <c r="O55" s="13"/>
      <c r="P55" s="1">
        <f>SUM(OSRRefP22_7x_0)</f>
        <v>2589.1799999999998</v>
      </c>
      <c r="Q55" s="1"/>
      <c r="R55" s="5">
        <f t="shared" si="32"/>
        <v>4.8947578662809053E-4</v>
      </c>
      <c r="S55" s="1"/>
      <c r="T55" s="1">
        <f>SUM(OSRRefT22_7x_0)</f>
        <v>2624.69</v>
      </c>
      <c r="U55" s="1"/>
      <c r="V55" s="5">
        <f t="shared" si="33"/>
        <v>5.2862127871265631E-4</v>
      </c>
      <c r="W55" s="1"/>
      <c r="X55" s="1">
        <f t="shared" si="34"/>
        <v>-35.510000000000218</v>
      </c>
      <c r="Y55" s="1"/>
      <c r="Z55" s="5">
        <f t="shared" si="35"/>
        <v>-1.3529216783696443E-2</v>
      </c>
    </row>
    <row r="56" spans="1:26" s="24" customFormat="1" hidden="1" outlineLevel="2" x14ac:dyDescent="0.25">
      <c r="A56" s="26"/>
      <c r="B56" s="11" t="str">
        <f>CONCATENATE("          ", "6351", " - ", "EQUIPMENT RENTAL")</f>
        <v xml:space="preserve">          6351 - EQUIPMENT RENTAL</v>
      </c>
      <c r="C56" s="11"/>
      <c r="D56" s="6">
        <v>-2249.69</v>
      </c>
      <c r="E56" s="2"/>
      <c r="F56" s="7">
        <f t="shared" si="28"/>
        <v>-1.9669681651646479E-3</v>
      </c>
      <c r="G56" s="2"/>
      <c r="H56" s="6">
        <v>623.47</v>
      </c>
      <c r="I56" s="2"/>
      <c r="J56" s="7">
        <f t="shared" si="29"/>
        <v>7.371748315811433E-4</v>
      </c>
      <c r="K56" s="2"/>
      <c r="L56" s="6">
        <f t="shared" si="30"/>
        <v>-2873.16</v>
      </c>
      <c r="M56" s="2"/>
      <c r="N56" s="7">
        <f t="shared" si="31"/>
        <v>-4.6083372094888286</v>
      </c>
      <c r="O56" s="11"/>
      <c r="P56" s="6">
        <v>2589.1799999999998</v>
      </c>
      <c r="Q56" s="2"/>
      <c r="R56" s="7">
        <f t="shared" si="32"/>
        <v>4.8947578662809053E-4</v>
      </c>
      <c r="S56" s="2"/>
      <c r="T56" s="6">
        <v>2624.69</v>
      </c>
      <c r="U56" s="2"/>
      <c r="V56" s="7">
        <f t="shared" si="33"/>
        <v>5.2862127871265631E-4</v>
      </c>
      <c r="W56" s="2"/>
      <c r="X56" s="6">
        <f t="shared" si="34"/>
        <v>-35.510000000000218</v>
      </c>
      <c r="Y56" s="2"/>
      <c r="Z56" s="7">
        <f t="shared" si="35"/>
        <v>-1.3529216783696443E-2</v>
      </c>
    </row>
    <row r="57" spans="1:26" s="25" customFormat="1" outlineLevel="1" collapsed="1" x14ac:dyDescent="0.25">
      <c r="A57" s="27"/>
      <c r="B57" s="13" t="str">
        <f>CONCATENATE("     ","Freight out/Postage                               ")</f>
        <v xml:space="preserve">     Freight out/Postage                               </v>
      </c>
      <c r="C57" s="13"/>
      <c r="D57" s="1">
        <f>SUM(OSRRefD22_8x_0)</f>
        <v>0</v>
      </c>
      <c r="E57" s="1"/>
      <c r="F57" s="5">
        <f t="shared" si="28"/>
        <v>0</v>
      </c>
      <c r="G57" s="1"/>
      <c r="H57" s="1">
        <f>SUM(OSRRefH22_8x_0)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SUM(OSRRefP22_8x_0)</f>
        <v>0</v>
      </c>
      <c r="Q57" s="1"/>
      <c r="R57" s="5">
        <f t="shared" si="32"/>
        <v>0</v>
      </c>
      <c r="S57" s="1"/>
      <c r="T57" s="1">
        <f>SUM(OSRRefT22_8x_0)</f>
        <v>3.7</v>
      </c>
      <c r="U57" s="1"/>
      <c r="V57" s="5">
        <f t="shared" si="33"/>
        <v>7.4519228222640707E-7</v>
      </c>
      <c r="W57" s="1"/>
      <c r="X57" s="1">
        <f t="shared" si="34"/>
        <v>-3.7</v>
      </c>
      <c r="Y57" s="1"/>
      <c r="Z57" s="5">
        <f t="shared" si="35"/>
        <v>-1</v>
      </c>
    </row>
    <row r="58" spans="1:26" s="24" customFormat="1" hidden="1" outlineLevel="2" x14ac:dyDescent="0.25">
      <c r="A58" s="26"/>
      <c r="B58" s="11" t="str">
        <f>CONCATENATE("          ", "6307", " - ", "POSTAGE")</f>
        <v xml:space="preserve">          6307 - POSTAGE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3.7</v>
      </c>
      <c r="U58" s="2"/>
      <c r="V58" s="7">
        <f t="shared" si="33"/>
        <v>7.4519228222640707E-7</v>
      </c>
      <c r="W58" s="2"/>
      <c r="X58" s="6">
        <f t="shared" si="34"/>
        <v>-3.7</v>
      </c>
      <c r="Y58" s="2"/>
      <c r="Z58" s="7">
        <f t="shared" si="35"/>
        <v>-1</v>
      </c>
    </row>
    <row r="59" spans="1:26" s="25" customFormat="1" outlineLevel="1" collapsed="1" x14ac:dyDescent="0.25">
      <c r="A59" s="27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SUM(OSRRefD22_9x_0)</f>
        <v>94.5</v>
      </c>
      <c r="E59" s="1"/>
      <c r="F59" s="5">
        <f t="shared" si="28"/>
        <v>8.2624046694459782E-5</v>
      </c>
      <c r="G59" s="1"/>
      <c r="H59" s="1">
        <f>SUM(OSRRefH22_9x_0)</f>
        <v>214.46</v>
      </c>
      <c r="I59" s="1"/>
      <c r="J59" s="5">
        <f t="shared" si="29"/>
        <v>2.535719671850963E-4</v>
      </c>
      <c r="K59" s="1"/>
      <c r="L59" s="1">
        <f t="shared" si="30"/>
        <v>-119.96000000000001</v>
      </c>
      <c r="M59" s="1"/>
      <c r="N59" s="5">
        <f t="shared" si="31"/>
        <v>-0.55935838851067798</v>
      </c>
      <c r="O59" s="13"/>
      <c r="P59" s="1">
        <f>SUM(OSRRefP22_9x_0)</f>
        <v>6924.88</v>
      </c>
      <c r="Q59" s="1"/>
      <c r="R59" s="5">
        <f t="shared" si="32"/>
        <v>1.3091253158548774E-3</v>
      </c>
      <c r="S59" s="1"/>
      <c r="T59" s="1">
        <f>SUM(OSRRefT22_9x_0)</f>
        <v>7628.09</v>
      </c>
      <c r="U59" s="1"/>
      <c r="V59" s="5">
        <f t="shared" si="33"/>
        <v>1.5363226476022794E-3</v>
      </c>
      <c r="W59" s="1"/>
      <c r="X59" s="1">
        <f t="shared" si="34"/>
        <v>-703.21</v>
      </c>
      <c r="Y59" s="1"/>
      <c r="Z59" s="5">
        <f t="shared" si="35"/>
        <v>-9.2186903930079486E-2</v>
      </c>
    </row>
    <row r="60" spans="1:26" s="24" customFormat="1" hidden="1" outlineLevel="2" x14ac:dyDescent="0.25">
      <c r="A60" s="26"/>
      <c r="B60" s="11" t="str">
        <f>CONCATENATE("          ", "6279", " - ", "GENERAL EXPENSE")</f>
        <v xml:space="preserve">          6279 - GENERAL EXPENSE</v>
      </c>
      <c r="C60" s="11"/>
      <c r="D60" s="6">
        <v>94.5</v>
      </c>
      <c r="E60" s="2"/>
      <c r="F60" s="7">
        <f t="shared" si="28"/>
        <v>8.2624046694459782E-5</v>
      </c>
      <c r="G60" s="2"/>
      <c r="H60" s="6">
        <v>214.46</v>
      </c>
      <c r="I60" s="2"/>
      <c r="J60" s="7">
        <f t="shared" si="29"/>
        <v>2.535719671850963E-4</v>
      </c>
      <c r="K60" s="2"/>
      <c r="L60" s="6">
        <f t="shared" si="30"/>
        <v>-119.96000000000001</v>
      </c>
      <c r="M60" s="2"/>
      <c r="N60" s="7">
        <f t="shared" si="31"/>
        <v>-0.55935838851067798</v>
      </c>
      <c r="O60" s="11"/>
      <c r="P60" s="6">
        <v>6924.88</v>
      </c>
      <c r="Q60" s="2"/>
      <c r="R60" s="7">
        <f t="shared" si="32"/>
        <v>1.3091253158548774E-3</v>
      </c>
      <c r="S60" s="2"/>
      <c r="T60" s="6">
        <v>7628.09</v>
      </c>
      <c r="U60" s="2"/>
      <c r="V60" s="7">
        <f t="shared" si="33"/>
        <v>1.5363226476022794E-3</v>
      </c>
      <c r="W60" s="2"/>
      <c r="X60" s="6">
        <f t="shared" si="34"/>
        <v>-703.21</v>
      </c>
      <c r="Y60" s="2"/>
      <c r="Z60" s="7">
        <f t="shared" si="35"/>
        <v>-9.2186903930079486E-2</v>
      </c>
    </row>
    <row r="61" spans="1:26" s="25" customFormat="1" outlineLevel="1" collapsed="1" x14ac:dyDescent="0.25">
      <c r="A61" s="27"/>
      <c r="B61" s="13" t="str">
        <f>CONCATENATE("     ","Insurance                                         ")</f>
        <v xml:space="preserve">     Insurance                                         </v>
      </c>
      <c r="C61" s="13"/>
      <c r="D61" s="1">
        <f>SUM(OSRRefD22_10x_0)</f>
        <v>5.9</v>
      </c>
      <c r="E61" s="1"/>
      <c r="F61" s="5">
        <f t="shared" si="28"/>
        <v>5.1585383650509278E-6</v>
      </c>
      <c r="G61" s="1"/>
      <c r="H61" s="1">
        <f>SUM(OSRRefH22_10x_0)</f>
        <v>4.93</v>
      </c>
      <c r="I61" s="1"/>
      <c r="J61" s="5">
        <f t="shared" si="29"/>
        <v>5.8291047198662908E-6</v>
      </c>
      <c r="K61" s="1"/>
      <c r="L61" s="1">
        <f t="shared" si="30"/>
        <v>0.97000000000000064</v>
      </c>
      <c r="M61" s="1"/>
      <c r="N61" s="5">
        <f t="shared" si="31"/>
        <v>0.19675456389452348</v>
      </c>
      <c r="O61" s="13"/>
      <c r="P61" s="1">
        <f>SUM(OSRRefP22_10x_0)</f>
        <v>29.5</v>
      </c>
      <c r="Q61" s="1"/>
      <c r="R61" s="5">
        <f t="shared" si="32"/>
        <v>5.5768759628641775E-6</v>
      </c>
      <c r="S61" s="1"/>
      <c r="T61" s="1">
        <f>SUM(OSRRefT22_10x_0)</f>
        <v>24.65</v>
      </c>
      <c r="U61" s="1"/>
      <c r="V61" s="5">
        <f t="shared" si="33"/>
        <v>4.9645918261840362E-6</v>
      </c>
      <c r="W61" s="1"/>
      <c r="X61" s="1">
        <f t="shared" si="34"/>
        <v>4.8500000000000014</v>
      </c>
      <c r="Y61" s="1"/>
      <c r="Z61" s="5">
        <f t="shared" si="35"/>
        <v>0.19675456389452339</v>
      </c>
    </row>
    <row r="62" spans="1:26" s="24" customFormat="1" hidden="1" outlineLevel="2" x14ac:dyDescent="0.25">
      <c r="A62" s="26"/>
      <c r="B62" s="11" t="str">
        <f>CONCATENATE("          ", "6314", " - ", "LIABILITY INSURANCE")</f>
        <v xml:space="preserve">          6314 - LIABILITY INSURANCE</v>
      </c>
      <c r="C62" s="11"/>
      <c r="D62" s="6">
        <v>5.9</v>
      </c>
      <c r="E62" s="2"/>
      <c r="F62" s="7">
        <f t="shared" si="28"/>
        <v>5.1585383650509278E-6</v>
      </c>
      <c r="G62" s="2"/>
      <c r="H62" s="6">
        <v>4.93</v>
      </c>
      <c r="I62" s="2"/>
      <c r="J62" s="7">
        <f t="shared" si="29"/>
        <v>5.8291047198662908E-6</v>
      </c>
      <c r="K62" s="2"/>
      <c r="L62" s="6">
        <f t="shared" si="30"/>
        <v>0.97000000000000064</v>
      </c>
      <c r="M62" s="2"/>
      <c r="N62" s="7">
        <f t="shared" si="31"/>
        <v>0.19675456389452348</v>
      </c>
      <c r="O62" s="11"/>
      <c r="P62" s="6">
        <v>29.5</v>
      </c>
      <c r="Q62" s="2"/>
      <c r="R62" s="7">
        <f t="shared" si="32"/>
        <v>5.5768759628641775E-6</v>
      </c>
      <c r="S62" s="2"/>
      <c r="T62" s="6">
        <v>24.65</v>
      </c>
      <c r="U62" s="2"/>
      <c r="V62" s="7">
        <f t="shared" si="33"/>
        <v>4.9645918261840362E-6</v>
      </c>
      <c r="W62" s="2"/>
      <c r="X62" s="6">
        <f t="shared" si="34"/>
        <v>4.8500000000000014</v>
      </c>
      <c r="Y62" s="2"/>
      <c r="Z62" s="7">
        <f t="shared" si="35"/>
        <v>0.19675456389452339</v>
      </c>
    </row>
    <row r="63" spans="1:26" s="25" customFormat="1" outlineLevel="1" collapsed="1" x14ac:dyDescent="0.25">
      <c r="A63" s="27"/>
      <c r="B63" s="13" t="str">
        <f>CONCATENATE("     ","R/H Commissions                                   ")</f>
        <v xml:space="preserve">     R/H Commissions                                   </v>
      </c>
      <c r="C63" s="13"/>
      <c r="D63" s="1">
        <f>SUM(OSRRefD22_11x_0)</f>
        <v>88207.73000000001</v>
      </c>
      <c r="E63" s="1"/>
      <c r="F63" s="5">
        <f t="shared" si="28"/>
        <v>7.7122535474415888E-2</v>
      </c>
      <c r="G63" s="1"/>
      <c r="H63" s="1">
        <f>SUM(OSRRefH22_11x_0)</f>
        <v>64000.460000000006</v>
      </c>
      <c r="I63" s="1"/>
      <c r="J63" s="5">
        <f t="shared" si="29"/>
        <v>7.5672491573958181E-2</v>
      </c>
      <c r="K63" s="1"/>
      <c r="L63" s="1">
        <f t="shared" si="30"/>
        <v>24207.270000000004</v>
      </c>
      <c r="M63" s="1"/>
      <c r="N63" s="5">
        <f t="shared" si="31"/>
        <v>0.37823587517964719</v>
      </c>
      <c r="O63" s="13"/>
      <c r="P63" s="1">
        <f>SUM(OSRRefP22_11x_0)</f>
        <v>406895.16</v>
      </c>
      <c r="Q63" s="1"/>
      <c r="R63" s="5">
        <f t="shared" si="32"/>
        <v>7.6922163973212651E-2</v>
      </c>
      <c r="S63" s="1"/>
      <c r="T63" s="1">
        <f>SUM(OSRRefT22_11x_0)</f>
        <v>377282.20999999996</v>
      </c>
      <c r="U63" s="1"/>
      <c r="V63" s="5">
        <f t="shared" si="33"/>
        <v>7.598588949008718E-2</v>
      </c>
      <c r="W63" s="1"/>
      <c r="X63" s="1">
        <f t="shared" si="34"/>
        <v>29612.950000000012</v>
      </c>
      <c r="Y63" s="1"/>
      <c r="Z63" s="5">
        <f t="shared" si="35"/>
        <v>7.8490183780465059E-2</v>
      </c>
    </row>
    <row r="64" spans="1:26" s="24" customFormat="1" hidden="1" outlineLevel="2" x14ac:dyDescent="0.25">
      <c r="A64" s="26"/>
      <c r="B64" s="11" t="str">
        <f>CONCATENATE("          ", "6387", " - ", "COMMISSION DUE HOUSING")</f>
        <v xml:space="preserve">          6387 - COMMISSION DUE HOUSING</v>
      </c>
      <c r="C64" s="11"/>
      <c r="D64" s="6">
        <v>88207.73000000001</v>
      </c>
      <c r="E64" s="2"/>
      <c r="F64" s="7">
        <f t="shared" si="28"/>
        <v>7.7122535474415888E-2</v>
      </c>
      <c r="G64" s="2"/>
      <c r="H64" s="6">
        <v>64000.460000000006</v>
      </c>
      <c r="I64" s="2"/>
      <c r="J64" s="7">
        <f t="shared" si="29"/>
        <v>7.5672491573958181E-2</v>
      </c>
      <c r="K64" s="2"/>
      <c r="L64" s="6">
        <f t="shared" si="30"/>
        <v>24207.270000000004</v>
      </c>
      <c r="M64" s="2"/>
      <c r="N64" s="7">
        <f t="shared" si="31"/>
        <v>0.37823587517964719</v>
      </c>
      <c r="O64" s="11"/>
      <c r="P64" s="6">
        <v>406895.16</v>
      </c>
      <c r="Q64" s="2"/>
      <c r="R64" s="7">
        <f t="shared" si="32"/>
        <v>7.6922163973212651E-2</v>
      </c>
      <c r="S64" s="2"/>
      <c r="T64" s="6">
        <v>377282.20999999996</v>
      </c>
      <c r="U64" s="2"/>
      <c r="V64" s="7">
        <f t="shared" si="33"/>
        <v>7.598588949008718E-2</v>
      </c>
      <c r="W64" s="2"/>
      <c r="X64" s="6">
        <f t="shared" si="34"/>
        <v>29612.950000000012</v>
      </c>
      <c r="Y64" s="2"/>
      <c r="Z64" s="7">
        <f t="shared" si="35"/>
        <v>7.8490183780465059E-2</v>
      </c>
    </row>
    <row r="65" spans="1:26" s="25" customFormat="1" outlineLevel="1" collapsed="1" x14ac:dyDescent="0.25">
      <c r="A65" s="27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SUM(OSRRefD22_12x_0)</f>
        <v>16550.36</v>
      </c>
      <c r="E65" s="1"/>
      <c r="F65" s="5">
        <f t="shared" si="28"/>
        <v>1.44704520365092E-2</v>
      </c>
      <c r="G65" s="1"/>
      <c r="H65" s="1">
        <f>SUM(OSRRefH22_12x_0)</f>
        <v>16859.91</v>
      </c>
      <c r="I65" s="1"/>
      <c r="J65" s="5">
        <f t="shared" si="29"/>
        <v>1.9934722303756772E-2</v>
      </c>
      <c r="K65" s="1"/>
      <c r="L65" s="1">
        <f t="shared" si="30"/>
        <v>-309.54999999999927</v>
      </c>
      <c r="M65" s="1"/>
      <c r="N65" s="5">
        <f t="shared" si="31"/>
        <v>-1.8360121732559621E-2</v>
      </c>
      <c r="O65" s="13"/>
      <c r="P65" s="1">
        <f>SUM(OSRRefP22_12x_0)</f>
        <v>23398.719999999998</v>
      </c>
      <c r="Q65" s="1"/>
      <c r="R65" s="5">
        <f t="shared" si="32"/>
        <v>4.4234494620267548E-3</v>
      </c>
      <c r="S65" s="1"/>
      <c r="T65" s="1">
        <f>SUM(OSRRefT22_12x_0)</f>
        <v>12632.630000000001</v>
      </c>
      <c r="U65" s="1"/>
      <c r="V65" s="5">
        <f t="shared" si="33"/>
        <v>2.5442536162761562E-3</v>
      </c>
      <c r="W65" s="1"/>
      <c r="X65" s="1">
        <f t="shared" si="34"/>
        <v>10766.089999999997</v>
      </c>
      <c r="Y65" s="1"/>
      <c r="Z65" s="5">
        <f t="shared" si="35"/>
        <v>0.85224454448519393</v>
      </c>
    </row>
    <row r="66" spans="1:26" s="24" customFormat="1" hidden="1" outlineLevel="2" x14ac:dyDescent="0.25">
      <c r="A66" s="26"/>
      <c r="B66" s="11" t="str">
        <f>CONCATENATE("          ", "6371", " - ", "COMPUTER SOFTWARE MAINTENANCE")</f>
        <v xml:space="preserve">          6371 - COMPUTER SOFTWARE MAINTENANCE</v>
      </c>
      <c r="C66" s="11"/>
      <c r="D66" s="6">
        <v>16477.5</v>
      </c>
      <c r="E66" s="2"/>
      <c r="F66" s="7">
        <f t="shared" si="28"/>
        <v>1.4406748459343503E-2</v>
      </c>
      <c r="G66" s="2"/>
      <c r="H66" s="6">
        <v>16648.939999999999</v>
      </c>
      <c r="I66" s="2"/>
      <c r="J66" s="7">
        <f t="shared" si="29"/>
        <v>1.9685276822468699E-2</v>
      </c>
      <c r="K66" s="2"/>
      <c r="L66" s="6">
        <f t="shared" si="30"/>
        <v>-171.43999999999869</v>
      </c>
      <c r="M66" s="2"/>
      <c r="N66" s="7">
        <f t="shared" si="31"/>
        <v>-1.0297352263867772E-2</v>
      </c>
      <c r="O66" s="11"/>
      <c r="P66" s="6">
        <v>22817.929999999997</v>
      </c>
      <c r="Q66" s="2"/>
      <c r="R66" s="7">
        <f t="shared" si="32"/>
        <v>4.3136530623497414E-3</v>
      </c>
      <c r="S66" s="2"/>
      <c r="T66" s="6">
        <v>10358.120000000001</v>
      </c>
      <c r="U66" s="2"/>
      <c r="V66" s="7">
        <f t="shared" si="33"/>
        <v>2.0861597519932413E-3</v>
      </c>
      <c r="W66" s="2"/>
      <c r="X66" s="6">
        <f t="shared" si="34"/>
        <v>12459.809999999996</v>
      </c>
      <c r="Y66" s="2"/>
      <c r="Z66" s="7">
        <f t="shared" si="35"/>
        <v>1.2029026502878897</v>
      </c>
    </row>
    <row r="67" spans="1:26" s="24" customFormat="1" hidden="1" outlineLevel="2" x14ac:dyDescent="0.25">
      <c r="A67" s="26"/>
      <c r="B67" s="11" t="str">
        <f>CONCATENATE("          ", "6373", " - ", "MAINTENANCE CONTRACTS")</f>
        <v xml:space="preserve">          6373 - MAINTENANCE CONTRACTS</v>
      </c>
      <c r="C67" s="11"/>
      <c r="D67" s="6">
        <v>9.73</v>
      </c>
      <c r="E67" s="2"/>
      <c r="F67" s="7">
        <f t="shared" si="28"/>
        <v>8.5072166596517843E-6</v>
      </c>
      <c r="G67" s="2"/>
      <c r="H67" s="6">
        <v>6.64</v>
      </c>
      <c r="I67" s="2"/>
      <c r="J67" s="7">
        <f t="shared" si="29"/>
        <v>7.8509645719902986E-6</v>
      </c>
      <c r="K67" s="2"/>
      <c r="L67" s="6">
        <f t="shared" si="30"/>
        <v>3.0900000000000007</v>
      </c>
      <c r="M67" s="2"/>
      <c r="N67" s="7">
        <f t="shared" si="31"/>
        <v>0.46536144578313265</v>
      </c>
      <c r="O67" s="11"/>
      <c r="P67" s="6">
        <v>260.39</v>
      </c>
      <c r="Q67" s="2"/>
      <c r="R67" s="7">
        <f t="shared" si="32"/>
        <v>4.922585532102383E-5</v>
      </c>
      <c r="S67" s="2"/>
      <c r="T67" s="6">
        <v>261.58</v>
      </c>
      <c r="U67" s="2"/>
      <c r="V67" s="7">
        <f t="shared" si="33"/>
        <v>5.2683080320211769E-5</v>
      </c>
      <c r="W67" s="2"/>
      <c r="X67" s="6">
        <f t="shared" si="34"/>
        <v>-1.1899999999999977</v>
      </c>
      <c r="Y67" s="2"/>
      <c r="Z67" s="7">
        <f t="shared" si="35"/>
        <v>-4.5492774676962984E-3</v>
      </c>
    </row>
    <row r="68" spans="1:26" s="24" customFormat="1" hidden="1" outlineLevel="2" x14ac:dyDescent="0.25">
      <c r="A68" s="26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63.13</v>
      </c>
      <c r="E68" s="2"/>
      <c r="F68" s="7">
        <f t="shared" si="28"/>
        <v>5.5196360506044929E-5</v>
      </c>
      <c r="G68" s="2"/>
      <c r="H68" s="6">
        <v>204.33</v>
      </c>
      <c r="I68" s="2"/>
      <c r="J68" s="7">
        <f t="shared" si="29"/>
        <v>2.4159451671608101E-4</v>
      </c>
      <c r="K68" s="2"/>
      <c r="L68" s="6">
        <f t="shared" si="30"/>
        <v>-141.20000000000002</v>
      </c>
      <c r="M68" s="2"/>
      <c r="N68" s="7">
        <f t="shared" si="31"/>
        <v>-0.69103900553026976</v>
      </c>
      <c r="O68" s="11"/>
      <c r="P68" s="6">
        <v>320.39999999999998</v>
      </c>
      <c r="Q68" s="2"/>
      <c r="R68" s="7">
        <f t="shared" si="32"/>
        <v>6.0570544355989231E-5</v>
      </c>
      <c r="S68" s="2"/>
      <c r="T68" s="6">
        <v>2012.93</v>
      </c>
      <c r="U68" s="2"/>
      <c r="V68" s="7">
        <f t="shared" si="33"/>
        <v>4.0541078396270311E-4</v>
      </c>
      <c r="W68" s="2"/>
      <c r="X68" s="6">
        <f t="shared" si="34"/>
        <v>-1692.5300000000002</v>
      </c>
      <c r="Y68" s="2"/>
      <c r="Z68" s="7">
        <f t="shared" si="35"/>
        <v>-0.84082904025475314</v>
      </c>
    </row>
    <row r="69" spans="1:26" s="25" customFormat="1" outlineLevel="1" collapsed="1" x14ac:dyDescent="0.25">
      <c r="A69" s="27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SUM(OSRRefD22_13x_0)</f>
        <v>17052.95</v>
      </c>
      <c r="E69" s="1"/>
      <c r="F69" s="5">
        <f t="shared" ref="F69:F72" si="36">IF(D$12=0,0,D69/D$12)</f>
        <v>1.4909880815643258E-2</v>
      </c>
      <c r="G69" s="1"/>
      <c r="H69" s="1">
        <f>SUM(OSRRefH22_13x_0)</f>
        <v>17664.43</v>
      </c>
      <c r="I69" s="1"/>
      <c r="J69" s="5">
        <f t="shared" ref="J69:J72" si="37">IF(H$12=0,0,H69/H$12)</f>
        <v>2.0885965981084727E-2</v>
      </c>
      <c r="K69" s="1"/>
      <c r="L69" s="1">
        <f t="shared" ref="L69:L72" si="38">+D69-H69</f>
        <v>-611.47999999999956</v>
      </c>
      <c r="M69" s="1"/>
      <c r="N69" s="5">
        <f t="shared" ref="N69:N72" si="39">IF(H69=0,0,L69/H69)</f>
        <v>-3.4616458045914844E-2</v>
      </c>
      <c r="O69" s="13"/>
      <c r="P69" s="1">
        <f>SUM(OSRRefP22_13x_0)</f>
        <v>95142.73000000001</v>
      </c>
      <c r="Q69" s="1"/>
      <c r="R69" s="5">
        <f t="shared" ref="R69:R72" si="40">IF(P$12=0,0,P69/P$12)</f>
        <v>1.7986413694178863E-2</v>
      </c>
      <c r="S69" s="1"/>
      <c r="T69" s="1">
        <f>SUM(OSRRefT22_13x_0)</f>
        <v>73703.040000000008</v>
      </c>
      <c r="U69" s="1"/>
      <c r="V69" s="5">
        <f t="shared" ref="V69:V72" si="41">IF(T$12=0,0,T69/T$12)</f>
        <v>1.4844036914763291E-2</v>
      </c>
      <c r="W69" s="1"/>
      <c r="X69" s="1">
        <f t="shared" ref="X69:X72" si="42">+P69-T69</f>
        <v>21439.690000000002</v>
      </c>
      <c r="Y69" s="1"/>
      <c r="Z69" s="5">
        <f t="shared" ref="Z69:Z72" si="43">IF(T69=0,0,X69/T69)</f>
        <v>0.29089288582940404</v>
      </c>
    </row>
    <row r="70" spans="1:26" s="24" customFormat="1" hidden="1" outlineLevel="2" x14ac:dyDescent="0.25">
      <c r="A70" s="26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1508.3</v>
      </c>
      <c r="E70" s="2"/>
      <c r="F70" s="7">
        <f t="shared" si="36"/>
        <v>1.3187497315264938E-3</v>
      </c>
      <c r="G70" s="2"/>
      <c r="H70" s="6">
        <v>1522.42</v>
      </c>
      <c r="I70" s="2"/>
      <c r="J70" s="7">
        <f t="shared" si="37"/>
        <v>1.8000701029652819E-3</v>
      </c>
      <c r="K70" s="2"/>
      <c r="L70" s="6">
        <f t="shared" si="38"/>
        <v>-14.120000000000118</v>
      </c>
      <c r="M70" s="2"/>
      <c r="N70" s="7">
        <f t="shared" si="39"/>
        <v>-9.2747073737865487E-3</v>
      </c>
      <c r="O70" s="11"/>
      <c r="P70" s="6">
        <v>7811.5</v>
      </c>
      <c r="Q70" s="2"/>
      <c r="R70" s="7">
        <f t="shared" si="40"/>
        <v>1.4767378503021532E-3</v>
      </c>
      <c r="S70" s="2"/>
      <c r="T70" s="6">
        <v>7555.62</v>
      </c>
      <c r="U70" s="2"/>
      <c r="V70" s="7">
        <f t="shared" si="41"/>
        <v>1.5217269490366177E-3</v>
      </c>
      <c r="W70" s="2"/>
      <c r="X70" s="6">
        <f t="shared" si="42"/>
        <v>255.88000000000011</v>
      </c>
      <c r="Y70" s="2"/>
      <c r="Z70" s="7">
        <f t="shared" si="43"/>
        <v>3.3866181729626438E-2</v>
      </c>
    </row>
    <row r="71" spans="1:26" s="24" customFormat="1" hidden="1" outlineLevel="2" x14ac:dyDescent="0.25">
      <c r="A71" s="26"/>
      <c r="B71" s="11" t="str">
        <f>CONCATENATE("          ", "6285", " - ", "JANITORIAL SERVICES")</f>
        <v xml:space="preserve">          6285 - JANITORIAL SERVICES</v>
      </c>
      <c r="C71" s="11"/>
      <c r="D71" s="6">
        <v>11438.01</v>
      </c>
      <c r="E71" s="2"/>
      <c r="F71" s="7">
        <f t="shared" si="36"/>
        <v>1.000057854319257E-2</v>
      </c>
      <c r="G71" s="2"/>
      <c r="H71" s="6">
        <v>12365.57</v>
      </c>
      <c r="I71" s="2"/>
      <c r="J71" s="7">
        <f t="shared" si="37"/>
        <v>1.4620730720250915E-2</v>
      </c>
      <c r="K71" s="2"/>
      <c r="L71" s="6">
        <f t="shared" si="38"/>
        <v>-927.55999999999949</v>
      </c>
      <c r="M71" s="2"/>
      <c r="N71" s="7">
        <f t="shared" si="39"/>
        <v>-7.5011503715558564E-2</v>
      </c>
      <c r="O71" s="11"/>
      <c r="P71" s="6">
        <v>62647.01</v>
      </c>
      <c r="Q71" s="2"/>
      <c r="R71" s="7">
        <f t="shared" si="40"/>
        <v>1.1843206922519042E-2</v>
      </c>
      <c r="S71" s="2"/>
      <c r="T71" s="6">
        <v>46444.76</v>
      </c>
      <c r="U71" s="2"/>
      <c r="V71" s="7">
        <f t="shared" si="41"/>
        <v>9.3541288383399302E-3</v>
      </c>
      <c r="W71" s="2"/>
      <c r="X71" s="6">
        <f t="shared" si="42"/>
        <v>16202.25</v>
      </c>
      <c r="Y71" s="2"/>
      <c r="Z71" s="7">
        <f t="shared" si="43"/>
        <v>0.34884990255090131</v>
      </c>
    </row>
    <row r="72" spans="1:26" s="24" customFormat="1" hidden="1" outlineLevel="2" x14ac:dyDescent="0.25">
      <c r="A72" s="26"/>
      <c r="B72" s="11" t="str">
        <f>CONCATENATE("          ", "6286", " - ", "LAUNDRY EXPENSE")</f>
        <v xml:space="preserve">          6286 - LAUNDRY EXPENSE</v>
      </c>
      <c r="C72" s="11"/>
      <c r="D72" s="6">
        <v>4106.6400000000003</v>
      </c>
      <c r="E72" s="2"/>
      <c r="F72" s="7">
        <f t="shared" si="36"/>
        <v>3.5905525409241938E-3</v>
      </c>
      <c r="G72" s="2"/>
      <c r="H72" s="6">
        <v>3776.44</v>
      </c>
      <c r="I72" s="2"/>
      <c r="J72" s="7">
        <f t="shared" si="37"/>
        <v>4.4651651578685309E-3</v>
      </c>
      <c r="K72" s="2"/>
      <c r="L72" s="6">
        <f t="shared" si="38"/>
        <v>330.20000000000027</v>
      </c>
      <c r="M72" s="2"/>
      <c r="N72" s="7">
        <f t="shared" si="39"/>
        <v>8.7436845282859055E-2</v>
      </c>
      <c r="O72" s="11"/>
      <c r="P72" s="6">
        <v>24684.22</v>
      </c>
      <c r="Q72" s="2"/>
      <c r="R72" s="7">
        <f t="shared" si="40"/>
        <v>4.6664689213576672E-3</v>
      </c>
      <c r="S72" s="2"/>
      <c r="T72" s="6">
        <v>19702.66</v>
      </c>
      <c r="U72" s="2"/>
      <c r="V72" s="7">
        <f t="shared" si="41"/>
        <v>3.9681811273867412E-3</v>
      </c>
      <c r="W72" s="2"/>
      <c r="X72" s="6">
        <f t="shared" si="42"/>
        <v>4981.5600000000013</v>
      </c>
      <c r="Y72" s="2"/>
      <c r="Z72" s="7">
        <f t="shared" si="43"/>
        <v>0.25283692658757756</v>
      </c>
    </row>
    <row r="73" spans="1:26" s="25" customFormat="1" outlineLevel="1" collapsed="1" x14ac:dyDescent="0.25">
      <c r="A73" s="27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SUM(OSRRefD22_14x_0)</f>
        <v>17665.93</v>
      </c>
      <c r="E73" s="1"/>
      <c r="F73" s="5">
        <f t="shared" ref="F73:F81" si="44">IF(D$12=0,0,D73/D$12)</f>
        <v>1.5445826721915955E-2</v>
      </c>
      <c r="G73" s="1"/>
      <c r="H73" s="1">
        <f>SUM(OSRRefH22_14x_0)</f>
        <v>12645.23</v>
      </c>
      <c r="I73" s="1"/>
      <c r="J73" s="5">
        <f t="shared" ref="J73:J81" si="45">IF(H$12=0,0,H73/H$12)</f>
        <v>1.495139348413688E-2</v>
      </c>
      <c r="K73" s="1"/>
      <c r="L73" s="1">
        <f t="shared" ref="L73:L81" si="46">+D73-H73</f>
        <v>5020.7000000000007</v>
      </c>
      <c r="M73" s="1"/>
      <c r="N73" s="5">
        <f t="shared" ref="N73:N81" si="47">IF(H73=0,0,L73/H73)</f>
        <v>0.39704299565923284</v>
      </c>
      <c r="O73" s="13"/>
      <c r="P73" s="1">
        <f>SUM(OSRRefP22_14x_0)</f>
        <v>124328.77</v>
      </c>
      <c r="Q73" s="1"/>
      <c r="R73" s="5">
        <f t="shared" ref="R73:R81" si="48">IF(P$12=0,0,P73/P$12)</f>
        <v>2.3503936573066739E-2</v>
      </c>
      <c r="S73" s="1"/>
      <c r="T73" s="1">
        <f>SUM(OSRRefT22_14x_0)</f>
        <v>113625.08</v>
      </c>
      <c r="U73" s="1"/>
      <c r="V73" s="5">
        <f t="shared" ref="V73:V81" si="49">IF(T$12=0,0,T73/T$12)</f>
        <v>2.2884468292799481E-2</v>
      </c>
      <c r="W73" s="1"/>
      <c r="X73" s="1">
        <f t="shared" ref="X73:X81" si="50">+P73-T73</f>
        <v>10703.690000000002</v>
      </c>
      <c r="Y73" s="1"/>
      <c r="Z73" s="5">
        <f t="shared" ref="Z73:Z81" si="51">IF(T73=0,0,X73/T73)</f>
        <v>9.4201825864501057E-2</v>
      </c>
    </row>
    <row r="74" spans="1:26" s="24" customFormat="1" hidden="1" outlineLevel="2" x14ac:dyDescent="0.25">
      <c r="A74" s="26"/>
      <c r="B74" s="11" t="str">
        <f>CONCATENATE("          ", "6234", " - ", "EXPENDABLE SUPPLIES &amp; EQUIPMEN")</f>
        <v xml:space="preserve">          6234 - EXPENDABLE SUPPLIES &amp; EQUIPMEN</v>
      </c>
      <c r="C74" s="11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1"/>
      <c r="P74" s="6">
        <v>100</v>
      </c>
      <c r="Q74" s="2"/>
      <c r="R74" s="7">
        <f t="shared" si="48"/>
        <v>1.8904664280895516E-5</v>
      </c>
      <c r="S74" s="2"/>
      <c r="T74" s="6">
        <v>30.98</v>
      </c>
      <c r="U74" s="2"/>
      <c r="V74" s="7">
        <f t="shared" si="49"/>
        <v>6.2394748387497543E-6</v>
      </c>
      <c r="W74" s="2"/>
      <c r="X74" s="6">
        <f t="shared" si="50"/>
        <v>69.02</v>
      </c>
      <c r="Y74" s="2"/>
      <c r="Z74" s="7">
        <f t="shared" si="51"/>
        <v>2.2278889606197545</v>
      </c>
    </row>
    <row r="75" spans="1:26" s="24" customFormat="1" hidden="1" outlineLevel="2" x14ac:dyDescent="0.25">
      <c r="A75" s="26"/>
      <c r="B75" s="11" t="str">
        <f>CONCATENATE("          ", "6237", " - ", "JANITORIAL SUPPLIES")</f>
        <v xml:space="preserve">          6237 - JANITORIAL SUPPLIES</v>
      </c>
      <c r="C75" s="11"/>
      <c r="D75" s="6">
        <v>8070.32</v>
      </c>
      <c r="E75" s="2"/>
      <c r="F75" s="7">
        <f t="shared" si="44"/>
        <v>7.056111074277594E-3</v>
      </c>
      <c r="G75" s="2"/>
      <c r="H75" s="6">
        <v>7128.45</v>
      </c>
      <c r="I75" s="2"/>
      <c r="J75" s="7">
        <f t="shared" si="45"/>
        <v>8.428495241446423E-3</v>
      </c>
      <c r="K75" s="2"/>
      <c r="L75" s="6">
        <f t="shared" si="46"/>
        <v>941.86999999999989</v>
      </c>
      <c r="M75" s="2"/>
      <c r="N75" s="7">
        <f t="shared" si="47"/>
        <v>0.1321283027867208</v>
      </c>
      <c r="O75" s="11"/>
      <c r="P75" s="6">
        <v>45216.72</v>
      </c>
      <c r="Q75" s="2"/>
      <c r="R75" s="7">
        <f t="shared" si="48"/>
        <v>8.5480691148325395E-3</v>
      </c>
      <c r="S75" s="2"/>
      <c r="T75" s="6">
        <v>48623.689999999995</v>
      </c>
      <c r="U75" s="2"/>
      <c r="V75" s="7">
        <f t="shared" si="49"/>
        <v>9.792972573343061E-3</v>
      </c>
      <c r="W75" s="2"/>
      <c r="X75" s="6">
        <f t="shared" si="50"/>
        <v>-3406.9699999999939</v>
      </c>
      <c r="Y75" s="2"/>
      <c r="Z75" s="7">
        <f t="shared" si="51"/>
        <v>-7.0068108775783872E-2</v>
      </c>
    </row>
    <row r="76" spans="1:26" s="24" customFormat="1" hidden="1" outlineLevel="2" x14ac:dyDescent="0.25">
      <c r="A76" s="26"/>
      <c r="B76" s="11" t="str">
        <f>CONCATENATE("          ", "6239", " - ", "KITCHEN SUPPLIES")</f>
        <v xml:space="preserve">          6239 - KITCHEN SUPPLIES</v>
      </c>
      <c r="C76" s="11"/>
      <c r="D76" s="6">
        <v>2302.39</v>
      </c>
      <c r="E76" s="2"/>
      <c r="F76" s="7">
        <f t="shared" si="44"/>
        <v>2.0130452790355262E-3</v>
      </c>
      <c r="G76" s="2"/>
      <c r="H76" s="6">
        <v>836.55</v>
      </c>
      <c r="I76" s="2"/>
      <c r="J76" s="7">
        <f t="shared" si="45"/>
        <v>9.8911512239434991E-4</v>
      </c>
      <c r="K76" s="2"/>
      <c r="L76" s="6">
        <f t="shared" si="46"/>
        <v>1465.84</v>
      </c>
      <c r="M76" s="2"/>
      <c r="N76" s="7">
        <f t="shared" si="47"/>
        <v>1.7522443368597214</v>
      </c>
      <c r="O76" s="11"/>
      <c r="P76" s="6">
        <v>21270.83</v>
      </c>
      <c r="Q76" s="2"/>
      <c r="R76" s="7">
        <f t="shared" si="48"/>
        <v>4.0211790012600083E-3</v>
      </c>
      <c r="S76" s="2"/>
      <c r="T76" s="6">
        <v>12247.55</v>
      </c>
      <c r="U76" s="2"/>
      <c r="V76" s="7">
        <f t="shared" si="49"/>
        <v>2.4666972259951435E-3</v>
      </c>
      <c r="W76" s="2"/>
      <c r="X76" s="6">
        <f t="shared" si="50"/>
        <v>9023.2800000000025</v>
      </c>
      <c r="Y76" s="2"/>
      <c r="Z76" s="7">
        <f t="shared" si="51"/>
        <v>0.73674163404109416</v>
      </c>
    </row>
    <row r="77" spans="1:26" s="24" customFormat="1" hidden="1" outlineLevel="2" x14ac:dyDescent="0.25">
      <c r="A77" s="26"/>
      <c r="B77" s="11" t="str">
        <f>CONCATENATE("          ", "6241", " - ", "OFFICE EXPENSE")</f>
        <v xml:space="preserve">          6241 - OFFICE EXPENSE</v>
      </c>
      <c r="C77" s="11"/>
      <c r="D77" s="6">
        <v>1545.58</v>
      </c>
      <c r="E77" s="2"/>
      <c r="F77" s="7">
        <f t="shared" si="44"/>
        <v>1.3513446993653241E-3</v>
      </c>
      <c r="G77" s="2"/>
      <c r="H77" s="6">
        <v>380.59</v>
      </c>
      <c r="I77" s="2"/>
      <c r="J77" s="7">
        <f t="shared" si="45"/>
        <v>4.4999979012858249E-4</v>
      </c>
      <c r="K77" s="2"/>
      <c r="L77" s="6">
        <f t="shared" si="46"/>
        <v>1164.99</v>
      </c>
      <c r="M77" s="2"/>
      <c r="N77" s="7">
        <f t="shared" si="47"/>
        <v>3.0610105362726294</v>
      </c>
      <c r="O77" s="11"/>
      <c r="P77" s="6">
        <v>26094.69</v>
      </c>
      <c r="Q77" s="2"/>
      <c r="R77" s="7">
        <f t="shared" si="48"/>
        <v>4.9331135396404142E-3</v>
      </c>
      <c r="S77" s="2"/>
      <c r="T77" s="6">
        <v>6757.77</v>
      </c>
      <c r="U77" s="2"/>
      <c r="V77" s="7">
        <f t="shared" si="49"/>
        <v>1.3610373105570669E-3</v>
      </c>
      <c r="W77" s="2"/>
      <c r="X77" s="6">
        <f t="shared" si="50"/>
        <v>19336.919999999998</v>
      </c>
      <c r="Y77" s="2"/>
      <c r="Z77" s="7">
        <f t="shared" si="51"/>
        <v>2.8614350591985223</v>
      </c>
    </row>
    <row r="78" spans="1:26" s="24" customFormat="1" hidden="1" outlineLevel="2" x14ac:dyDescent="0.25">
      <c r="A78" s="26"/>
      <c r="B78" s="11" t="str">
        <f>CONCATENATE("          ", "6243", " - ", "PAPER SUPPLIES")</f>
        <v xml:space="preserve">          6243 - PAPER SUPPLIES</v>
      </c>
      <c r="C78" s="11"/>
      <c r="D78" s="6">
        <v>5034.5600000000004</v>
      </c>
      <c r="E78" s="2"/>
      <c r="F78" s="7">
        <f t="shared" si="44"/>
        <v>4.4018594764662373E-3</v>
      </c>
      <c r="G78" s="2"/>
      <c r="H78" s="6">
        <v>5959.64</v>
      </c>
      <c r="I78" s="2"/>
      <c r="J78" s="7">
        <f t="shared" si="45"/>
        <v>7.0465244731651002E-3</v>
      </c>
      <c r="K78" s="2"/>
      <c r="L78" s="6">
        <f t="shared" si="46"/>
        <v>-925.07999999999993</v>
      </c>
      <c r="M78" s="2"/>
      <c r="N78" s="7">
        <f t="shared" si="47"/>
        <v>-0.15522414105549998</v>
      </c>
      <c r="O78" s="11"/>
      <c r="P78" s="6">
        <v>33521.03</v>
      </c>
      <c r="Q78" s="2"/>
      <c r="R78" s="7">
        <f t="shared" si="48"/>
        <v>6.3370381849982699E-3</v>
      </c>
      <c r="S78" s="2"/>
      <c r="T78" s="6">
        <v>36003.67</v>
      </c>
      <c r="U78" s="2"/>
      <c r="V78" s="7">
        <f t="shared" si="49"/>
        <v>7.2512586529260604E-3</v>
      </c>
      <c r="W78" s="2"/>
      <c r="X78" s="6">
        <f t="shared" si="50"/>
        <v>-2482.6399999999994</v>
      </c>
      <c r="Y78" s="2"/>
      <c r="Z78" s="7">
        <f t="shared" si="51"/>
        <v>-6.8955192623418649E-2</v>
      </c>
    </row>
    <row r="79" spans="1:26" s="24" customFormat="1" hidden="1" outlineLevel="2" x14ac:dyDescent="0.25">
      <c r="A79" s="26"/>
      <c r="B79" s="11" t="str">
        <f>CONCATENATE("          ", "6245", " - ", "PRINTING")</f>
        <v xml:space="preserve">          6245 - PRINTING</v>
      </c>
      <c r="C79" s="11"/>
      <c r="D79" s="6"/>
      <c r="E79" s="2"/>
      <c r="F79" s="7">
        <f t="shared" si="44"/>
        <v>0</v>
      </c>
      <c r="G79" s="2"/>
      <c r="H79" s="6"/>
      <c r="I79" s="2"/>
      <c r="J79" s="7">
        <f t="shared" si="45"/>
        <v>0</v>
      </c>
      <c r="K79" s="2"/>
      <c r="L79" s="6">
        <f t="shared" si="46"/>
        <v>0</v>
      </c>
      <c r="M79" s="2"/>
      <c r="N79" s="7">
        <f t="shared" si="47"/>
        <v>0</v>
      </c>
      <c r="O79" s="11"/>
      <c r="P79" s="6">
        <v>1351.44</v>
      </c>
      <c r="Q79" s="2"/>
      <c r="R79" s="7">
        <f t="shared" si="48"/>
        <v>2.5548519495773437E-4</v>
      </c>
      <c r="S79" s="2"/>
      <c r="T79" s="6">
        <v>1828.87</v>
      </c>
      <c r="U79" s="2"/>
      <c r="V79" s="7">
        <f t="shared" si="49"/>
        <v>3.6834048897173218E-4</v>
      </c>
      <c r="W79" s="2"/>
      <c r="X79" s="6">
        <f t="shared" si="50"/>
        <v>-477.42999999999984</v>
      </c>
      <c r="Y79" s="2"/>
      <c r="Z79" s="7">
        <f t="shared" si="51"/>
        <v>-0.26105190636841319</v>
      </c>
    </row>
    <row r="80" spans="1:26" s="24" customFormat="1" hidden="1" outlineLevel="2" x14ac:dyDescent="0.25">
      <c r="A80" s="26"/>
      <c r="B80" s="11" t="str">
        <f>CONCATENATE("          ", "6247", " - ", "STORE SUPPLIES")</f>
        <v xml:space="preserve">          6247 - STORE SUPPLIES</v>
      </c>
      <c r="C80" s="11"/>
      <c r="D80" s="6">
        <v>142.68</v>
      </c>
      <c r="E80" s="2"/>
      <c r="F80" s="7">
        <f t="shared" si="44"/>
        <v>1.2474919558058754E-4</v>
      </c>
      <c r="G80" s="2"/>
      <c r="H80" s="6">
        <v>-1660</v>
      </c>
      <c r="I80" s="2"/>
      <c r="J80" s="7">
        <f t="shared" si="45"/>
        <v>-1.9627411429975748E-3</v>
      </c>
      <c r="K80" s="2"/>
      <c r="L80" s="6">
        <f t="shared" si="46"/>
        <v>1802.68</v>
      </c>
      <c r="M80" s="2"/>
      <c r="N80" s="7">
        <f t="shared" si="47"/>
        <v>-1.0859518072289156</v>
      </c>
      <c r="O80" s="11"/>
      <c r="P80" s="6">
        <v>659.41</v>
      </c>
      <c r="Q80" s="2"/>
      <c r="R80" s="7">
        <f t="shared" si="48"/>
        <v>1.2465924673465311E-4</v>
      </c>
      <c r="S80" s="2"/>
      <c r="T80" s="6">
        <v>-2030.04</v>
      </c>
      <c r="U80" s="2"/>
      <c r="V80" s="7">
        <f t="shared" si="49"/>
        <v>-4.0885679475970144E-4</v>
      </c>
      <c r="W80" s="2"/>
      <c r="X80" s="6">
        <f t="shared" si="50"/>
        <v>2689.45</v>
      </c>
      <c r="Y80" s="2"/>
      <c r="Z80" s="7">
        <f t="shared" si="51"/>
        <v>-1.3248261118007527</v>
      </c>
    </row>
    <row r="81" spans="1:26" s="24" customFormat="1" hidden="1" outlineLevel="2" x14ac:dyDescent="0.25">
      <c r="A81" s="26"/>
      <c r="B81" s="11" t="str">
        <f>CONCATENATE("          ", "6248", " - ", "UNIFORMS")</f>
        <v xml:space="preserve">          6248 - UNIFORMS</v>
      </c>
      <c r="C81" s="11"/>
      <c r="D81" s="6">
        <v>570.4</v>
      </c>
      <c r="E81" s="2"/>
      <c r="F81" s="7">
        <f t="shared" si="44"/>
        <v>4.9871699719068632E-4</v>
      </c>
      <c r="G81" s="2"/>
      <c r="H81" s="6"/>
      <c r="I81" s="2"/>
      <c r="J81" s="7">
        <f t="shared" si="45"/>
        <v>0</v>
      </c>
      <c r="K81" s="2"/>
      <c r="L81" s="6">
        <f t="shared" si="46"/>
        <v>570.4</v>
      </c>
      <c r="M81" s="2"/>
      <c r="N81" s="7">
        <f t="shared" si="47"/>
        <v>0</v>
      </c>
      <c r="O81" s="11"/>
      <c r="P81" s="6">
        <v>-3885.35</v>
      </c>
      <c r="Q81" s="2"/>
      <c r="R81" s="7">
        <f t="shared" si="48"/>
        <v>-7.3451237363777392E-4</v>
      </c>
      <c r="S81" s="2"/>
      <c r="T81" s="6">
        <v>10162.59</v>
      </c>
      <c r="U81" s="2"/>
      <c r="V81" s="7">
        <f t="shared" si="49"/>
        <v>2.0467793609273682E-3</v>
      </c>
      <c r="W81" s="2"/>
      <c r="X81" s="6">
        <f t="shared" si="50"/>
        <v>-14047.94</v>
      </c>
      <c r="Y81" s="2"/>
      <c r="Z81" s="7">
        <f t="shared" si="51"/>
        <v>-1.3823188773727957</v>
      </c>
    </row>
    <row r="82" spans="1:26" s="25" customFormat="1" outlineLevel="1" collapsed="1" x14ac:dyDescent="0.25">
      <c r="A82" s="27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SUM(OSRRefD22_15x_0)</f>
        <v>740.1</v>
      </c>
      <c r="E82" s="1"/>
      <c r="F82" s="5">
        <f t="shared" ref="F82:F88" si="52">IF(D$12=0,0,D82/D$12)</f>
        <v>6.4709054982613418E-4</v>
      </c>
      <c r="G82" s="1"/>
      <c r="H82" s="1">
        <f>SUM(OSRRefH22_15x_0)</f>
        <v>742.05</v>
      </c>
      <c r="I82" s="1"/>
      <c r="J82" s="5">
        <f t="shared" ref="J82:J88" si="53">IF(H$12=0,0,H82/H$12)</f>
        <v>8.773807621453917E-4</v>
      </c>
      <c r="K82" s="1"/>
      <c r="L82" s="1">
        <f t="shared" ref="L82:L88" si="54">+D82-H82</f>
        <v>-1.9499999999999318</v>
      </c>
      <c r="M82" s="1"/>
      <c r="N82" s="5">
        <f t="shared" ref="N82:N88" si="55">IF(H82=0,0,L82/H82)</f>
        <v>-2.6278552658175755E-3</v>
      </c>
      <c r="O82" s="13"/>
      <c r="P82" s="1">
        <f>SUM(OSRRefP22_15x_0)</f>
        <v>2952.5</v>
      </c>
      <c r="Q82" s="1"/>
      <c r="R82" s="5">
        <f t="shared" ref="R82:R88" si="56">IF(P$12=0,0,P82/P$12)</f>
        <v>5.5816021289344011E-4</v>
      </c>
      <c r="S82" s="1"/>
      <c r="T82" s="1">
        <f>SUM(OSRRefT22_15x_0)</f>
        <v>3456.85</v>
      </c>
      <c r="U82" s="1"/>
      <c r="V82" s="5">
        <f t="shared" ref="V82:V88" si="57">IF(T$12=0,0,T82/T$12)</f>
        <v>6.9622106508496087E-4</v>
      </c>
      <c r="W82" s="1"/>
      <c r="X82" s="1">
        <f t="shared" ref="X82:X88" si="58">+P82-T82</f>
        <v>-504.34999999999991</v>
      </c>
      <c r="Y82" s="1"/>
      <c r="Z82" s="5">
        <f t="shared" ref="Z82:Z88" si="59">IF(T82=0,0,X82/T82)</f>
        <v>-0.14589872282569388</v>
      </c>
    </row>
    <row r="83" spans="1:26" s="24" customFormat="1" hidden="1" outlineLevel="2" x14ac:dyDescent="0.25">
      <c r="A83" s="26"/>
      <c r="B83" s="11" t="str">
        <f>CONCATENATE("          ", "6309", " - ", "TELEPHONE")</f>
        <v xml:space="preserve">          6309 - TELEPHONE</v>
      </c>
      <c r="C83" s="11"/>
      <c r="D83" s="6">
        <v>740.1</v>
      </c>
      <c r="E83" s="2"/>
      <c r="F83" s="7">
        <f t="shared" si="52"/>
        <v>6.4709054982613418E-4</v>
      </c>
      <c r="G83" s="2"/>
      <c r="H83" s="6">
        <v>742.05</v>
      </c>
      <c r="I83" s="2"/>
      <c r="J83" s="7">
        <f t="shared" si="53"/>
        <v>8.773807621453917E-4</v>
      </c>
      <c r="K83" s="2"/>
      <c r="L83" s="6">
        <f t="shared" si="54"/>
        <v>-1.9499999999999318</v>
      </c>
      <c r="M83" s="2"/>
      <c r="N83" s="7">
        <f t="shared" si="55"/>
        <v>-2.6278552658175755E-3</v>
      </c>
      <c r="O83" s="11"/>
      <c r="P83" s="6">
        <v>2952.5</v>
      </c>
      <c r="Q83" s="2"/>
      <c r="R83" s="7">
        <f t="shared" si="56"/>
        <v>5.5816021289344011E-4</v>
      </c>
      <c r="S83" s="2"/>
      <c r="T83" s="6">
        <v>3456.85</v>
      </c>
      <c r="U83" s="2"/>
      <c r="V83" s="7">
        <f t="shared" si="57"/>
        <v>6.9622106508496087E-4</v>
      </c>
      <c r="W83" s="2"/>
      <c r="X83" s="6">
        <f t="shared" si="58"/>
        <v>-504.34999999999991</v>
      </c>
      <c r="Y83" s="2"/>
      <c r="Z83" s="7">
        <f t="shared" si="59"/>
        <v>-0.14589872282569388</v>
      </c>
    </row>
    <row r="84" spans="1:26" s="25" customFormat="1" outlineLevel="1" collapsed="1" x14ac:dyDescent="0.25">
      <c r="A84" s="27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SUM(OSRRefD22_16x_0)</f>
        <v>525</v>
      </c>
      <c r="E84" s="1"/>
      <c r="F84" s="5">
        <f t="shared" si="52"/>
        <v>4.5902248163588765E-4</v>
      </c>
      <c r="G84" s="1"/>
      <c r="H84" s="1">
        <f>SUM(OSRRefH22_16x_0)</f>
        <v>294.88</v>
      </c>
      <c r="I84" s="1"/>
      <c r="J84" s="5">
        <f t="shared" si="53"/>
        <v>3.4865849894405107E-4</v>
      </c>
      <c r="K84" s="1"/>
      <c r="L84" s="1">
        <f t="shared" si="54"/>
        <v>230.12</v>
      </c>
      <c r="M84" s="1"/>
      <c r="N84" s="5">
        <f t="shared" si="55"/>
        <v>0.78038524145415089</v>
      </c>
      <c r="O84" s="13"/>
      <c r="P84" s="1">
        <f>SUM(OSRRefP22_16x_0)</f>
        <v>4257.2700000000004</v>
      </c>
      <c r="Q84" s="1"/>
      <c r="R84" s="5">
        <f t="shared" si="56"/>
        <v>8.0482260103128059E-4</v>
      </c>
      <c r="S84" s="1"/>
      <c r="T84" s="1">
        <f>SUM(OSRRefT22_16x_0)</f>
        <v>6302.34</v>
      </c>
      <c r="U84" s="1"/>
      <c r="V84" s="5">
        <f t="shared" si="57"/>
        <v>1.2693121967477768E-3</v>
      </c>
      <c r="W84" s="1"/>
      <c r="X84" s="1">
        <f t="shared" si="58"/>
        <v>-2045.0699999999997</v>
      </c>
      <c r="Y84" s="1"/>
      <c r="Z84" s="5">
        <f t="shared" si="59"/>
        <v>-0.32449375946077164</v>
      </c>
    </row>
    <row r="85" spans="1:26" s="24" customFormat="1" hidden="1" outlineLevel="2" x14ac:dyDescent="0.25">
      <c r="A85" s="26"/>
      <c r="B85" s="11" t="str">
        <f>CONCATENATE("          ", "6376", " - ", "TRAINING")</f>
        <v xml:space="preserve">          6376 - TRAINING</v>
      </c>
      <c r="C85" s="11"/>
      <c r="D85" s="6">
        <v>525</v>
      </c>
      <c r="E85" s="2"/>
      <c r="F85" s="7">
        <f t="shared" si="52"/>
        <v>4.5902248163588765E-4</v>
      </c>
      <c r="G85" s="2"/>
      <c r="H85" s="6">
        <v>294.88</v>
      </c>
      <c r="I85" s="2"/>
      <c r="J85" s="7">
        <f t="shared" si="53"/>
        <v>3.4865849894405107E-4</v>
      </c>
      <c r="K85" s="2"/>
      <c r="L85" s="6">
        <f t="shared" si="54"/>
        <v>230.12</v>
      </c>
      <c r="M85" s="2"/>
      <c r="N85" s="7">
        <f t="shared" si="55"/>
        <v>0.78038524145415089</v>
      </c>
      <c r="O85" s="11"/>
      <c r="P85" s="6">
        <v>4257.2700000000004</v>
      </c>
      <c r="Q85" s="2"/>
      <c r="R85" s="7">
        <f t="shared" si="56"/>
        <v>8.0482260103128059E-4</v>
      </c>
      <c r="S85" s="2"/>
      <c r="T85" s="6">
        <v>6302.34</v>
      </c>
      <c r="U85" s="2"/>
      <c r="V85" s="7">
        <f t="shared" si="57"/>
        <v>1.2693121967477768E-3</v>
      </c>
      <c r="W85" s="2"/>
      <c r="X85" s="6">
        <f t="shared" si="58"/>
        <v>-2045.0699999999997</v>
      </c>
      <c r="Y85" s="2"/>
      <c r="Z85" s="7">
        <f t="shared" si="59"/>
        <v>-0.32449375946077164</v>
      </c>
    </row>
    <row r="86" spans="1:26" s="25" customFormat="1" outlineLevel="1" collapsed="1" x14ac:dyDescent="0.25">
      <c r="A86" s="27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SUM(OSRRefD22_17x_0)</f>
        <v>26.89</v>
      </c>
      <c r="E86" s="1"/>
      <c r="F86" s="5">
        <f t="shared" si="52"/>
        <v>2.351069434512194E-5</v>
      </c>
      <c r="G86" s="1"/>
      <c r="H86" s="1">
        <f>SUM(OSRRefH22_17x_0)</f>
        <v>142.32</v>
      </c>
      <c r="I86" s="1"/>
      <c r="J86" s="5">
        <f t="shared" si="53"/>
        <v>1.6827549365747881E-4</v>
      </c>
      <c r="K86" s="1"/>
      <c r="L86" s="1">
        <f t="shared" si="54"/>
        <v>-115.42999999999999</v>
      </c>
      <c r="M86" s="1"/>
      <c r="N86" s="5">
        <f t="shared" si="55"/>
        <v>-0.81105958403597522</v>
      </c>
      <c r="O86" s="13"/>
      <c r="P86" s="1">
        <f>SUM(OSRRefP22_17x_0)</f>
        <v>2006.56</v>
      </c>
      <c r="Q86" s="1"/>
      <c r="R86" s="5">
        <f t="shared" si="56"/>
        <v>3.7933343159473704E-4</v>
      </c>
      <c r="S86" s="1"/>
      <c r="T86" s="1">
        <f>SUM(OSRRefT22_17x_0)</f>
        <v>1527.55</v>
      </c>
      <c r="U86" s="1"/>
      <c r="V86" s="5">
        <f t="shared" si="57"/>
        <v>3.0765364073376977E-4</v>
      </c>
      <c r="W86" s="1"/>
      <c r="X86" s="1">
        <f t="shared" si="58"/>
        <v>479.01</v>
      </c>
      <c r="Y86" s="1"/>
      <c r="Z86" s="5">
        <f t="shared" si="59"/>
        <v>0.31358057019410168</v>
      </c>
    </row>
    <row r="87" spans="1:26" s="24" customFormat="1" hidden="1" outlineLevel="2" x14ac:dyDescent="0.25">
      <c r="A87" s="26"/>
      <c r="B87" s="11" t="str">
        <f>CONCATENATE("          ", "6292", " - ", "TRAVEL/CONFERENCE")</f>
        <v xml:space="preserve">          6292 - TRAVEL/CONFERENCE</v>
      </c>
      <c r="C87" s="11"/>
      <c r="D87" s="6">
        <v>26.89</v>
      </c>
      <c r="E87" s="2"/>
      <c r="F87" s="7">
        <f t="shared" si="52"/>
        <v>2.351069434512194E-5</v>
      </c>
      <c r="G87" s="2"/>
      <c r="H87" s="6">
        <v>22.17</v>
      </c>
      <c r="I87" s="2"/>
      <c r="J87" s="7">
        <f t="shared" si="53"/>
        <v>2.6213235626660383E-5</v>
      </c>
      <c r="K87" s="2"/>
      <c r="L87" s="6">
        <f t="shared" si="54"/>
        <v>4.7199999999999989</v>
      </c>
      <c r="M87" s="2"/>
      <c r="N87" s="7">
        <f t="shared" si="55"/>
        <v>0.21290031574199361</v>
      </c>
      <c r="O87" s="11"/>
      <c r="P87" s="6">
        <v>2006.56</v>
      </c>
      <c r="Q87" s="2"/>
      <c r="R87" s="7">
        <f t="shared" si="56"/>
        <v>3.7933343159473704E-4</v>
      </c>
      <c r="S87" s="2"/>
      <c r="T87" s="6">
        <v>1009.67</v>
      </c>
      <c r="U87" s="2"/>
      <c r="V87" s="7">
        <f t="shared" si="57"/>
        <v>2.0335088962041524E-4</v>
      </c>
      <c r="W87" s="2"/>
      <c r="X87" s="6">
        <f t="shared" si="58"/>
        <v>996.89</v>
      </c>
      <c r="Y87" s="2"/>
      <c r="Z87" s="7">
        <f t="shared" si="59"/>
        <v>0.98734239900165399</v>
      </c>
    </row>
    <row r="88" spans="1:26" s="24" customFormat="1" hidden="1" outlineLevel="2" x14ac:dyDescent="0.25">
      <c r="A88" s="26"/>
      <c r="B88" s="11" t="str">
        <f>CONCATENATE("          ", "6294", " - ", "TRAVEL OPERATIONAL")</f>
        <v xml:space="preserve">          6294 - TRAVEL OPERATIONAL</v>
      </c>
      <c r="C88" s="11"/>
      <c r="D88" s="6"/>
      <c r="E88" s="2"/>
      <c r="F88" s="7">
        <f t="shared" si="52"/>
        <v>0</v>
      </c>
      <c r="G88" s="2"/>
      <c r="H88" s="6">
        <v>120.15</v>
      </c>
      <c r="I88" s="2"/>
      <c r="J88" s="7">
        <f t="shared" si="53"/>
        <v>1.4206225803081843E-4</v>
      </c>
      <c r="K88" s="2"/>
      <c r="L88" s="6">
        <f t="shared" si="54"/>
        <v>-120.15</v>
      </c>
      <c r="M88" s="2"/>
      <c r="N88" s="7">
        <f t="shared" si="55"/>
        <v>-1</v>
      </c>
      <c r="O88" s="11"/>
      <c r="P88" s="6"/>
      <c r="Q88" s="2"/>
      <c r="R88" s="7">
        <f t="shared" si="56"/>
        <v>0</v>
      </c>
      <c r="S88" s="2"/>
      <c r="T88" s="6">
        <v>517.88</v>
      </c>
      <c r="U88" s="2"/>
      <c r="V88" s="7">
        <f t="shared" si="57"/>
        <v>1.0430275111335452E-4</v>
      </c>
      <c r="W88" s="2"/>
      <c r="X88" s="6">
        <f t="shared" si="58"/>
        <v>-517.88</v>
      </c>
      <c r="Y88" s="2"/>
      <c r="Z88" s="7">
        <f t="shared" si="59"/>
        <v>-1</v>
      </c>
    </row>
    <row r="89" spans="1:26" s="53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8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1">
        <f>+D24-D26+D90</f>
        <v>373095.10999999981</v>
      </c>
      <c r="E92" s="14"/>
      <c r="F92" s="20">
        <f>IF(D$12=0,0,D92/D$12)</f>
        <v>0.32620770148269407</v>
      </c>
      <c r="G92" s="14"/>
      <c r="H92" s="21">
        <f>+H24-H26+H90</f>
        <v>219108.75000000017</v>
      </c>
      <c r="I92" s="14"/>
      <c r="J92" s="20">
        <f>IF(H$12=0,0,H92/H$12)</f>
        <v>0.2590685291661266</v>
      </c>
      <c r="K92" s="15"/>
      <c r="L92" s="21">
        <f>+D92-H92</f>
        <v>153986.35999999964</v>
      </c>
      <c r="M92" s="15"/>
      <c r="N92" s="20">
        <f>IF(H92=0,0,L92/H92)</f>
        <v>0.7027850781860584</v>
      </c>
      <c r="O92" s="28"/>
      <c r="P92" s="21">
        <f>+P24-P26+P90</f>
        <v>1493606.3199999994</v>
      </c>
      <c r="Q92" s="14"/>
      <c r="R92" s="20">
        <f>IF(P$12=0,0,P92/P$12)</f>
        <v>0.28236126047423787</v>
      </c>
      <c r="S92" s="14"/>
      <c r="T92" s="21">
        <f>+T24-T26+T90</f>
        <v>1479084.0700000012</v>
      </c>
      <c r="U92" s="14"/>
      <c r="V92" s="20">
        <f>IF(T$12=0,0,T92/T$12)</f>
        <v>0.29789244154811451</v>
      </c>
      <c r="W92" s="15"/>
      <c r="X92" s="21">
        <f>+P92-T92</f>
        <v>14522.249999998137</v>
      </c>
      <c r="Y92" s="15"/>
      <c r="Z92" s="20">
        <f>IF(T92=0,0,X92/T92)</f>
        <v>9.8184074147983531E-3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13</v>
      </c>
      <c r="C94" s="10"/>
      <c r="D94" s="4">
        <v>142799.98000000001</v>
      </c>
      <c r="E94" s="4"/>
      <c r="F94" s="12">
        <f>IF(D$12=0,0,D94/D$12)</f>
        <v>0.12485409751839072</v>
      </c>
      <c r="G94" s="4"/>
      <c r="H94" s="4">
        <v>144120.85</v>
      </c>
      <c r="I94" s="4"/>
      <c r="J94" s="12">
        <f>IF(H$12=0,0,H94/H$12)</f>
        <v>0.17040477220408556</v>
      </c>
      <c r="K94" s="4"/>
      <c r="L94" s="4">
        <f>+D94-H94</f>
        <v>-1320.8699999999953</v>
      </c>
      <c r="M94" s="4"/>
      <c r="N94" s="12">
        <f>IF(H94=0,0,L94/H94)</f>
        <v>-9.1650167203426516E-3</v>
      </c>
      <c r="O94" s="10"/>
      <c r="P94" s="4">
        <v>560143.41</v>
      </c>
      <c r="Q94" s="4"/>
      <c r="R94" s="12">
        <f>IF(P$12=0,0,P94/P$12)</f>
        <v>0.10589323115206013</v>
      </c>
      <c r="S94" s="4"/>
      <c r="T94" s="4">
        <v>522446.16</v>
      </c>
      <c r="U94" s="4"/>
      <c r="V94" s="12">
        <f>IF(T$12=0,0,T94/T$12)</f>
        <v>0.10522239089481691</v>
      </c>
      <c r="W94" s="4"/>
      <c r="X94" s="4">
        <f>+P94-T94</f>
        <v>37697.250000000058</v>
      </c>
      <c r="Y94" s="4"/>
      <c r="Z94" s="12">
        <f>IF(T94=0,0,X94/T94)</f>
        <v>7.2155281991162612E-2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1">
        <f>+D92-D94</f>
        <v>230295.1299999998</v>
      </c>
      <c r="E96" s="14"/>
      <c r="F96" s="32">
        <f>IF(D$12=0,0,D96/D$12)</f>
        <v>0.20135360396430335</v>
      </c>
      <c r="G96" s="14"/>
      <c r="H96" s="31">
        <f>+H92-H94</f>
        <v>74987.900000000169</v>
      </c>
      <c r="I96" s="14"/>
      <c r="J96" s="32">
        <f>IF(H$12=0,0,H96/H$12)</f>
        <v>8.8663756962041068E-2</v>
      </c>
      <c r="K96" s="15"/>
      <c r="L96" s="31">
        <f>D96-H96</f>
        <v>155307.22999999963</v>
      </c>
      <c r="M96" s="15"/>
      <c r="N96" s="32">
        <f>IF(H96=0,0,L96/H96)</f>
        <v>2.0710972036821844</v>
      </c>
      <c r="O96" s="28"/>
      <c r="P96" s="31">
        <f>+P92-P94</f>
        <v>933462.90999999933</v>
      </c>
      <c r="Q96" s="14"/>
      <c r="R96" s="32">
        <f>IF(P$12=0,0,P96/P$12)</f>
        <v>0.17646802932217773</v>
      </c>
      <c r="S96" s="14"/>
      <c r="T96" s="31">
        <f>+T92-T94</f>
        <v>956637.91000000131</v>
      </c>
      <c r="U96" s="14"/>
      <c r="V96" s="32">
        <f>IF(T$12=0,0,T96/T$12)</f>
        <v>0.19267005065329762</v>
      </c>
      <c r="W96" s="15"/>
      <c r="X96" s="31">
        <f>P96-T96</f>
        <v>-23175.000000001979</v>
      </c>
      <c r="Y96" s="15"/>
      <c r="Z96" s="32">
        <f>IF(T96=0,0,X96/T96)</f>
        <v>-2.422546687492444E-2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4">
        <f>SUM(D96:D98)</f>
        <v>230295.1299999998</v>
      </c>
      <c r="E99" s="14"/>
      <c r="F99" s="30">
        <f>IF(D$12=0,0,D99/D$12)</f>
        <v>0.20135360396430335</v>
      </c>
      <c r="G99" s="14"/>
      <c r="H99" s="34">
        <f>SUM(H96:H98)</f>
        <v>74987.900000000169</v>
      </c>
      <c r="I99" s="14"/>
      <c r="J99" s="30">
        <f>IF(H$12=0,0,H99/H$12)</f>
        <v>8.8663756962041068E-2</v>
      </c>
      <c r="K99" s="15"/>
      <c r="L99" s="34">
        <f>+D99-H99</f>
        <v>155307.22999999963</v>
      </c>
      <c r="M99" s="15"/>
      <c r="N99" s="30">
        <f>IF(H99=0,0,L99/H99)</f>
        <v>2.0710972036821844</v>
      </c>
      <c r="O99" s="28"/>
      <c r="P99" s="34">
        <f>SUM(P96:P98)</f>
        <v>933462.90999999933</v>
      </c>
      <c r="Q99" s="14"/>
      <c r="R99" s="30">
        <f>IF(P$12=0,0,P99/P$12)</f>
        <v>0.17646802932217773</v>
      </c>
      <c r="S99" s="14"/>
      <c r="T99" s="34">
        <f>SUM(T96:T98)</f>
        <v>956637.91000000131</v>
      </c>
      <c r="U99" s="14"/>
      <c r="V99" s="30">
        <f>IF(T$12=0,0,T99/T$12)</f>
        <v>0.19267005065329762</v>
      </c>
      <c r="W99" s="15"/>
      <c r="X99" s="34">
        <f>+P99-T99</f>
        <v>-23175.000000001979</v>
      </c>
      <c r="Y99" s="15"/>
      <c r="Z99" s="30">
        <f>IF(T99=0,0,X99/T99)</f>
        <v>-2.422546687492444E-2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9">
        <v>43815.491442627317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62" t="s">
        <v>313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61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","430", " - ", "Res Hall Management")</f>
        <v>Department 430 - Res Hall Management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13750.539999999999</v>
      </c>
      <c r="E18" s="22"/>
      <c r="F18" s="33">
        <f t="shared" ref="F18:F27" si="0">IF(D$12=0,0,D18/D$12)</f>
        <v>0</v>
      </c>
      <c r="G18" s="22"/>
      <c r="H18" s="22">
        <f>SUM(OSRRefH22x_0)</f>
        <v>11099.57</v>
      </c>
      <c r="I18" s="22"/>
      <c r="J18" s="33">
        <f t="shared" ref="J18:J27" si="1">IF(H$12=0,0,H18/H$12)</f>
        <v>0</v>
      </c>
      <c r="K18" s="4"/>
      <c r="L18" s="22">
        <f t="shared" ref="L18:L27" si="2">+D18-H18</f>
        <v>2650.9699999999993</v>
      </c>
      <c r="M18" s="4"/>
      <c r="N18" s="33">
        <f t="shared" ref="N18:N27" si="3">IF(H18=0,0,L18/H18)</f>
        <v>0.23883537830744789</v>
      </c>
      <c r="O18" s="10"/>
      <c r="P18" s="22">
        <f>SUM(OSRRefP22x_0)</f>
        <v>77759.539999999994</v>
      </c>
      <c r="Q18" s="22"/>
      <c r="R18" s="33">
        <f t="shared" ref="R18:R27" si="4">IF(P$12=0,0,P18/P$12)</f>
        <v>0</v>
      </c>
      <c r="S18" s="22"/>
      <c r="T18" s="22">
        <f>SUM(OSRRefT22x_0)</f>
        <v>72554.559999999983</v>
      </c>
      <c r="U18" s="22"/>
      <c r="V18" s="33">
        <f t="shared" ref="V18:V27" si="5">IF(T$12=0,0,T18/T$12)</f>
        <v>0</v>
      </c>
      <c r="W18" s="4"/>
      <c r="X18" s="22">
        <f t="shared" ref="X18:X27" si="6">+P18-T18</f>
        <v>5204.9800000000105</v>
      </c>
      <c r="Y18" s="4"/>
      <c r="Z18" s="33">
        <f t="shared" ref="Z18:Z27" si="7">IF(T18=0,0,X18/T18)</f>
        <v>7.1738840398177753E-2</v>
      </c>
    </row>
    <row r="19" spans="1:26" s="25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5441.61</v>
      </c>
      <c r="E19" s="1"/>
      <c r="F19" s="5">
        <f t="shared" si="0"/>
        <v>0</v>
      </c>
      <c r="G19" s="1"/>
      <c r="H19" s="1">
        <f>SUM(OSRRefH22_0x_0)</f>
        <v>5426.67</v>
      </c>
      <c r="I19" s="1"/>
      <c r="J19" s="5">
        <f t="shared" si="1"/>
        <v>0</v>
      </c>
      <c r="K19" s="1"/>
      <c r="L19" s="1">
        <f t="shared" si="2"/>
        <v>14.9399999999996</v>
      </c>
      <c r="M19" s="1"/>
      <c r="N19" s="5">
        <f t="shared" si="3"/>
        <v>2.7530695619965096E-3</v>
      </c>
      <c r="O19" s="13"/>
      <c r="P19" s="1">
        <f>SUM(OSRRefP22_0x_0)</f>
        <v>29742.659999999996</v>
      </c>
      <c r="Q19" s="1"/>
      <c r="R19" s="5">
        <f t="shared" si="4"/>
        <v>0</v>
      </c>
      <c r="S19" s="1"/>
      <c r="T19" s="1">
        <f>SUM(OSRRefT22_0x_0)</f>
        <v>27483.67</v>
      </c>
      <c r="U19" s="1"/>
      <c r="V19" s="5">
        <f t="shared" si="5"/>
        <v>0</v>
      </c>
      <c r="W19" s="1"/>
      <c r="X19" s="1">
        <f t="shared" si="6"/>
        <v>2258.989999999998</v>
      </c>
      <c r="Y19" s="1"/>
      <c r="Z19" s="5">
        <f t="shared" si="7"/>
        <v>8.2193899140835192E-2</v>
      </c>
    </row>
    <row r="20" spans="1:26" s="24" customFormat="1" hidden="1" outlineLevel="2" x14ac:dyDescent="0.25">
      <c r="A20" s="26"/>
      <c r="B20" s="11" t="str">
        <f>CONCATENATE("          ", "6111", " - ", "F.I.C.A.")</f>
        <v xml:space="preserve">          6111 - F.I.C.A.</v>
      </c>
      <c r="C20" s="11"/>
      <c r="D20" s="6">
        <v>623.1</v>
      </c>
      <c r="E20" s="2"/>
      <c r="F20" s="7">
        <f t="shared" si="0"/>
        <v>0</v>
      </c>
      <c r="G20" s="2"/>
      <c r="H20" s="6">
        <v>619.27</v>
      </c>
      <c r="I20" s="2"/>
      <c r="J20" s="7">
        <f t="shared" si="1"/>
        <v>0</v>
      </c>
      <c r="K20" s="2"/>
      <c r="L20" s="6">
        <f t="shared" si="2"/>
        <v>3.8300000000000409</v>
      </c>
      <c r="M20" s="2"/>
      <c r="N20" s="7">
        <f t="shared" si="3"/>
        <v>6.1847013419026294E-3</v>
      </c>
      <c r="O20" s="11"/>
      <c r="P20" s="6">
        <v>4277.57</v>
      </c>
      <c r="Q20" s="2"/>
      <c r="R20" s="7">
        <f t="shared" si="4"/>
        <v>0</v>
      </c>
      <c r="S20" s="2"/>
      <c r="T20" s="6">
        <v>4167.26</v>
      </c>
      <c r="U20" s="2"/>
      <c r="V20" s="7">
        <f t="shared" si="5"/>
        <v>0</v>
      </c>
      <c r="W20" s="2"/>
      <c r="X20" s="6">
        <f t="shared" si="6"/>
        <v>110.30999999999949</v>
      </c>
      <c r="Y20" s="2"/>
      <c r="Z20" s="7">
        <f t="shared" si="7"/>
        <v>2.647063058220497E-2</v>
      </c>
    </row>
    <row r="21" spans="1:26" s="24" customFormat="1" hidden="1" outlineLevel="2" x14ac:dyDescent="0.25">
      <c r="A21" s="26"/>
      <c r="B21" s="11" t="str">
        <f>CONCATENATE("          ", "6112", " - ", "COMPENSATION INSURANCE")</f>
        <v xml:space="preserve">          6112 - COMPENSATION INSURANCE</v>
      </c>
      <c r="C21" s="11"/>
      <c r="D21" s="6">
        <v>316.02999999999997</v>
      </c>
      <c r="E21" s="2"/>
      <c r="F21" s="7">
        <f t="shared" si="0"/>
        <v>0</v>
      </c>
      <c r="G21" s="2"/>
      <c r="H21" s="6">
        <v>276.77</v>
      </c>
      <c r="I21" s="2"/>
      <c r="J21" s="7">
        <f t="shared" si="1"/>
        <v>0</v>
      </c>
      <c r="K21" s="2"/>
      <c r="L21" s="6">
        <f t="shared" si="2"/>
        <v>39.259999999999991</v>
      </c>
      <c r="M21" s="2"/>
      <c r="N21" s="7">
        <f t="shared" si="3"/>
        <v>0.14185063410051665</v>
      </c>
      <c r="O21" s="11"/>
      <c r="P21" s="6">
        <v>1428.71</v>
      </c>
      <c r="Q21" s="2"/>
      <c r="R21" s="7">
        <f t="shared" si="4"/>
        <v>0</v>
      </c>
      <c r="S21" s="2"/>
      <c r="T21" s="6">
        <v>1896.01</v>
      </c>
      <c r="U21" s="2"/>
      <c r="V21" s="7">
        <f t="shared" si="5"/>
        <v>0</v>
      </c>
      <c r="W21" s="2"/>
      <c r="X21" s="6">
        <f t="shared" si="6"/>
        <v>-467.29999999999995</v>
      </c>
      <c r="Y21" s="2"/>
      <c r="Z21" s="7">
        <f t="shared" si="7"/>
        <v>-0.24646494480514342</v>
      </c>
    </row>
    <row r="22" spans="1:26" s="24" customFormat="1" hidden="1" outlineLevel="2" x14ac:dyDescent="0.25">
      <c r="A22" s="26"/>
      <c r="B22" s="11" t="str">
        <f>CONCATENATE("          ", "6113", " - ", "GROUP INSURANCE")</f>
        <v xml:space="preserve">          6113 - GROUP INSURANCE</v>
      </c>
      <c r="C22" s="11"/>
      <c r="D22" s="6">
        <v>2730.6</v>
      </c>
      <c r="E22" s="2"/>
      <c r="F22" s="7">
        <f t="shared" si="0"/>
        <v>0</v>
      </c>
      <c r="G22" s="2"/>
      <c r="H22" s="6">
        <v>2797.72</v>
      </c>
      <c r="I22" s="2"/>
      <c r="J22" s="7">
        <f t="shared" si="1"/>
        <v>0</v>
      </c>
      <c r="K22" s="2"/>
      <c r="L22" s="6">
        <f t="shared" si="2"/>
        <v>-67.119999999999891</v>
      </c>
      <c r="M22" s="2"/>
      <c r="N22" s="7">
        <f t="shared" si="3"/>
        <v>-2.3990964070743283E-2</v>
      </c>
      <c r="O22" s="11"/>
      <c r="P22" s="6">
        <v>13653</v>
      </c>
      <c r="Q22" s="2"/>
      <c r="R22" s="7">
        <f t="shared" si="4"/>
        <v>0</v>
      </c>
      <c r="S22" s="2"/>
      <c r="T22" s="6">
        <v>12241.15</v>
      </c>
      <c r="U22" s="2"/>
      <c r="V22" s="7">
        <f t="shared" si="5"/>
        <v>0</v>
      </c>
      <c r="W22" s="2"/>
      <c r="X22" s="6">
        <f t="shared" si="6"/>
        <v>1411.8500000000004</v>
      </c>
      <c r="Y22" s="2"/>
      <c r="Z22" s="7">
        <f t="shared" si="7"/>
        <v>0.11533638587877776</v>
      </c>
    </row>
    <row r="23" spans="1:26" s="24" customFormat="1" hidden="1" outlineLevel="2" x14ac:dyDescent="0.25">
      <c r="A23" s="26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21.18</v>
      </c>
      <c r="E23" s="2"/>
      <c r="F23" s="7">
        <f t="shared" si="0"/>
        <v>0</v>
      </c>
      <c r="G23" s="2"/>
      <c r="H23" s="6">
        <v>20.56</v>
      </c>
      <c r="I23" s="2"/>
      <c r="J23" s="7">
        <f t="shared" si="1"/>
        <v>0</v>
      </c>
      <c r="K23" s="2"/>
      <c r="L23" s="6">
        <f t="shared" si="2"/>
        <v>0.62000000000000099</v>
      </c>
      <c r="M23" s="2"/>
      <c r="N23" s="7">
        <f t="shared" si="3"/>
        <v>3.0155642023346352E-2</v>
      </c>
      <c r="O23" s="11"/>
      <c r="P23" s="6">
        <v>134.80000000000001</v>
      </c>
      <c r="Q23" s="2"/>
      <c r="R23" s="7">
        <f t="shared" si="4"/>
        <v>0</v>
      </c>
      <c r="S23" s="2"/>
      <c r="T23" s="6">
        <v>140.85</v>
      </c>
      <c r="U23" s="2"/>
      <c r="V23" s="7">
        <f t="shared" si="5"/>
        <v>0</v>
      </c>
      <c r="W23" s="2"/>
      <c r="X23" s="6">
        <f t="shared" si="6"/>
        <v>-6.0499999999999829</v>
      </c>
      <c r="Y23" s="2"/>
      <c r="Z23" s="7">
        <f t="shared" si="7"/>
        <v>-4.2953496627617917E-2</v>
      </c>
    </row>
    <row r="24" spans="1:26" s="24" customFormat="1" hidden="1" outlineLevel="2" x14ac:dyDescent="0.25">
      <c r="A24" s="26"/>
      <c r="B24" s="11" t="str">
        <f>CONCATENATE("          ", "6115", " - ", "P.E.R.S.")</f>
        <v xml:space="preserve">          6115 - P.E.R.S.</v>
      </c>
      <c r="C24" s="11"/>
      <c r="D24" s="6">
        <v>568.92999999999995</v>
      </c>
      <c r="E24" s="2"/>
      <c r="F24" s="7">
        <f t="shared" si="0"/>
        <v>0</v>
      </c>
      <c r="G24" s="2"/>
      <c r="H24" s="6">
        <v>541.04999999999995</v>
      </c>
      <c r="I24" s="2"/>
      <c r="J24" s="7">
        <f t="shared" si="1"/>
        <v>0</v>
      </c>
      <c r="K24" s="2"/>
      <c r="L24" s="6">
        <f t="shared" si="2"/>
        <v>27.879999999999995</v>
      </c>
      <c r="M24" s="2"/>
      <c r="N24" s="7">
        <f t="shared" si="3"/>
        <v>5.1529433508917838E-2</v>
      </c>
      <c r="O24" s="11"/>
      <c r="P24" s="6">
        <v>2844.65</v>
      </c>
      <c r="Q24" s="2"/>
      <c r="R24" s="7">
        <f t="shared" si="4"/>
        <v>0</v>
      </c>
      <c r="S24" s="2"/>
      <c r="T24" s="6">
        <v>2967.9</v>
      </c>
      <c r="U24" s="2"/>
      <c r="V24" s="7">
        <f t="shared" si="5"/>
        <v>0</v>
      </c>
      <c r="W24" s="2"/>
      <c r="X24" s="6">
        <f t="shared" si="6"/>
        <v>-123.25</v>
      </c>
      <c r="Y24" s="2"/>
      <c r="Z24" s="7">
        <f t="shared" si="7"/>
        <v>-4.1527679504026416E-2</v>
      </c>
    </row>
    <row r="25" spans="1:26" s="24" customFormat="1" hidden="1" outlineLevel="2" x14ac:dyDescent="0.25">
      <c r="A25" s="26"/>
      <c r="B25" s="11" t="str">
        <f>CONCATENATE("          ", "6118", " - ", "VACATION")</f>
        <v xml:space="preserve">          6118 - VACATION</v>
      </c>
      <c r="C25" s="11"/>
      <c r="D25" s="6">
        <v>752.4</v>
      </c>
      <c r="E25" s="2"/>
      <c r="F25" s="7">
        <f t="shared" si="0"/>
        <v>0</v>
      </c>
      <c r="G25" s="2"/>
      <c r="H25" s="6">
        <v>730.48</v>
      </c>
      <c r="I25" s="2"/>
      <c r="J25" s="7">
        <f t="shared" si="1"/>
        <v>0</v>
      </c>
      <c r="K25" s="2"/>
      <c r="L25" s="6">
        <f t="shared" si="2"/>
        <v>21.919999999999959</v>
      </c>
      <c r="M25" s="2"/>
      <c r="N25" s="7">
        <f t="shared" si="3"/>
        <v>3.0007666192092813E-2</v>
      </c>
      <c r="O25" s="11"/>
      <c r="P25" s="6">
        <v>4478.6499999999996</v>
      </c>
      <c r="Q25" s="2"/>
      <c r="R25" s="7">
        <f t="shared" si="4"/>
        <v>0</v>
      </c>
      <c r="S25" s="2"/>
      <c r="T25" s="6">
        <v>3230.04</v>
      </c>
      <c r="U25" s="2"/>
      <c r="V25" s="7">
        <f t="shared" si="5"/>
        <v>0</v>
      </c>
      <c r="W25" s="2"/>
      <c r="X25" s="6">
        <f t="shared" si="6"/>
        <v>1248.6099999999997</v>
      </c>
      <c r="Y25" s="2"/>
      <c r="Z25" s="7">
        <f t="shared" si="7"/>
        <v>0.38656177632475131</v>
      </c>
    </row>
    <row r="26" spans="1:26" s="24" customFormat="1" hidden="1" outlineLevel="2" x14ac:dyDescent="0.25">
      <c r="A26" s="26"/>
      <c r="B26" s="11" t="str">
        <f>CONCATENATE("          ", "6119", " - ", "SICK LEAVE")</f>
        <v xml:space="preserve">          6119 - SICK LEAVE</v>
      </c>
      <c r="C26" s="11"/>
      <c r="D26" s="6">
        <v>375.68</v>
      </c>
      <c r="E26" s="2"/>
      <c r="F26" s="7">
        <f t="shared" si="0"/>
        <v>0</v>
      </c>
      <c r="G26" s="2"/>
      <c r="H26" s="6">
        <v>364.74</v>
      </c>
      <c r="I26" s="2"/>
      <c r="J26" s="7">
        <f t="shared" si="1"/>
        <v>0</v>
      </c>
      <c r="K26" s="2"/>
      <c r="L26" s="6">
        <f t="shared" si="2"/>
        <v>10.939999999999998</v>
      </c>
      <c r="M26" s="2"/>
      <c r="N26" s="7">
        <f t="shared" si="3"/>
        <v>2.9993968306190704E-2</v>
      </c>
      <c r="O26" s="11"/>
      <c r="P26" s="6">
        <v>2296.7399999999998</v>
      </c>
      <c r="Q26" s="2"/>
      <c r="R26" s="7">
        <f t="shared" si="4"/>
        <v>0</v>
      </c>
      <c r="S26" s="2"/>
      <c r="T26" s="6">
        <v>2126.29</v>
      </c>
      <c r="U26" s="2"/>
      <c r="V26" s="7">
        <f t="shared" si="5"/>
        <v>0</v>
      </c>
      <c r="W26" s="2"/>
      <c r="X26" s="6">
        <f t="shared" si="6"/>
        <v>170.44999999999982</v>
      </c>
      <c r="Y26" s="2"/>
      <c r="Z26" s="7">
        <f t="shared" si="7"/>
        <v>8.0163100988105959E-2</v>
      </c>
    </row>
    <row r="27" spans="1:26" s="24" customFormat="1" hidden="1" outlineLevel="2" x14ac:dyDescent="0.25">
      <c r="A27" s="26"/>
      <c r="B27" s="11" t="str">
        <f>CONCATENATE("          ", "6156", " - ", "EMPLOYEE MEALS")</f>
        <v xml:space="preserve">          6156 - EMPLOYEE MEALS</v>
      </c>
      <c r="C27" s="11"/>
      <c r="D27" s="6">
        <v>53.69</v>
      </c>
      <c r="E27" s="2"/>
      <c r="F27" s="7">
        <f t="shared" si="0"/>
        <v>0</v>
      </c>
      <c r="G27" s="2"/>
      <c r="H27" s="6">
        <v>76.08</v>
      </c>
      <c r="I27" s="2"/>
      <c r="J27" s="7">
        <f t="shared" si="1"/>
        <v>0</v>
      </c>
      <c r="K27" s="2"/>
      <c r="L27" s="6">
        <f t="shared" si="2"/>
        <v>-22.39</v>
      </c>
      <c r="M27" s="2"/>
      <c r="N27" s="7">
        <f t="shared" si="3"/>
        <v>-0.29429547844374343</v>
      </c>
      <c r="O27" s="11"/>
      <c r="P27" s="6">
        <v>628.54</v>
      </c>
      <c r="Q27" s="2"/>
      <c r="R27" s="7">
        <f t="shared" si="4"/>
        <v>0</v>
      </c>
      <c r="S27" s="2"/>
      <c r="T27" s="6">
        <v>714.17</v>
      </c>
      <c r="U27" s="2"/>
      <c r="V27" s="7">
        <f t="shared" si="5"/>
        <v>0</v>
      </c>
      <c r="W27" s="2"/>
      <c r="X27" s="6">
        <f t="shared" si="6"/>
        <v>-85.63</v>
      </c>
      <c r="Y27" s="2"/>
      <c r="Z27" s="7">
        <f t="shared" si="7"/>
        <v>-0.11990142403069297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8145.04</v>
      </c>
      <c r="E28" s="1"/>
      <c r="F28" s="5">
        <f t="shared" ref="F28:F40" si="8">IF(D$12=0,0,D28/D$12)</f>
        <v>0</v>
      </c>
      <c r="G28" s="1"/>
      <c r="H28" s="1">
        <f>SUM(OSRRefH22_1x_0)</f>
        <v>5930.85</v>
      </c>
      <c r="I28" s="1"/>
      <c r="J28" s="5">
        <f t="shared" ref="J28:J40" si="9">IF(H$12=0,0,H28/H$12)</f>
        <v>0</v>
      </c>
      <c r="K28" s="1"/>
      <c r="L28" s="1">
        <f t="shared" ref="L28:L40" si="10">+D28-H28</f>
        <v>2214.1899999999996</v>
      </c>
      <c r="M28" s="1"/>
      <c r="N28" s="5">
        <f t="shared" ref="N28:N40" si="11">IF(H28=0,0,L28/H28)</f>
        <v>0.37333434499270751</v>
      </c>
      <c r="O28" s="13"/>
      <c r="P28" s="1">
        <f>SUM(OSRRefP22_1x_0)</f>
        <v>38281.699999999997</v>
      </c>
      <c r="Q28" s="1"/>
      <c r="R28" s="5">
        <f t="shared" ref="R28:R40" si="12">IF(P$12=0,0,P28/P$12)</f>
        <v>0</v>
      </c>
      <c r="S28" s="1"/>
      <c r="T28" s="1">
        <f>SUM(OSRRefT22_1x_0)</f>
        <v>39539</v>
      </c>
      <c r="U28" s="1"/>
      <c r="V28" s="5">
        <f t="shared" ref="V28:V40" si="13">IF(T$12=0,0,T28/T$12)</f>
        <v>0</v>
      </c>
      <c r="W28" s="1"/>
      <c r="X28" s="1">
        <f t="shared" ref="X28:X40" si="14">+P28-T28</f>
        <v>-1257.3000000000029</v>
      </c>
      <c r="Y28" s="1"/>
      <c r="Z28" s="5">
        <f t="shared" ref="Z28:Z40" si="15">IF(T28=0,0,X28/T28)</f>
        <v>-3.1798983282328913E-2</v>
      </c>
    </row>
    <row r="29" spans="1:26" s="24" customFormat="1" hidden="1" outlineLevel="2" x14ac:dyDescent="0.25">
      <c r="A29" s="26"/>
      <c r="B29" s="11" t="str">
        <f>CONCATENATE("          ", "6001", " - ", "ADMINISTRATIVE SALARIES")</f>
        <v xml:space="preserve">          6001 - ADMINISTRATIVE SALARIES</v>
      </c>
      <c r="C29" s="11"/>
      <c r="D29" s="6">
        <v>8145.04</v>
      </c>
      <c r="E29" s="2"/>
      <c r="F29" s="7">
        <f t="shared" si="8"/>
        <v>0</v>
      </c>
      <c r="G29" s="2"/>
      <c r="H29" s="6">
        <v>5930.85</v>
      </c>
      <c r="I29" s="2"/>
      <c r="J29" s="7">
        <f t="shared" si="9"/>
        <v>0</v>
      </c>
      <c r="K29" s="2"/>
      <c r="L29" s="6">
        <f t="shared" si="10"/>
        <v>2214.1899999999996</v>
      </c>
      <c r="M29" s="2"/>
      <c r="N29" s="7">
        <f t="shared" si="11"/>
        <v>0.37333434499270751</v>
      </c>
      <c r="O29" s="11"/>
      <c r="P29" s="6">
        <v>38281.699999999997</v>
      </c>
      <c r="Q29" s="2"/>
      <c r="R29" s="7">
        <f t="shared" si="12"/>
        <v>0</v>
      </c>
      <c r="S29" s="2"/>
      <c r="T29" s="6">
        <v>39539</v>
      </c>
      <c r="U29" s="2"/>
      <c r="V29" s="7">
        <f t="shared" si="13"/>
        <v>0</v>
      </c>
      <c r="W29" s="2"/>
      <c r="X29" s="6">
        <f t="shared" si="14"/>
        <v>-1257.3000000000029</v>
      </c>
      <c r="Y29" s="2"/>
      <c r="Z29" s="7">
        <f t="shared" si="15"/>
        <v>-3.1798983282328913E-2</v>
      </c>
    </row>
    <row r="30" spans="1:26" s="25" customFormat="1" outlineLevel="1" collapsed="1" x14ac:dyDescent="0.25">
      <c r="A30" s="27"/>
      <c r="B30" s="13" t="str">
        <f>CONCATENATE("     ","Donations                                         ")</f>
        <v xml:space="preserve">     Donations                                         </v>
      </c>
      <c r="C30" s="13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3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276</v>
      </c>
      <c r="U30" s="1"/>
      <c r="V30" s="5">
        <f t="shared" si="13"/>
        <v>0</v>
      </c>
      <c r="W30" s="1"/>
      <c r="X30" s="1">
        <f t="shared" si="14"/>
        <v>-276</v>
      </c>
      <c r="Y30" s="1"/>
      <c r="Z30" s="5">
        <f t="shared" si="15"/>
        <v>-1</v>
      </c>
    </row>
    <row r="31" spans="1:26" s="24" customFormat="1" hidden="1" outlineLevel="2" x14ac:dyDescent="0.25">
      <c r="A31" s="26"/>
      <c r="B31" s="11" t="str">
        <f>CONCATENATE("          ", "6399", " - ", "DONATION-ON CAMPUS")</f>
        <v xml:space="preserve">          6399 - DONATION-ON CAMPUS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276</v>
      </c>
      <c r="U31" s="2"/>
      <c r="V31" s="7">
        <f t="shared" si="13"/>
        <v>0</v>
      </c>
      <c r="W31" s="2"/>
      <c r="X31" s="6">
        <f t="shared" si="14"/>
        <v>-276</v>
      </c>
      <c r="Y31" s="2"/>
      <c r="Z31" s="7">
        <f t="shared" si="15"/>
        <v>-1</v>
      </c>
    </row>
    <row r="32" spans="1:26" s="25" customFormat="1" outlineLevel="1" collapsed="1" x14ac:dyDescent="0.25">
      <c r="A32" s="27"/>
      <c r="B32" s="13" t="str">
        <f>CONCATENATE("     ","Employees' Appreciation                           ")</f>
        <v xml:space="preserve">     Employees' Appreciation                           </v>
      </c>
      <c r="C32" s="13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3"/>
      <c r="P32" s="1">
        <f>SUM(OSRRefP22_3x_0)</f>
        <v>0</v>
      </c>
      <c r="Q32" s="1"/>
      <c r="R32" s="5">
        <f t="shared" si="12"/>
        <v>0</v>
      </c>
      <c r="S32" s="1"/>
      <c r="T32" s="1">
        <f>SUM(OSRRefT22_3x_0)</f>
        <v>40.9</v>
      </c>
      <c r="U32" s="1"/>
      <c r="V32" s="5">
        <f t="shared" si="13"/>
        <v>0</v>
      </c>
      <c r="W32" s="1"/>
      <c r="X32" s="1">
        <f t="shared" si="14"/>
        <v>-40.9</v>
      </c>
      <c r="Y32" s="1"/>
      <c r="Z32" s="5">
        <f t="shared" si="15"/>
        <v>-1</v>
      </c>
    </row>
    <row r="33" spans="1:26" s="24" customFormat="1" hidden="1" outlineLevel="2" x14ac:dyDescent="0.25">
      <c r="A33" s="26"/>
      <c r="B33" s="11" t="str">
        <f>CONCATENATE("          ", "6277", " - ", "EMPLOYEE APPRECIATION")</f>
        <v xml:space="preserve">          6277 - EMPLOYEE APPRECIATION</v>
      </c>
      <c r="C33" s="11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40.9</v>
      </c>
      <c r="U33" s="2"/>
      <c r="V33" s="7">
        <f t="shared" si="13"/>
        <v>0</v>
      </c>
      <c r="W33" s="2"/>
      <c r="X33" s="6">
        <f t="shared" si="14"/>
        <v>-40.9</v>
      </c>
      <c r="Y33" s="2"/>
      <c r="Z33" s="7">
        <f t="shared" si="15"/>
        <v>-1</v>
      </c>
    </row>
    <row r="34" spans="1:26" s="25" customFormat="1" outlineLevel="1" collapsed="1" x14ac:dyDescent="0.25">
      <c r="A34" s="27"/>
      <c r="B34" s="13" t="str">
        <f>CONCATENATE("     ","General                                           ")</f>
        <v xml:space="preserve">     General                                           </v>
      </c>
      <c r="C34" s="13"/>
      <c r="D34" s="1">
        <f>SUM(OSRRefD22_4x_0)</f>
        <v>87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87</v>
      </c>
      <c r="M34" s="1"/>
      <c r="N34" s="5">
        <f t="shared" si="11"/>
        <v>0</v>
      </c>
      <c r="O34" s="13"/>
      <c r="P34" s="1">
        <f>SUM(OSRRefP22_4x_0)</f>
        <v>214.55</v>
      </c>
      <c r="Q34" s="1"/>
      <c r="R34" s="5">
        <f t="shared" si="12"/>
        <v>0</v>
      </c>
      <c r="S34" s="1"/>
      <c r="T34" s="1">
        <f>SUM(OSRRefT22_4x_0)</f>
        <v>303.27</v>
      </c>
      <c r="U34" s="1"/>
      <c r="V34" s="5">
        <f t="shared" si="13"/>
        <v>0</v>
      </c>
      <c r="W34" s="1"/>
      <c r="X34" s="1">
        <f t="shared" si="14"/>
        <v>-88.71999999999997</v>
      </c>
      <c r="Y34" s="1"/>
      <c r="Z34" s="5">
        <f t="shared" si="15"/>
        <v>-0.29254459722359605</v>
      </c>
    </row>
    <row r="35" spans="1:26" s="24" customFormat="1" hidden="1" outlineLevel="2" x14ac:dyDescent="0.25">
      <c r="A35" s="26"/>
      <c r="B35" s="11" t="str">
        <f>CONCATENATE("          ", "6279", " - ", "GENERAL EXPENSE")</f>
        <v xml:space="preserve">          6279 - GENERAL EXPENSE</v>
      </c>
      <c r="C35" s="11"/>
      <c r="D35" s="6">
        <v>87</v>
      </c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87</v>
      </c>
      <c r="M35" s="2"/>
      <c r="N35" s="7">
        <f t="shared" si="11"/>
        <v>0</v>
      </c>
      <c r="O35" s="11"/>
      <c r="P35" s="6">
        <v>214.55</v>
      </c>
      <c r="Q35" s="2"/>
      <c r="R35" s="7">
        <f t="shared" si="12"/>
        <v>0</v>
      </c>
      <c r="S35" s="2"/>
      <c r="T35" s="6">
        <v>303.27</v>
      </c>
      <c r="U35" s="2"/>
      <c r="V35" s="7">
        <f t="shared" si="13"/>
        <v>0</v>
      </c>
      <c r="W35" s="2"/>
      <c r="X35" s="6">
        <f t="shared" si="14"/>
        <v>-88.71999999999997</v>
      </c>
      <c r="Y35" s="2"/>
      <c r="Z35" s="7">
        <f t="shared" si="15"/>
        <v>-0.29254459722359605</v>
      </c>
    </row>
    <row r="36" spans="1:26" s="25" customFormat="1" outlineLevel="1" collapsed="1" x14ac:dyDescent="0.25">
      <c r="A36" s="27"/>
      <c r="B36" s="13" t="str">
        <f>CONCATENATE("     ","Repair and Maintenance                            ")</f>
        <v xml:space="preserve">     Repair and Maintenance                            </v>
      </c>
      <c r="C36" s="13"/>
      <c r="D36" s="1">
        <f>SUM(OSRRefD22_5x_0)</f>
        <v>0</v>
      </c>
      <c r="E36" s="1"/>
      <c r="F36" s="5">
        <f t="shared" si="8"/>
        <v>0</v>
      </c>
      <c r="G36" s="1"/>
      <c r="H36" s="1">
        <f>SUM(OSRRefH22_5x_0)</f>
        <v>0</v>
      </c>
      <c r="I36" s="1"/>
      <c r="J36" s="5">
        <f t="shared" si="9"/>
        <v>0</v>
      </c>
      <c r="K36" s="1"/>
      <c r="L36" s="1">
        <f t="shared" si="10"/>
        <v>0</v>
      </c>
      <c r="M36" s="1"/>
      <c r="N36" s="5">
        <f t="shared" si="11"/>
        <v>0</v>
      </c>
      <c r="O36" s="13"/>
      <c r="P36" s="1">
        <f>SUM(OSRRefP22_5x_0)</f>
        <v>6340.43</v>
      </c>
      <c r="Q36" s="1"/>
      <c r="R36" s="5">
        <f t="shared" si="12"/>
        <v>0</v>
      </c>
      <c r="S36" s="1"/>
      <c r="T36" s="1">
        <f>SUM(OSRRefT22_5x_0)</f>
        <v>0</v>
      </c>
      <c r="U36" s="1"/>
      <c r="V36" s="5">
        <f t="shared" si="13"/>
        <v>0</v>
      </c>
      <c r="W36" s="1"/>
      <c r="X36" s="1">
        <f t="shared" si="14"/>
        <v>6340.43</v>
      </c>
      <c r="Y36" s="1"/>
      <c r="Z36" s="5">
        <f t="shared" si="15"/>
        <v>0</v>
      </c>
    </row>
    <row r="37" spans="1:26" s="24" customFormat="1" hidden="1" outlineLevel="2" x14ac:dyDescent="0.25">
      <c r="A37" s="26"/>
      <c r="B37" s="11" t="str">
        <f>CONCATENATE("          ", "6371", " - ", "COMPUTER SOFTWARE MAINTENANCE")</f>
        <v xml:space="preserve">          6371 - COMPUTER SOFTWARE MAINTENANCE</v>
      </c>
      <c r="C37" s="11"/>
      <c r="D37" s="6"/>
      <c r="E37" s="2"/>
      <c r="F37" s="7">
        <f t="shared" si="8"/>
        <v>0</v>
      </c>
      <c r="G37" s="2"/>
      <c r="H37" s="6"/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6340.43</v>
      </c>
      <c r="Q37" s="2"/>
      <c r="R37" s="7">
        <f t="shared" si="12"/>
        <v>0</v>
      </c>
      <c r="S37" s="2"/>
      <c r="T37" s="6"/>
      <c r="U37" s="2"/>
      <c r="V37" s="7">
        <f t="shared" si="13"/>
        <v>0</v>
      </c>
      <c r="W37" s="2"/>
      <c r="X37" s="6">
        <f t="shared" si="14"/>
        <v>6340.43</v>
      </c>
      <c r="Y37" s="2"/>
      <c r="Z37" s="7">
        <f t="shared" si="15"/>
        <v>0</v>
      </c>
    </row>
    <row r="38" spans="1:26" s="25" customFormat="1" outlineLevel="1" collapsed="1" x14ac:dyDescent="0.25">
      <c r="A38" s="27"/>
      <c r="B38" s="13" t="str">
        <f>CONCATENATE("     ","Supplies                                          ")</f>
        <v xml:space="preserve">     Supplies                                          </v>
      </c>
      <c r="C38" s="13"/>
      <c r="D38" s="1">
        <f>SUM(OSRRefD22_6x_0)</f>
        <v>0</v>
      </c>
      <c r="E38" s="1"/>
      <c r="F38" s="5">
        <f t="shared" si="8"/>
        <v>0</v>
      </c>
      <c r="G38" s="1"/>
      <c r="H38" s="1">
        <f>SUM(OSRRefH22_6x_0)</f>
        <v>-337</v>
      </c>
      <c r="I38" s="1"/>
      <c r="J38" s="5">
        <f t="shared" si="9"/>
        <v>0</v>
      </c>
      <c r="K38" s="1"/>
      <c r="L38" s="1">
        <f t="shared" si="10"/>
        <v>337</v>
      </c>
      <c r="M38" s="1"/>
      <c r="N38" s="5">
        <f t="shared" si="11"/>
        <v>-1</v>
      </c>
      <c r="O38" s="13"/>
      <c r="P38" s="1">
        <f>SUM(OSRRefP22_6x_0)</f>
        <v>2338.31</v>
      </c>
      <c r="Q38" s="1"/>
      <c r="R38" s="5">
        <f t="shared" si="12"/>
        <v>0</v>
      </c>
      <c r="S38" s="1"/>
      <c r="T38" s="1">
        <f>SUM(OSRRefT22_6x_0)</f>
        <v>706.74</v>
      </c>
      <c r="U38" s="1"/>
      <c r="V38" s="5">
        <f t="shared" si="13"/>
        <v>0</v>
      </c>
      <c r="W38" s="1"/>
      <c r="X38" s="1">
        <f t="shared" si="14"/>
        <v>1631.57</v>
      </c>
      <c r="Y38" s="1"/>
      <c r="Z38" s="5">
        <f t="shared" si="15"/>
        <v>2.3085859014630556</v>
      </c>
    </row>
    <row r="39" spans="1:26" s="24" customFormat="1" hidden="1" outlineLevel="2" x14ac:dyDescent="0.25">
      <c r="A39" s="26"/>
      <c r="B39" s="11" t="str">
        <f>CONCATENATE("          ", "6241", " - ", "OFFICE EXPENSE")</f>
        <v xml:space="preserve">          6241 - OFFICE EXPENSE</v>
      </c>
      <c r="C39" s="11"/>
      <c r="D39" s="6"/>
      <c r="E39" s="2"/>
      <c r="F39" s="7">
        <f t="shared" si="8"/>
        <v>0</v>
      </c>
      <c r="G39" s="2"/>
      <c r="H39" s="6">
        <v>-337</v>
      </c>
      <c r="I39" s="2"/>
      <c r="J39" s="7">
        <f t="shared" si="9"/>
        <v>0</v>
      </c>
      <c r="K39" s="2"/>
      <c r="L39" s="6">
        <f t="shared" si="10"/>
        <v>337</v>
      </c>
      <c r="M39" s="2"/>
      <c r="N39" s="7">
        <f t="shared" si="11"/>
        <v>-1</v>
      </c>
      <c r="O39" s="11"/>
      <c r="P39" s="6">
        <v>2338.31</v>
      </c>
      <c r="Q39" s="2"/>
      <c r="R39" s="7">
        <f t="shared" si="12"/>
        <v>0</v>
      </c>
      <c r="S39" s="2"/>
      <c r="T39" s="6">
        <v>399.95</v>
      </c>
      <c r="U39" s="2"/>
      <c r="V39" s="7">
        <f t="shared" si="13"/>
        <v>0</v>
      </c>
      <c r="W39" s="2"/>
      <c r="X39" s="6">
        <f t="shared" si="14"/>
        <v>1938.36</v>
      </c>
      <c r="Y39" s="2"/>
      <c r="Z39" s="7">
        <f t="shared" si="15"/>
        <v>4.8465058132266536</v>
      </c>
    </row>
    <row r="40" spans="1:26" s="24" customFormat="1" hidden="1" outlineLevel="2" x14ac:dyDescent="0.25">
      <c r="A40" s="26"/>
      <c r="B40" s="11" t="str">
        <f>CONCATENATE("          ", "6245", " - ", "PRINTING")</f>
        <v xml:space="preserve">          6245 - PRINTING</v>
      </c>
      <c r="C40" s="11"/>
      <c r="D40" s="6"/>
      <c r="E40" s="2"/>
      <c r="F40" s="7">
        <f t="shared" si="8"/>
        <v>0</v>
      </c>
      <c r="G40" s="2"/>
      <c r="H40" s="6"/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306.79000000000002</v>
      </c>
      <c r="U40" s="2"/>
      <c r="V40" s="7">
        <f t="shared" si="13"/>
        <v>0</v>
      </c>
      <c r="W40" s="2"/>
      <c r="X40" s="6">
        <f t="shared" si="14"/>
        <v>-306.79000000000002</v>
      </c>
      <c r="Y40" s="2"/>
      <c r="Z40" s="7">
        <f t="shared" si="15"/>
        <v>-1</v>
      </c>
    </row>
    <row r="41" spans="1:26" s="25" customFormat="1" outlineLevel="1" collapsed="1" x14ac:dyDescent="0.25">
      <c r="A41" s="27"/>
      <c r="B41" s="13" t="str">
        <f>CONCATENATE("     ","Telephone/Data Lines                              ")</f>
        <v xml:space="preserve">     Telephone/Data Lines                              </v>
      </c>
      <c r="C41" s="13"/>
      <c r="D41" s="1">
        <f>SUM(OSRRefD22_7x_0)</f>
        <v>50</v>
      </c>
      <c r="E41" s="1"/>
      <c r="F41" s="5">
        <f t="shared" ref="F41:F46" si="16">IF(D$12=0,0,D41/D$12)</f>
        <v>0</v>
      </c>
      <c r="G41" s="1"/>
      <c r="H41" s="1">
        <f>SUM(OSRRefH22_7x_0)</f>
        <v>50</v>
      </c>
      <c r="I41" s="1"/>
      <c r="J41" s="5">
        <f t="shared" ref="J41:J46" si="17">IF(H$12=0,0,H41/H$12)</f>
        <v>0</v>
      </c>
      <c r="K41" s="1"/>
      <c r="L41" s="1">
        <f t="shared" ref="L41:L46" si="18">+D41-H41</f>
        <v>0</v>
      </c>
      <c r="M41" s="1"/>
      <c r="N41" s="5">
        <f t="shared" ref="N41:N46" si="19">IF(H41=0,0,L41/H41)</f>
        <v>0</v>
      </c>
      <c r="O41" s="13"/>
      <c r="P41" s="1">
        <f>SUM(OSRRefP22_7x_0)</f>
        <v>-650</v>
      </c>
      <c r="Q41" s="1"/>
      <c r="R41" s="5">
        <f t="shared" ref="R41:R46" si="20">IF(P$12=0,0,P41/P$12)</f>
        <v>0</v>
      </c>
      <c r="S41" s="1"/>
      <c r="T41" s="1">
        <f>SUM(OSRRefT22_7x_0)</f>
        <v>160</v>
      </c>
      <c r="U41" s="1"/>
      <c r="V41" s="5">
        <f t="shared" ref="V41:V46" si="21">IF(T$12=0,0,T41/T$12)</f>
        <v>0</v>
      </c>
      <c r="W41" s="1"/>
      <c r="X41" s="1">
        <f t="shared" ref="X41:X46" si="22">+P41-T41</f>
        <v>-810</v>
      </c>
      <c r="Y41" s="1"/>
      <c r="Z41" s="5">
        <f t="shared" ref="Z41:Z46" si="23">IF(T41=0,0,X41/T41)</f>
        <v>-5.0625</v>
      </c>
    </row>
    <row r="42" spans="1:26" s="24" customFormat="1" hidden="1" outlineLevel="2" x14ac:dyDescent="0.25">
      <c r="A42" s="26"/>
      <c r="B42" s="11" t="str">
        <f>CONCATENATE("          ", "6309", " - ", "TELEPHONE")</f>
        <v xml:space="preserve">          6309 - TELEPHONE</v>
      </c>
      <c r="C42" s="11"/>
      <c r="D42" s="6">
        <v>50</v>
      </c>
      <c r="E42" s="2"/>
      <c r="F42" s="7">
        <f t="shared" si="16"/>
        <v>0</v>
      </c>
      <c r="G42" s="2"/>
      <c r="H42" s="6">
        <v>50</v>
      </c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-650</v>
      </c>
      <c r="Q42" s="2"/>
      <c r="R42" s="7">
        <f t="shared" si="20"/>
        <v>0</v>
      </c>
      <c r="S42" s="2"/>
      <c r="T42" s="6">
        <v>160</v>
      </c>
      <c r="U42" s="2"/>
      <c r="V42" s="7">
        <f t="shared" si="21"/>
        <v>0</v>
      </c>
      <c r="W42" s="2"/>
      <c r="X42" s="6">
        <f t="shared" si="22"/>
        <v>-810</v>
      </c>
      <c r="Y42" s="2"/>
      <c r="Z42" s="7">
        <f t="shared" si="23"/>
        <v>-5.0625</v>
      </c>
    </row>
    <row r="43" spans="1:26" s="25" customFormat="1" outlineLevel="1" collapsed="1" x14ac:dyDescent="0.25">
      <c r="A43" s="27"/>
      <c r="B43" s="13" t="str">
        <f>CONCATENATE("     ","Training                                          ")</f>
        <v xml:space="preserve">     Training                                          </v>
      </c>
      <c r="C43" s="13"/>
      <c r="D43" s="1">
        <f>SUM(OSRRefD22_8x_0)</f>
        <v>0</v>
      </c>
      <c r="E43" s="1"/>
      <c r="F43" s="5">
        <f t="shared" si="16"/>
        <v>0</v>
      </c>
      <c r="G43" s="1"/>
      <c r="H43" s="1">
        <f>SUM(OSRRefH22_8x_0)</f>
        <v>6.88</v>
      </c>
      <c r="I43" s="1"/>
      <c r="J43" s="5">
        <f t="shared" si="17"/>
        <v>0</v>
      </c>
      <c r="K43" s="1"/>
      <c r="L43" s="1">
        <f t="shared" si="18"/>
        <v>-6.88</v>
      </c>
      <c r="M43" s="1"/>
      <c r="N43" s="5">
        <f t="shared" si="19"/>
        <v>-1</v>
      </c>
      <c r="O43" s="13"/>
      <c r="P43" s="1">
        <f>SUM(OSRRefP22_8x_0)</f>
        <v>1321.12</v>
      </c>
      <c r="Q43" s="1"/>
      <c r="R43" s="5">
        <f t="shared" si="20"/>
        <v>0</v>
      </c>
      <c r="S43" s="1"/>
      <c r="T43" s="1">
        <f>SUM(OSRRefT22_8x_0)</f>
        <v>3035.31</v>
      </c>
      <c r="U43" s="1"/>
      <c r="V43" s="5">
        <f t="shared" si="21"/>
        <v>0</v>
      </c>
      <c r="W43" s="1"/>
      <c r="X43" s="1">
        <f t="shared" si="22"/>
        <v>-1714.19</v>
      </c>
      <c r="Y43" s="1"/>
      <c r="Z43" s="5">
        <f t="shared" si="23"/>
        <v>-0.56474956429491552</v>
      </c>
    </row>
    <row r="44" spans="1:26" s="24" customFormat="1" hidden="1" outlineLevel="2" x14ac:dyDescent="0.25">
      <c r="A44" s="26"/>
      <c r="B44" s="11" t="str">
        <f>CONCATENATE("          ", "6376", " - ", "TRAINING")</f>
        <v xml:space="preserve">          6376 - TRAINING</v>
      </c>
      <c r="C44" s="11"/>
      <c r="D44" s="6"/>
      <c r="E44" s="2"/>
      <c r="F44" s="7">
        <f t="shared" si="16"/>
        <v>0</v>
      </c>
      <c r="G44" s="2"/>
      <c r="H44" s="6">
        <v>6.88</v>
      </c>
      <c r="I44" s="2"/>
      <c r="J44" s="7">
        <f t="shared" si="17"/>
        <v>0</v>
      </c>
      <c r="K44" s="2"/>
      <c r="L44" s="6">
        <f t="shared" si="18"/>
        <v>-6.88</v>
      </c>
      <c r="M44" s="2"/>
      <c r="N44" s="7">
        <f t="shared" si="19"/>
        <v>-1</v>
      </c>
      <c r="O44" s="11"/>
      <c r="P44" s="6">
        <v>1321.12</v>
      </c>
      <c r="Q44" s="2"/>
      <c r="R44" s="7">
        <f t="shared" si="20"/>
        <v>0</v>
      </c>
      <c r="S44" s="2"/>
      <c r="T44" s="6">
        <v>3035.31</v>
      </c>
      <c r="U44" s="2"/>
      <c r="V44" s="7">
        <f t="shared" si="21"/>
        <v>0</v>
      </c>
      <c r="W44" s="2"/>
      <c r="X44" s="6">
        <f t="shared" si="22"/>
        <v>-1714.19</v>
      </c>
      <c r="Y44" s="2"/>
      <c r="Z44" s="7">
        <f t="shared" si="23"/>
        <v>-0.56474956429491552</v>
      </c>
    </row>
    <row r="45" spans="1:26" s="25" customFormat="1" outlineLevel="1" collapsed="1" x14ac:dyDescent="0.25">
      <c r="A45" s="27"/>
      <c r="B45" s="13" t="str">
        <f>CONCATENATE("     ","Travel                                            ")</f>
        <v xml:space="preserve">     Travel                                            </v>
      </c>
      <c r="C45" s="13"/>
      <c r="D45" s="1">
        <f>SUM(OSRRefD22_9x_0)</f>
        <v>26.89</v>
      </c>
      <c r="E45" s="1"/>
      <c r="F45" s="5">
        <f t="shared" si="16"/>
        <v>0</v>
      </c>
      <c r="G45" s="1"/>
      <c r="H45" s="1">
        <f>SUM(OSRRefH22_9x_0)</f>
        <v>22.17</v>
      </c>
      <c r="I45" s="1"/>
      <c r="J45" s="5">
        <f t="shared" si="17"/>
        <v>0</v>
      </c>
      <c r="K45" s="1"/>
      <c r="L45" s="1">
        <f t="shared" si="18"/>
        <v>4.7199999999999989</v>
      </c>
      <c r="M45" s="1"/>
      <c r="N45" s="5">
        <f t="shared" si="19"/>
        <v>0.21290031574199361</v>
      </c>
      <c r="O45" s="13"/>
      <c r="P45" s="1">
        <f>SUM(OSRRefP22_9x_0)</f>
        <v>170.77</v>
      </c>
      <c r="Q45" s="1"/>
      <c r="R45" s="5">
        <f t="shared" si="20"/>
        <v>0</v>
      </c>
      <c r="S45" s="1"/>
      <c r="T45" s="1">
        <f>SUM(OSRRefT22_9x_0)</f>
        <v>1009.67</v>
      </c>
      <c r="U45" s="1"/>
      <c r="V45" s="5">
        <f t="shared" si="21"/>
        <v>0</v>
      </c>
      <c r="W45" s="1"/>
      <c r="X45" s="1">
        <f t="shared" si="22"/>
        <v>-838.9</v>
      </c>
      <c r="Y45" s="1"/>
      <c r="Z45" s="5">
        <f t="shared" si="23"/>
        <v>-0.83086553032178834</v>
      </c>
    </row>
    <row r="46" spans="1:26" s="24" customFormat="1" hidden="1" outlineLevel="2" x14ac:dyDescent="0.25">
      <c r="A46" s="26"/>
      <c r="B46" s="11" t="str">
        <f>CONCATENATE("          ", "6292", " - ", "TRAVEL/CONFERENCE")</f>
        <v xml:space="preserve">          6292 - TRAVEL/CONFERENCE</v>
      </c>
      <c r="C46" s="11"/>
      <c r="D46" s="6">
        <v>26.89</v>
      </c>
      <c r="E46" s="2"/>
      <c r="F46" s="7">
        <f t="shared" si="16"/>
        <v>0</v>
      </c>
      <c r="G46" s="2"/>
      <c r="H46" s="6">
        <v>22.17</v>
      </c>
      <c r="I46" s="2"/>
      <c r="J46" s="7">
        <f t="shared" si="17"/>
        <v>0</v>
      </c>
      <c r="K46" s="2"/>
      <c r="L46" s="6">
        <f t="shared" si="18"/>
        <v>4.7199999999999989</v>
      </c>
      <c r="M46" s="2"/>
      <c r="N46" s="7">
        <f t="shared" si="19"/>
        <v>0.21290031574199361</v>
      </c>
      <c r="O46" s="11"/>
      <c r="P46" s="6">
        <v>170.77</v>
      </c>
      <c r="Q46" s="2"/>
      <c r="R46" s="7">
        <f t="shared" si="20"/>
        <v>0</v>
      </c>
      <c r="S46" s="2"/>
      <c r="T46" s="6">
        <v>1009.67</v>
      </c>
      <c r="U46" s="2"/>
      <c r="V46" s="7">
        <f t="shared" si="21"/>
        <v>0</v>
      </c>
      <c r="W46" s="2"/>
      <c r="X46" s="6">
        <f t="shared" si="22"/>
        <v>-838.9</v>
      </c>
      <c r="Y46" s="2"/>
      <c r="Z46" s="7">
        <f t="shared" si="23"/>
        <v>-0.83086553032178834</v>
      </c>
    </row>
    <row r="47" spans="1:26" s="53" customFormat="1" x14ac:dyDescent="0.25">
      <c r="A47" s="37"/>
      <c r="B47" s="37"/>
      <c r="C47" s="37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8" t="s">
        <v>0</v>
      </c>
      <c r="C48" s="10"/>
      <c r="D48" s="4">
        <f>SUM(0)</f>
        <v>0</v>
      </c>
      <c r="E48" s="4"/>
      <c r="F48" s="12">
        <f>IF(D$12=0,0,D48/D$12)</f>
        <v>0</v>
      </c>
      <c r="G48" s="4"/>
      <c r="H48" s="4">
        <f>SUM(0)</f>
        <v>0</v>
      </c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>
        <f>SUM(0)</f>
        <v>0</v>
      </c>
      <c r="Q48" s="4"/>
      <c r="R48" s="12">
        <f>IF(P$12=0,0,P48/P$12)</f>
        <v>0</v>
      </c>
      <c r="S48" s="4"/>
      <c r="T48" s="4">
        <f>SUM(0)</f>
        <v>0</v>
      </c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9" t="s">
        <v>3</v>
      </c>
      <c r="C50" s="29"/>
      <c r="D50" s="21">
        <f>+D16-D18+D48</f>
        <v>-13750.539999999999</v>
      </c>
      <c r="E50" s="14"/>
      <c r="F50" s="20">
        <f>IF(D$12=0,0,D50/D$12)</f>
        <v>0</v>
      </c>
      <c r="G50" s="14"/>
      <c r="H50" s="21">
        <f>+H16-H18+H48</f>
        <v>-11099.57</v>
      </c>
      <c r="I50" s="14"/>
      <c r="J50" s="20">
        <f>IF(H$12=0,0,H50/H$12)</f>
        <v>0</v>
      </c>
      <c r="K50" s="15"/>
      <c r="L50" s="21">
        <f>+D50-H50</f>
        <v>-2650.9699999999993</v>
      </c>
      <c r="M50" s="15"/>
      <c r="N50" s="20">
        <f>IF(H50=0,0,L50/H50)</f>
        <v>0.23883537830744789</v>
      </c>
      <c r="O50" s="28"/>
      <c r="P50" s="21">
        <f>+P16-P18+P48</f>
        <v>-77759.539999999994</v>
      </c>
      <c r="Q50" s="14"/>
      <c r="R50" s="20">
        <f>IF(P$12=0,0,P50/P$12)</f>
        <v>0</v>
      </c>
      <c r="S50" s="14"/>
      <c r="T50" s="21">
        <f>+T16-T18+T48</f>
        <v>-72554.559999999983</v>
      </c>
      <c r="U50" s="14"/>
      <c r="V50" s="20">
        <f>IF(T$12=0,0,T50/T$12)</f>
        <v>0</v>
      </c>
      <c r="W50" s="15"/>
      <c r="X50" s="21">
        <f>+P50-T50</f>
        <v>-5204.9800000000105</v>
      </c>
      <c r="Y50" s="15"/>
      <c r="Z50" s="20">
        <f>IF(T50=0,0,X50/T50)</f>
        <v>7.1738840398177753E-2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51"/>
      <c r="B52" s="10" t="s">
        <v>13</v>
      </c>
      <c r="C52" s="10"/>
      <c r="D52" s="4"/>
      <c r="E52" s="4"/>
      <c r="F52" s="12">
        <f>IF(D$12=0,0,D52/D$12)</f>
        <v>0</v>
      </c>
      <c r="G52" s="4"/>
      <c r="H52" s="4"/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/>
      <c r="Q52" s="4"/>
      <c r="R52" s="12">
        <f>IF(P$12=0,0,P52/P$12)</f>
        <v>0</v>
      </c>
      <c r="S52" s="4"/>
      <c r="T52" s="4"/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9" t="s">
        <v>4</v>
      </c>
      <c r="C54" s="29"/>
      <c r="D54" s="31">
        <f>+D50-D52</f>
        <v>-13750.539999999999</v>
      </c>
      <c r="E54" s="14"/>
      <c r="F54" s="32">
        <f>IF(D$12=0,0,D54/D$12)</f>
        <v>0</v>
      </c>
      <c r="G54" s="14"/>
      <c r="H54" s="31">
        <f>+H50-H52</f>
        <v>-11099.57</v>
      </c>
      <c r="I54" s="14"/>
      <c r="J54" s="32">
        <f>IF(H$12=0,0,H54/H$12)</f>
        <v>0</v>
      </c>
      <c r="K54" s="15"/>
      <c r="L54" s="31">
        <f>D54-H54</f>
        <v>-2650.9699999999993</v>
      </c>
      <c r="M54" s="15"/>
      <c r="N54" s="32">
        <f>IF(H54=0,0,L54/H54)</f>
        <v>0.23883537830744789</v>
      </c>
      <c r="O54" s="28"/>
      <c r="P54" s="31">
        <f>+P50-P52</f>
        <v>-77759.539999999994</v>
      </c>
      <c r="Q54" s="14"/>
      <c r="R54" s="32">
        <f>IF(P$12=0,0,P54/P$12)</f>
        <v>0</v>
      </c>
      <c r="S54" s="14"/>
      <c r="T54" s="31">
        <f>+T50-T52</f>
        <v>-72554.559999999983</v>
      </c>
      <c r="U54" s="14"/>
      <c r="V54" s="32">
        <f>IF(T$12=0,0,T54/T$12)</f>
        <v>0</v>
      </c>
      <c r="W54" s="15"/>
      <c r="X54" s="31">
        <f>P54-T54</f>
        <v>-5204.9800000000105</v>
      </c>
      <c r="Y54" s="15"/>
      <c r="Z54" s="32">
        <f>IF(T54=0,0,X54/T54)</f>
        <v>7.1738840398177753E-2</v>
      </c>
    </row>
    <row r="55" spans="1:26" ht="15.75" thickTop="1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5</v>
      </c>
      <c r="C57" s="29"/>
      <c r="D57" s="34">
        <f>SUM(D54:D56)</f>
        <v>-13750.539999999999</v>
      </c>
      <c r="E57" s="14"/>
      <c r="F57" s="30">
        <f>IF(D$12=0,0,D57/D$12)</f>
        <v>0</v>
      </c>
      <c r="G57" s="14"/>
      <c r="H57" s="34">
        <f>SUM(H54:H56)</f>
        <v>-11099.57</v>
      </c>
      <c r="I57" s="14"/>
      <c r="J57" s="30">
        <f>IF(H$12=0,0,H57/H$12)</f>
        <v>0</v>
      </c>
      <c r="K57" s="15"/>
      <c r="L57" s="34">
        <f>+D57-H57</f>
        <v>-2650.9699999999993</v>
      </c>
      <c r="M57" s="15"/>
      <c r="N57" s="30">
        <f>IF(H57=0,0,L57/H57)</f>
        <v>0.23883537830744789</v>
      </c>
      <c r="O57" s="28"/>
      <c r="P57" s="34">
        <f>SUM(P54:P56)</f>
        <v>-77759.539999999994</v>
      </c>
      <c r="Q57" s="14"/>
      <c r="R57" s="30">
        <f>IF(P$12=0,0,P57/P$12)</f>
        <v>0</v>
      </c>
      <c r="S57" s="14"/>
      <c r="T57" s="34">
        <f>SUM(T54:T56)</f>
        <v>-72554.559999999983</v>
      </c>
      <c r="U57" s="14"/>
      <c r="V57" s="30">
        <f>IF(T$12=0,0,T57/T$12)</f>
        <v>0</v>
      </c>
      <c r="W57" s="15"/>
      <c r="X57" s="34">
        <f>+P57-T57</f>
        <v>-5204.9800000000105</v>
      </c>
      <c r="Y57" s="15"/>
      <c r="Z57" s="30">
        <f>IF(T57=0,0,X57/T57)</f>
        <v>7.1738840398177753E-2</v>
      </c>
    </row>
    <row r="58" spans="1:26" ht="15.75" thickTop="1" x14ac:dyDescent="0.25">
      <c r="A58" s="9"/>
      <c r="C58" s="9"/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59">
        <v>43815.492240659725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62" t="s">
        <v>313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61"/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","433", " - ", "Hillside Dining Hall")</f>
        <v>Department 433 - Hillside Dining Hall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457808.34</v>
      </c>
      <c r="E12" s="4"/>
      <c r="F12" s="12"/>
      <c r="G12" s="4"/>
      <c r="H12" s="4">
        <f>SUM(OSRRefH13x_0)</f>
        <v>302918.18</v>
      </c>
      <c r="I12" s="4"/>
      <c r="J12" s="12"/>
      <c r="K12" s="4"/>
      <c r="L12" s="4">
        <f t="shared" ref="L12:L16" si="0">+D12-H12</f>
        <v>154890.16000000003</v>
      </c>
      <c r="M12" s="4"/>
      <c r="N12" s="12">
        <f t="shared" ref="N12:N16" si="1">IF(H12=0,0,L12/H12)</f>
        <v>0.51132672195508388</v>
      </c>
      <c r="O12" s="10"/>
      <c r="P12" s="4">
        <f>SUM(OSRRefP13x_0)</f>
        <v>2179314.9899999998</v>
      </c>
      <c r="Q12" s="4"/>
      <c r="R12" s="12"/>
      <c r="S12" s="4"/>
      <c r="T12" s="4">
        <f>SUM(OSRRefT13x_0)</f>
        <v>2046405.44</v>
      </c>
      <c r="U12" s="4"/>
      <c r="V12" s="12"/>
      <c r="W12" s="4"/>
      <c r="X12" s="4">
        <f t="shared" ref="X12:X16" si="2">+P12-T12</f>
        <v>132909.54999999981</v>
      </c>
      <c r="Y12" s="4"/>
      <c r="Z12" s="12">
        <f t="shared" ref="Z12:Z16" si="3">IF(T12=0,0,X12/T12)</f>
        <v>6.4947809169232762E-2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--10005.46</f>
        <v>10005.459999999999</v>
      </c>
      <c r="E13" s="2"/>
      <c r="F13" s="19"/>
      <c r="G13" s="2"/>
      <c r="H13" s="2">
        <f>--999.02</f>
        <v>999.02</v>
      </c>
      <c r="I13" s="2"/>
      <c r="J13" s="19"/>
      <c r="K13" s="2"/>
      <c r="L13" s="2">
        <f t="shared" si="0"/>
        <v>9006.4399999999987</v>
      </c>
      <c r="M13" s="2"/>
      <c r="N13" s="19">
        <f t="shared" si="1"/>
        <v>9.0152749694700791</v>
      </c>
      <c r="O13" s="11"/>
      <c r="P13" s="2">
        <f>--17530.41</f>
        <v>17530.41</v>
      </c>
      <c r="Q13" s="2"/>
      <c r="R13" s="19"/>
      <c r="S13" s="2"/>
      <c r="T13" s="2">
        <f>--6427.49</f>
        <v>6427.49</v>
      </c>
      <c r="U13" s="2"/>
      <c r="V13" s="19"/>
      <c r="W13" s="2"/>
      <c r="X13" s="2">
        <f t="shared" si="2"/>
        <v>11102.92</v>
      </c>
      <c r="Y13" s="2"/>
      <c r="Z13" s="19">
        <f t="shared" si="3"/>
        <v>1.7274114778863912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--432271.64</f>
        <v>432271.64</v>
      </c>
      <c r="E14" s="2"/>
      <c r="F14" s="19"/>
      <c r="G14" s="2"/>
      <c r="H14" s="2">
        <f>--290607.73</f>
        <v>290607.73</v>
      </c>
      <c r="I14" s="2"/>
      <c r="J14" s="19"/>
      <c r="K14" s="2"/>
      <c r="L14" s="2">
        <f t="shared" si="0"/>
        <v>141663.91000000003</v>
      </c>
      <c r="M14" s="2"/>
      <c r="N14" s="19">
        <f t="shared" si="1"/>
        <v>0.48747467935556993</v>
      </c>
      <c r="O14" s="11"/>
      <c r="P14" s="2">
        <f>--1990440.43</f>
        <v>1990440.43</v>
      </c>
      <c r="Q14" s="2"/>
      <c r="R14" s="19"/>
      <c r="S14" s="2"/>
      <c r="T14" s="2">
        <f>--1905255.25</f>
        <v>1905255.25</v>
      </c>
      <c r="U14" s="2"/>
      <c r="V14" s="19"/>
      <c r="W14" s="2"/>
      <c r="X14" s="2">
        <f t="shared" si="2"/>
        <v>85185.179999999935</v>
      </c>
      <c r="Y14" s="2"/>
      <c r="Z14" s="19">
        <f t="shared" si="3"/>
        <v>4.4710639165014734E-2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--15531.24</f>
        <v>15531.24</v>
      </c>
      <c r="E15" s="2"/>
      <c r="F15" s="19"/>
      <c r="G15" s="2"/>
      <c r="H15" s="2">
        <f>--11311.43</f>
        <v>11311.43</v>
      </c>
      <c r="I15" s="2"/>
      <c r="J15" s="19"/>
      <c r="K15" s="2"/>
      <c r="L15" s="2">
        <f t="shared" si="0"/>
        <v>4219.8099999999995</v>
      </c>
      <c r="M15" s="2"/>
      <c r="N15" s="19">
        <f t="shared" si="1"/>
        <v>0.37305716430194941</v>
      </c>
      <c r="O15" s="11"/>
      <c r="P15" s="2">
        <f>--171344.15</f>
        <v>171344.15</v>
      </c>
      <c r="Q15" s="2"/>
      <c r="R15" s="19"/>
      <c r="S15" s="2"/>
      <c r="T15" s="2">
        <f>--133667.8</f>
        <v>133667.79999999999</v>
      </c>
      <c r="U15" s="2"/>
      <c r="V15" s="19"/>
      <c r="W15" s="2"/>
      <c r="X15" s="2">
        <f t="shared" si="2"/>
        <v>37676.350000000006</v>
      </c>
      <c r="Y15" s="2"/>
      <c r="Z15" s="19">
        <f t="shared" si="3"/>
        <v>0.28186556522962158</v>
      </c>
    </row>
    <row r="16" spans="1:26" s="24" customFormat="1" hidden="1" outlineLevel="1" x14ac:dyDescent="0.25">
      <c r="A16" s="44"/>
      <c r="B16" s="11" t="str">
        <f>CONCATENATE("          ", "4159", " - ", "NON-TAXABLE SALES-FOOD")</f>
        <v xml:space="preserve">          4159 - NON-TAXABLE SALES-FOOD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--1054.9</f>
        <v>1054.9000000000001</v>
      </c>
      <c r="U16" s="2"/>
      <c r="V16" s="19"/>
      <c r="W16" s="2"/>
      <c r="X16" s="2">
        <f t="shared" si="2"/>
        <v>-1054.9000000000001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106831.43</v>
      </c>
      <c r="E18" s="4"/>
      <c r="F18" s="12">
        <f t="shared" ref="F18:F20" si="4">IF(D$12=0,0,D18/D$12)</f>
        <v>0.23335404942601087</v>
      </c>
      <c r="G18" s="4"/>
      <c r="H18" s="4">
        <f>SUM(OSRRefH16x_0)</f>
        <v>86292.05</v>
      </c>
      <c r="I18" s="4"/>
      <c r="J18" s="12">
        <f t="shared" ref="J18:J20" si="5">IF(H$12=0,0,H18/H$12)</f>
        <v>0.28486916830148656</v>
      </c>
      <c r="K18" s="4"/>
      <c r="L18" s="4">
        <f t="shared" ref="L18:L20" si="6">+D18-H18</f>
        <v>20539.37999999999</v>
      </c>
      <c r="M18" s="4"/>
      <c r="N18" s="12">
        <f t="shared" ref="N18:N20" si="7">IF(H18=0,0,L18/H18)</f>
        <v>0.23802169493018174</v>
      </c>
      <c r="O18" s="10"/>
      <c r="P18" s="4">
        <f>SUM(OSRRefP16x_0)</f>
        <v>515571.61000000004</v>
      </c>
      <c r="Q18" s="4"/>
      <c r="R18" s="12">
        <f t="shared" ref="R18:R20" si="8">IF(P$12=0,0,P18/P$12)</f>
        <v>0.23657507628119426</v>
      </c>
      <c r="S18" s="4"/>
      <c r="T18" s="4">
        <f>SUM(OSRRefT16x_0)</f>
        <v>492406.25999999995</v>
      </c>
      <c r="U18" s="4"/>
      <c r="V18" s="12">
        <f t="shared" ref="V18:V20" si="9">IF(T$12=0,0,T18/T$12)</f>
        <v>0.24062008943838614</v>
      </c>
      <c r="W18" s="4"/>
      <c r="X18" s="4">
        <f t="shared" ref="X18:X20" si="10">+P18-T18</f>
        <v>23165.350000000093</v>
      </c>
      <c r="Y18" s="4"/>
      <c r="Z18" s="12">
        <f t="shared" ref="Z18:Z20" si="11">IF(T18=0,0,X18/T18)</f>
        <v>4.704519800377862E-2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95573.68</v>
      </c>
      <c r="E19" s="2"/>
      <c r="F19" s="19">
        <f t="shared" si="4"/>
        <v>0.20876351881226102</v>
      </c>
      <c r="G19" s="2"/>
      <c r="H19" s="2">
        <v>85038.3</v>
      </c>
      <c r="I19" s="2"/>
      <c r="J19" s="19">
        <f t="shared" si="5"/>
        <v>0.28073026188127764</v>
      </c>
      <c r="K19" s="2"/>
      <c r="L19" s="2">
        <f t="shared" si="6"/>
        <v>10535.37999999999</v>
      </c>
      <c r="M19" s="2"/>
      <c r="N19" s="19">
        <f t="shared" si="7"/>
        <v>0.12388982376176369</v>
      </c>
      <c r="O19" s="11"/>
      <c r="P19" s="2">
        <v>513464.61000000004</v>
      </c>
      <c r="Q19" s="2"/>
      <c r="R19" s="19">
        <f t="shared" si="8"/>
        <v>0.23560825872170049</v>
      </c>
      <c r="S19" s="2"/>
      <c r="T19" s="2">
        <v>503163.50999999995</v>
      </c>
      <c r="U19" s="2"/>
      <c r="V19" s="19">
        <f t="shared" si="9"/>
        <v>0.24587674571467127</v>
      </c>
      <c r="W19" s="2"/>
      <c r="X19" s="2">
        <f t="shared" si="10"/>
        <v>10301.100000000093</v>
      </c>
      <c r="Y19" s="2"/>
      <c r="Z19" s="19">
        <f t="shared" si="11"/>
        <v>2.0472669013697146E-2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11257.75</v>
      </c>
      <c r="E20" s="2"/>
      <c r="F20" s="19">
        <f t="shared" si="4"/>
        <v>2.4590530613749849E-2</v>
      </c>
      <c r="G20" s="2"/>
      <c r="H20" s="2">
        <v>1253.75</v>
      </c>
      <c r="I20" s="2"/>
      <c r="J20" s="19">
        <f t="shared" si="5"/>
        <v>4.1389064202089158E-3</v>
      </c>
      <c r="K20" s="2"/>
      <c r="L20" s="2">
        <f t="shared" si="6"/>
        <v>10004</v>
      </c>
      <c r="M20" s="2"/>
      <c r="N20" s="19">
        <f t="shared" si="7"/>
        <v>7.9792622133599203</v>
      </c>
      <c r="O20" s="11"/>
      <c r="P20" s="2">
        <v>2107</v>
      </c>
      <c r="Q20" s="2"/>
      <c r="R20" s="19">
        <f t="shared" si="8"/>
        <v>9.6681755949377479E-4</v>
      </c>
      <c r="S20" s="2"/>
      <c r="T20" s="2">
        <v>-10757.25</v>
      </c>
      <c r="U20" s="2"/>
      <c r="V20" s="19">
        <f t="shared" si="9"/>
        <v>-5.2566562762851139E-3</v>
      </c>
      <c r="W20" s="2"/>
      <c r="X20" s="2">
        <f t="shared" si="10"/>
        <v>12864.25</v>
      </c>
      <c r="Y20" s="2"/>
      <c r="Z20" s="19">
        <f t="shared" si="11"/>
        <v>-1.1958679030421344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1">
        <f>D12-D18</f>
        <v>350976.91000000003</v>
      </c>
      <c r="E22" s="14"/>
      <c r="F22" s="20">
        <f>IF(D$12=0,0,D22/D$12)</f>
        <v>0.7666459505739891</v>
      </c>
      <c r="G22" s="14"/>
      <c r="H22" s="21">
        <f>H12-H18</f>
        <v>216626.13</v>
      </c>
      <c r="I22" s="14"/>
      <c r="J22" s="20">
        <f>IF(H$12=0,0,H22/H$12)</f>
        <v>0.71513083169851344</v>
      </c>
      <c r="K22" s="15"/>
      <c r="L22" s="21">
        <f>+D22-H22</f>
        <v>134350.78000000003</v>
      </c>
      <c r="M22" s="15"/>
      <c r="N22" s="20">
        <f>IF(H22=0,0,L22/H22)</f>
        <v>0.62019655708201049</v>
      </c>
      <c r="O22" s="28"/>
      <c r="P22" s="21">
        <f>P12-P18</f>
        <v>1663743.3799999997</v>
      </c>
      <c r="Q22" s="14"/>
      <c r="R22" s="20">
        <f>IF(P$12=0,0,P22/P$12)</f>
        <v>0.76342492371880577</v>
      </c>
      <c r="S22" s="14"/>
      <c r="T22" s="21">
        <f>T12-T18</f>
        <v>1553999.18</v>
      </c>
      <c r="U22" s="14"/>
      <c r="V22" s="20">
        <f>IF(T$12=0,0,T22/T$12)</f>
        <v>0.7593799105616138</v>
      </c>
      <c r="W22" s="15"/>
      <c r="X22" s="21">
        <f>+P22-T22</f>
        <v>109744.19999999972</v>
      </c>
      <c r="Y22" s="15"/>
      <c r="Z22" s="20">
        <f>IF(T22=0,0,X22/T22)</f>
        <v>7.0620500584819945E-2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2">
        <f>SUM(OSRRefD22x_0)</f>
        <v>180209.03999999998</v>
      </c>
      <c r="E24" s="22"/>
      <c r="F24" s="33">
        <f t="shared" ref="F24:F34" si="12">IF(D$12=0,0,D24/D$12)</f>
        <v>0.3936342444089157</v>
      </c>
      <c r="G24" s="22"/>
      <c r="H24" s="22">
        <f>SUM(OSRRefH22x_0)</f>
        <v>146513.13</v>
      </c>
      <c r="I24" s="22"/>
      <c r="J24" s="33">
        <f t="shared" ref="J24:J34" si="13">IF(H$12=0,0,H24/H$12)</f>
        <v>0.48367229064957412</v>
      </c>
      <c r="K24" s="4"/>
      <c r="L24" s="22">
        <f t="shared" ref="L24:L34" si="14">+D24-H24</f>
        <v>33695.909999999974</v>
      </c>
      <c r="M24" s="4"/>
      <c r="N24" s="33">
        <f t="shared" ref="N24:N34" si="15">IF(H24=0,0,L24/H24)</f>
        <v>0.22998559924287995</v>
      </c>
      <c r="O24" s="10"/>
      <c r="P24" s="22">
        <f>SUM(OSRRefP22x_0)</f>
        <v>871380.25000000012</v>
      </c>
      <c r="Q24" s="22"/>
      <c r="R24" s="33">
        <f t="shared" ref="R24:R34" si="16">IF(P$12=0,0,P24/P$12)</f>
        <v>0.39984135106600638</v>
      </c>
      <c r="S24" s="22"/>
      <c r="T24" s="22">
        <f>SUM(OSRRefT22x_0)</f>
        <v>796740.46</v>
      </c>
      <c r="U24" s="22"/>
      <c r="V24" s="33">
        <f t="shared" ref="V24:V34" si="17">IF(T$12=0,0,T24/T$12)</f>
        <v>0.38933656274877765</v>
      </c>
      <c r="W24" s="4"/>
      <c r="X24" s="22">
        <f t="shared" ref="X24:X34" si="18">+P24-T24</f>
        <v>74639.790000000154</v>
      </c>
      <c r="Y24" s="4"/>
      <c r="Z24" s="33">
        <f t="shared" ref="Z24:Z34" si="19">IF(T24=0,0,X24/T24)</f>
        <v>9.368143548276707E-2</v>
      </c>
    </row>
    <row r="25" spans="1:26" s="25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27696.140000000007</v>
      </c>
      <c r="E25" s="1"/>
      <c r="F25" s="5">
        <f t="shared" si="12"/>
        <v>6.0497237774217928E-2</v>
      </c>
      <c r="G25" s="1"/>
      <c r="H25" s="1">
        <f>SUM(OSRRefH22_0x_0)</f>
        <v>28376.849999999995</v>
      </c>
      <c r="I25" s="1"/>
      <c r="J25" s="5">
        <f t="shared" si="13"/>
        <v>9.3678266520682243E-2</v>
      </c>
      <c r="K25" s="1"/>
      <c r="L25" s="1">
        <f t="shared" si="14"/>
        <v>-680.70999999998821</v>
      </c>
      <c r="M25" s="1"/>
      <c r="N25" s="5">
        <f t="shared" si="15"/>
        <v>-2.3988215746285735E-2</v>
      </c>
      <c r="O25" s="13"/>
      <c r="P25" s="1">
        <f>SUM(OSRRefP22_0x_0)</f>
        <v>140333.37999999998</v>
      </c>
      <c r="Q25" s="1"/>
      <c r="R25" s="5">
        <f t="shared" si="16"/>
        <v>6.4393344075516126E-2</v>
      </c>
      <c r="S25" s="1"/>
      <c r="T25" s="1">
        <f>SUM(OSRRefT22_0x_0)</f>
        <v>142360.78</v>
      </c>
      <c r="U25" s="1"/>
      <c r="V25" s="5">
        <f t="shared" si="17"/>
        <v>6.9566263467321518E-2</v>
      </c>
      <c r="W25" s="1"/>
      <c r="X25" s="1">
        <f t="shared" si="18"/>
        <v>-2027.4000000000233</v>
      </c>
      <c r="Y25" s="1"/>
      <c r="Z25" s="5">
        <f t="shared" si="19"/>
        <v>-1.4241281903625586E-2</v>
      </c>
    </row>
    <row r="26" spans="1:26" s="24" customFormat="1" hidden="1" outlineLevel="2" x14ac:dyDescent="0.25">
      <c r="A26" s="26"/>
      <c r="B26" s="11" t="str">
        <f>CONCATENATE("          ", "6111", " - ", "F.I.C.A.")</f>
        <v xml:space="preserve">          6111 - F.I.C.A.</v>
      </c>
      <c r="C26" s="11"/>
      <c r="D26" s="6">
        <v>4008.53</v>
      </c>
      <c r="E26" s="2"/>
      <c r="F26" s="7">
        <f t="shared" si="12"/>
        <v>8.7559130093610785E-3</v>
      </c>
      <c r="G26" s="2"/>
      <c r="H26" s="6">
        <v>3198.82</v>
      </c>
      <c r="I26" s="2"/>
      <c r="J26" s="7">
        <f t="shared" si="13"/>
        <v>1.0560013268269341E-2</v>
      </c>
      <c r="K26" s="2"/>
      <c r="L26" s="6">
        <f t="shared" si="14"/>
        <v>809.71</v>
      </c>
      <c r="M26" s="2"/>
      <c r="N26" s="7">
        <f t="shared" si="15"/>
        <v>0.25312771584521793</v>
      </c>
      <c r="O26" s="11"/>
      <c r="P26" s="6">
        <v>23808.3</v>
      </c>
      <c r="Q26" s="2"/>
      <c r="R26" s="7">
        <f t="shared" si="16"/>
        <v>1.0924671334454503E-2</v>
      </c>
      <c r="S26" s="2"/>
      <c r="T26" s="6">
        <v>20536.769999999997</v>
      </c>
      <c r="U26" s="2"/>
      <c r="V26" s="7">
        <f t="shared" si="17"/>
        <v>1.0035533330091224E-2</v>
      </c>
      <c r="W26" s="2"/>
      <c r="X26" s="6">
        <f t="shared" si="18"/>
        <v>3271.5300000000025</v>
      </c>
      <c r="Y26" s="2"/>
      <c r="Z26" s="7">
        <f t="shared" si="19"/>
        <v>0.15930109749488372</v>
      </c>
    </row>
    <row r="27" spans="1:26" s="24" customFormat="1" hidden="1" outlineLevel="2" x14ac:dyDescent="0.25">
      <c r="A27" s="26"/>
      <c r="B27" s="11" t="str">
        <f>CONCATENATE("          ", "6112", " - ", "COMPENSATION INSURANCE")</f>
        <v xml:space="preserve">          6112 - COMPENSATION INSURANCE</v>
      </c>
      <c r="C27" s="11"/>
      <c r="D27" s="6">
        <v>3832.56</v>
      </c>
      <c r="E27" s="2"/>
      <c r="F27" s="7">
        <f t="shared" si="12"/>
        <v>8.3715381856084136E-3</v>
      </c>
      <c r="G27" s="2"/>
      <c r="H27" s="6">
        <v>2869.82</v>
      </c>
      <c r="I27" s="2"/>
      <c r="J27" s="7">
        <f t="shared" si="13"/>
        <v>9.4739114040629721E-3</v>
      </c>
      <c r="K27" s="2"/>
      <c r="L27" s="6">
        <f t="shared" si="14"/>
        <v>962.73999999999978</v>
      </c>
      <c r="M27" s="2"/>
      <c r="N27" s="7">
        <f t="shared" si="15"/>
        <v>0.3354705173146747</v>
      </c>
      <c r="O27" s="11"/>
      <c r="P27" s="6">
        <v>11426.93</v>
      </c>
      <c r="Q27" s="2"/>
      <c r="R27" s="7">
        <f t="shared" si="16"/>
        <v>5.2433586023285239E-3</v>
      </c>
      <c r="S27" s="2"/>
      <c r="T27" s="6">
        <v>13682.12</v>
      </c>
      <c r="U27" s="2"/>
      <c r="V27" s="7">
        <f t="shared" si="17"/>
        <v>6.6859282782203711E-3</v>
      </c>
      <c r="W27" s="2"/>
      <c r="X27" s="6">
        <f t="shared" si="18"/>
        <v>-2255.1900000000005</v>
      </c>
      <c r="Y27" s="2"/>
      <c r="Z27" s="7">
        <f t="shared" si="19"/>
        <v>-0.16482752672831405</v>
      </c>
    </row>
    <row r="28" spans="1:26" s="24" customFormat="1" hidden="1" outlineLevel="2" x14ac:dyDescent="0.25">
      <c r="A28" s="26"/>
      <c r="B28" s="11" t="str">
        <f>CONCATENATE("          ", "6113", " - ", "GROUP INSURANCE")</f>
        <v xml:space="preserve">          6113 - GROUP INSURANCE</v>
      </c>
      <c r="C28" s="11"/>
      <c r="D28" s="6">
        <v>12745.03</v>
      </c>
      <c r="E28" s="2"/>
      <c r="F28" s="7">
        <f t="shared" si="12"/>
        <v>2.7839226345243075E-2</v>
      </c>
      <c r="G28" s="2"/>
      <c r="H28" s="6">
        <v>15816.049999999997</v>
      </c>
      <c r="I28" s="2"/>
      <c r="J28" s="7">
        <f t="shared" si="13"/>
        <v>5.2212283858301269E-2</v>
      </c>
      <c r="K28" s="2"/>
      <c r="L28" s="6">
        <f t="shared" si="14"/>
        <v>-3071.0199999999968</v>
      </c>
      <c r="M28" s="2"/>
      <c r="N28" s="7">
        <f t="shared" si="15"/>
        <v>-0.19417111099168233</v>
      </c>
      <c r="O28" s="11"/>
      <c r="P28" s="6">
        <v>63571.14</v>
      </c>
      <c r="Q28" s="2"/>
      <c r="R28" s="7">
        <f t="shared" si="16"/>
        <v>2.9170239406282432E-2</v>
      </c>
      <c r="S28" s="2"/>
      <c r="T28" s="6">
        <v>68868.36</v>
      </c>
      <c r="U28" s="2"/>
      <c r="V28" s="7">
        <f t="shared" si="17"/>
        <v>3.3653331179573094E-2</v>
      </c>
      <c r="W28" s="2"/>
      <c r="X28" s="6">
        <f t="shared" si="18"/>
        <v>-5297.2200000000012</v>
      </c>
      <c r="Y28" s="2"/>
      <c r="Z28" s="7">
        <f t="shared" si="19"/>
        <v>-7.6918050611340258E-2</v>
      </c>
    </row>
    <row r="29" spans="1:26" s="24" customFormat="1" hidden="1" outlineLevel="2" x14ac:dyDescent="0.25">
      <c r="A29" s="26"/>
      <c r="B29" s="11" t="str">
        <f>CONCATENATE("          ", "6114", " - ", "STATE UNEMPLOYMENT INSURANCE")</f>
        <v xml:space="preserve">          6114 - STATE UNEMPLOYMENT INSURANCE</v>
      </c>
      <c r="C29" s="11"/>
      <c r="D29" s="6">
        <v>256.8</v>
      </c>
      <c r="E29" s="2"/>
      <c r="F29" s="7">
        <f t="shared" si="12"/>
        <v>5.6093342467286632E-4</v>
      </c>
      <c r="G29" s="2"/>
      <c r="H29" s="6">
        <v>213.16</v>
      </c>
      <c r="I29" s="2"/>
      <c r="J29" s="7">
        <f t="shared" si="13"/>
        <v>7.0368836891863008E-4</v>
      </c>
      <c r="K29" s="2"/>
      <c r="L29" s="6">
        <f t="shared" si="14"/>
        <v>43.640000000000015</v>
      </c>
      <c r="M29" s="2"/>
      <c r="N29" s="7">
        <f t="shared" si="15"/>
        <v>0.20472884218427478</v>
      </c>
      <c r="O29" s="11"/>
      <c r="P29" s="6">
        <v>1076.93</v>
      </c>
      <c r="Q29" s="2"/>
      <c r="R29" s="7">
        <f t="shared" si="16"/>
        <v>4.9415986442602326E-4</v>
      </c>
      <c r="S29" s="2"/>
      <c r="T29" s="6">
        <v>1016.31</v>
      </c>
      <c r="U29" s="2"/>
      <c r="V29" s="7">
        <f t="shared" si="17"/>
        <v>4.9663179159648832E-4</v>
      </c>
      <c r="W29" s="2"/>
      <c r="X29" s="6">
        <f t="shared" si="18"/>
        <v>60.620000000000118</v>
      </c>
      <c r="Y29" s="2"/>
      <c r="Z29" s="7">
        <f t="shared" si="19"/>
        <v>5.9647154903523653E-2</v>
      </c>
    </row>
    <row r="30" spans="1:26" s="24" customFormat="1" hidden="1" outlineLevel="2" x14ac:dyDescent="0.25">
      <c r="A30" s="26"/>
      <c r="B30" s="11" t="str">
        <f>CONCATENATE("          ", "6115", " - ", "P.E.R.S.")</f>
        <v xml:space="preserve">          6115 - P.E.R.S.</v>
      </c>
      <c r="C30" s="11"/>
      <c r="D30" s="6">
        <v>1217.31</v>
      </c>
      <c r="E30" s="2"/>
      <c r="F30" s="7">
        <f t="shared" si="12"/>
        <v>2.6589948099241703E-3</v>
      </c>
      <c r="G30" s="2"/>
      <c r="H30" s="6">
        <v>1096.69</v>
      </c>
      <c r="I30" s="2"/>
      <c r="J30" s="7">
        <f t="shared" si="13"/>
        <v>3.6204165758555664E-3</v>
      </c>
      <c r="K30" s="2"/>
      <c r="L30" s="6">
        <f t="shared" si="14"/>
        <v>120.61999999999989</v>
      </c>
      <c r="M30" s="2"/>
      <c r="N30" s="7">
        <f t="shared" si="15"/>
        <v>0.10998550182822847</v>
      </c>
      <c r="O30" s="11"/>
      <c r="P30" s="6">
        <v>6500.03</v>
      </c>
      <c r="Q30" s="2"/>
      <c r="R30" s="7">
        <f t="shared" si="16"/>
        <v>2.9826023451525016E-3</v>
      </c>
      <c r="S30" s="2"/>
      <c r="T30" s="6">
        <v>6586.94</v>
      </c>
      <c r="U30" s="2"/>
      <c r="V30" s="7">
        <f t="shared" si="17"/>
        <v>3.2187854230880074E-3</v>
      </c>
      <c r="W30" s="2"/>
      <c r="X30" s="6">
        <f t="shared" si="18"/>
        <v>-86.909999999999854</v>
      </c>
      <c r="Y30" s="2"/>
      <c r="Z30" s="7">
        <f t="shared" si="19"/>
        <v>-1.3194290520332637E-2</v>
      </c>
    </row>
    <row r="31" spans="1:26" s="24" customFormat="1" hidden="1" outlineLevel="2" x14ac:dyDescent="0.25">
      <c r="A31" s="26"/>
      <c r="B31" s="11" t="str">
        <f>CONCATENATE("          ", "6117", " - ", "RETIREMENT STAFF HOURLY")</f>
        <v xml:space="preserve">          6117 - RETIREMENT STAFF HOURLY</v>
      </c>
      <c r="C31" s="11"/>
      <c r="D31" s="6">
        <v>523.24</v>
      </c>
      <c r="E31" s="2"/>
      <c r="F31" s="7">
        <f t="shared" si="12"/>
        <v>1.1429236959728606E-3</v>
      </c>
      <c r="G31" s="2"/>
      <c r="H31" s="6">
        <v>377.25</v>
      </c>
      <c r="I31" s="2"/>
      <c r="J31" s="7">
        <f t="shared" si="13"/>
        <v>1.2453858002183956E-3</v>
      </c>
      <c r="K31" s="2"/>
      <c r="L31" s="6">
        <f t="shared" si="14"/>
        <v>145.99</v>
      </c>
      <c r="M31" s="2"/>
      <c r="N31" s="7">
        <f t="shared" si="15"/>
        <v>0.38698475811795896</v>
      </c>
      <c r="O31" s="11"/>
      <c r="P31" s="6">
        <v>2203.94</v>
      </c>
      <c r="Q31" s="2"/>
      <c r="R31" s="7">
        <f t="shared" si="16"/>
        <v>1.0112994267065544E-3</v>
      </c>
      <c r="S31" s="2"/>
      <c r="T31" s="6">
        <v>1936.87</v>
      </c>
      <c r="U31" s="2"/>
      <c r="V31" s="7">
        <f t="shared" si="17"/>
        <v>9.4647422360253297E-4</v>
      </c>
      <c r="W31" s="2"/>
      <c r="X31" s="6">
        <f t="shared" si="18"/>
        <v>267.07000000000016</v>
      </c>
      <c r="Y31" s="2"/>
      <c r="Z31" s="7">
        <f t="shared" si="19"/>
        <v>0.13788741629536322</v>
      </c>
    </row>
    <row r="32" spans="1:26" s="24" customFormat="1" hidden="1" outlineLevel="2" x14ac:dyDescent="0.25">
      <c r="A32" s="26"/>
      <c r="B32" s="11" t="str">
        <f>CONCATENATE("          ", "6118", " - ", "VACATION")</f>
        <v xml:space="preserve">          6118 - VACATION</v>
      </c>
      <c r="C32" s="11"/>
      <c r="D32" s="6">
        <v>2351.25</v>
      </c>
      <c r="E32" s="2"/>
      <c r="F32" s="7">
        <f t="shared" si="12"/>
        <v>5.1358828456467172E-3</v>
      </c>
      <c r="G32" s="2"/>
      <c r="H32" s="6">
        <v>2275.62</v>
      </c>
      <c r="I32" s="2"/>
      <c r="J32" s="7">
        <f t="shared" si="13"/>
        <v>7.5123256055480061E-3</v>
      </c>
      <c r="K32" s="2"/>
      <c r="L32" s="6">
        <f t="shared" si="14"/>
        <v>75.630000000000109</v>
      </c>
      <c r="M32" s="2"/>
      <c r="N32" s="7">
        <f t="shared" si="15"/>
        <v>3.3234898621035194E-2</v>
      </c>
      <c r="O32" s="11"/>
      <c r="P32" s="6">
        <v>13638.27</v>
      </c>
      <c r="Q32" s="2"/>
      <c r="R32" s="7">
        <f t="shared" si="16"/>
        <v>6.2580535914177338E-3</v>
      </c>
      <c r="S32" s="2"/>
      <c r="T32" s="6">
        <v>13624.2</v>
      </c>
      <c r="U32" s="2"/>
      <c r="V32" s="7">
        <f t="shared" si="17"/>
        <v>6.6576249914581933E-3</v>
      </c>
      <c r="W32" s="2"/>
      <c r="X32" s="6">
        <f t="shared" si="18"/>
        <v>14.069999999999709</v>
      </c>
      <c r="Y32" s="2"/>
      <c r="Z32" s="7">
        <f t="shared" si="19"/>
        <v>1.0327211872990494E-3</v>
      </c>
    </row>
    <row r="33" spans="1:26" s="24" customFormat="1" hidden="1" outlineLevel="2" x14ac:dyDescent="0.25">
      <c r="A33" s="26"/>
      <c r="B33" s="11" t="str">
        <f>CONCATENATE("          ", "6119", " - ", "SICK LEAVE")</f>
        <v xml:space="preserve">          6119 - SICK LEAVE</v>
      </c>
      <c r="C33" s="11"/>
      <c r="D33" s="6">
        <v>1608.68</v>
      </c>
      <c r="E33" s="2"/>
      <c r="F33" s="7">
        <f t="shared" si="12"/>
        <v>3.5138722025029076E-3</v>
      </c>
      <c r="G33" s="2"/>
      <c r="H33" s="6">
        <v>1554.71</v>
      </c>
      <c r="I33" s="2"/>
      <c r="J33" s="7">
        <f t="shared" si="13"/>
        <v>5.132442034347361E-3</v>
      </c>
      <c r="K33" s="2"/>
      <c r="L33" s="6">
        <f t="shared" si="14"/>
        <v>53.970000000000027</v>
      </c>
      <c r="M33" s="2"/>
      <c r="N33" s="7">
        <f t="shared" si="15"/>
        <v>3.4713869467617772E-2</v>
      </c>
      <c r="O33" s="11"/>
      <c r="P33" s="6">
        <v>13075.66</v>
      </c>
      <c r="Q33" s="2"/>
      <c r="R33" s="7">
        <f t="shared" si="16"/>
        <v>5.9998944897818561E-3</v>
      </c>
      <c r="S33" s="2"/>
      <c r="T33" s="6">
        <v>11642.75</v>
      </c>
      <c r="U33" s="2"/>
      <c r="V33" s="7">
        <f t="shared" si="17"/>
        <v>5.6893662284244126E-3</v>
      </c>
      <c r="W33" s="2"/>
      <c r="X33" s="6">
        <f t="shared" si="18"/>
        <v>1432.9099999999999</v>
      </c>
      <c r="Y33" s="2"/>
      <c r="Z33" s="7">
        <f t="shared" si="19"/>
        <v>0.12307315711494277</v>
      </c>
    </row>
    <row r="34" spans="1:26" s="24" customFormat="1" hidden="1" outlineLevel="2" x14ac:dyDescent="0.25">
      <c r="A34" s="26"/>
      <c r="B34" s="11" t="str">
        <f>CONCATENATE("          ", "6156", " - ", "EMPLOYEE MEALS")</f>
        <v xml:space="preserve">          6156 - EMPLOYEE MEALS</v>
      </c>
      <c r="C34" s="11"/>
      <c r="D34" s="6">
        <v>1152.74</v>
      </c>
      <c r="E34" s="2"/>
      <c r="F34" s="7">
        <f t="shared" si="12"/>
        <v>2.5179532552858253E-3</v>
      </c>
      <c r="G34" s="2"/>
      <c r="H34" s="6">
        <v>974.73</v>
      </c>
      <c r="I34" s="2"/>
      <c r="J34" s="7">
        <f t="shared" si="13"/>
        <v>3.2177996051607071E-3</v>
      </c>
      <c r="K34" s="2"/>
      <c r="L34" s="6">
        <f t="shared" si="14"/>
        <v>178.01</v>
      </c>
      <c r="M34" s="2"/>
      <c r="N34" s="7">
        <f t="shared" si="15"/>
        <v>0.18262493203246025</v>
      </c>
      <c r="O34" s="11"/>
      <c r="P34" s="6">
        <v>5032.18</v>
      </c>
      <c r="Q34" s="2"/>
      <c r="R34" s="7">
        <f t="shared" si="16"/>
        <v>2.3090650149660105E-3</v>
      </c>
      <c r="S34" s="2"/>
      <c r="T34" s="6">
        <v>4466.46</v>
      </c>
      <c r="U34" s="2"/>
      <c r="V34" s="7">
        <f t="shared" si="17"/>
        <v>2.1825880212671834E-3</v>
      </c>
      <c r="W34" s="2"/>
      <c r="X34" s="6">
        <f t="shared" si="18"/>
        <v>565.72000000000025</v>
      </c>
      <c r="Y34" s="2"/>
      <c r="Z34" s="7">
        <f t="shared" si="19"/>
        <v>0.12665959171245242</v>
      </c>
    </row>
    <row r="35" spans="1:26" s="25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88740.62</v>
      </c>
      <c r="E35" s="1"/>
      <c r="F35" s="5">
        <f t="shared" ref="F35:F41" si="20">IF(D$12=0,0,D35/D$12)</f>
        <v>0.1938379278979496</v>
      </c>
      <c r="G35" s="1"/>
      <c r="H35" s="1">
        <f>SUM(OSRRefH22_1x_0)</f>
        <v>66235.59</v>
      </c>
      <c r="I35" s="1"/>
      <c r="J35" s="5">
        <f t="shared" ref="J35:J41" si="21">IF(H$12=0,0,H35/H$12)</f>
        <v>0.21865835190215391</v>
      </c>
      <c r="K35" s="1"/>
      <c r="L35" s="1">
        <f t="shared" ref="L35:L41" si="22">+D35-H35</f>
        <v>22505.03</v>
      </c>
      <c r="M35" s="1"/>
      <c r="N35" s="5">
        <f t="shared" ref="N35:N41" si="23">IF(H35=0,0,L35/H35)</f>
        <v>0.33977246975530828</v>
      </c>
      <c r="O35" s="13"/>
      <c r="P35" s="1">
        <f>SUM(OSRRefP22_1x_0)</f>
        <v>439822.2</v>
      </c>
      <c r="Q35" s="1"/>
      <c r="R35" s="5">
        <f t="shared" ref="R35:R41" si="24">IF(P$12=0,0,P35/P$12)</f>
        <v>0.20181671856439626</v>
      </c>
      <c r="S35" s="1"/>
      <c r="T35" s="1">
        <f>SUM(OSRRefT22_1x_0)</f>
        <v>373508.96</v>
      </c>
      <c r="U35" s="1"/>
      <c r="V35" s="5">
        <f t="shared" ref="V35:V41" si="25">IF(T$12=0,0,T35/T$12)</f>
        <v>0.18251953044065405</v>
      </c>
      <c r="W35" s="1"/>
      <c r="X35" s="1">
        <f t="shared" ref="X35:X41" si="26">+P35-T35</f>
        <v>66313.239999999991</v>
      </c>
      <c r="Y35" s="1"/>
      <c r="Z35" s="5">
        <f t="shared" ref="Z35:Z41" si="27">IF(T35=0,0,X35/T35)</f>
        <v>0.17754122953302107</v>
      </c>
    </row>
    <row r="36" spans="1:26" s="24" customFormat="1" hidden="1" outlineLevel="2" x14ac:dyDescent="0.25">
      <c r="A36" s="26"/>
      <c r="B36" s="11" t="str">
        <f>CONCATENATE("          ", "6002", " - ", "STAFF SALARIES")</f>
        <v xml:space="preserve">          6002 - STAFF SALARIES</v>
      </c>
      <c r="C36" s="11"/>
      <c r="D36" s="6">
        <v>14556.54</v>
      </c>
      <c r="E36" s="2"/>
      <c r="F36" s="7">
        <f t="shared" si="20"/>
        <v>3.1796144211789591E-2</v>
      </c>
      <c r="G36" s="2"/>
      <c r="H36" s="6">
        <v>12874.6</v>
      </c>
      <c r="I36" s="2"/>
      <c r="J36" s="7">
        <f t="shared" si="21"/>
        <v>4.2501905960216718E-2</v>
      </c>
      <c r="K36" s="2"/>
      <c r="L36" s="6">
        <f t="shared" si="22"/>
        <v>1681.9400000000005</v>
      </c>
      <c r="M36" s="2"/>
      <c r="N36" s="7">
        <f t="shared" si="23"/>
        <v>0.13064017522874502</v>
      </c>
      <c r="O36" s="11"/>
      <c r="P36" s="6">
        <v>75224.13</v>
      </c>
      <c r="Q36" s="2"/>
      <c r="R36" s="7">
        <f t="shared" si="24"/>
        <v>3.4517327850803255E-2</v>
      </c>
      <c r="S36" s="2"/>
      <c r="T36" s="6">
        <v>71589.39</v>
      </c>
      <c r="U36" s="2"/>
      <c r="V36" s="7">
        <f t="shared" si="25"/>
        <v>3.4982994376715495E-2</v>
      </c>
      <c r="W36" s="2"/>
      <c r="X36" s="6">
        <f t="shared" si="26"/>
        <v>3634.7400000000052</v>
      </c>
      <c r="Y36" s="2"/>
      <c r="Z36" s="7">
        <f t="shared" si="27"/>
        <v>5.0772048763091923E-2</v>
      </c>
    </row>
    <row r="37" spans="1:26" s="24" customFormat="1" hidden="1" outlineLevel="2" x14ac:dyDescent="0.25">
      <c r="A37" s="26"/>
      <c r="B37" s="11" t="str">
        <f>CONCATENATE("          ", "6004", " - ", "STAFF HOURLY")</f>
        <v xml:space="preserve">          6004 - STAFF HOURLY</v>
      </c>
      <c r="C37" s="11"/>
      <c r="D37" s="6">
        <v>18165.390000000003</v>
      </c>
      <c r="E37" s="2"/>
      <c r="F37" s="7">
        <f t="shared" si="20"/>
        <v>3.9679028127796889E-2</v>
      </c>
      <c r="G37" s="2"/>
      <c r="H37" s="6">
        <v>18716.230000000003</v>
      </c>
      <c r="I37" s="2"/>
      <c r="J37" s="7">
        <f t="shared" si="21"/>
        <v>6.1786420346246644E-2</v>
      </c>
      <c r="K37" s="2"/>
      <c r="L37" s="6">
        <f t="shared" si="22"/>
        <v>-550.84000000000015</v>
      </c>
      <c r="M37" s="2"/>
      <c r="N37" s="7">
        <f t="shared" si="23"/>
        <v>-2.9431140779954085E-2</v>
      </c>
      <c r="O37" s="11"/>
      <c r="P37" s="6">
        <v>90784.2</v>
      </c>
      <c r="Q37" s="2"/>
      <c r="R37" s="7">
        <f t="shared" si="24"/>
        <v>4.1657218170192099E-2</v>
      </c>
      <c r="S37" s="2"/>
      <c r="T37" s="6">
        <v>101545.49</v>
      </c>
      <c r="U37" s="2"/>
      <c r="V37" s="7">
        <f t="shared" si="25"/>
        <v>4.9621393696060549E-2</v>
      </c>
      <c r="W37" s="2"/>
      <c r="X37" s="6">
        <f t="shared" si="26"/>
        <v>-10761.290000000008</v>
      </c>
      <c r="Y37" s="2"/>
      <c r="Z37" s="7">
        <f t="shared" si="27"/>
        <v>-0.10597506595319997</v>
      </c>
    </row>
    <row r="38" spans="1:26" s="24" customFormat="1" hidden="1" outlineLevel="2" x14ac:dyDescent="0.25">
      <c r="A38" s="26"/>
      <c r="B38" s="11" t="str">
        <f>CONCATENATE("          ", "6005", " - ", "TEMPORARY WAGES-HOURLY")</f>
        <v xml:space="preserve">          6005 - TEMPORARY WAGES-HOURLY</v>
      </c>
      <c r="C38" s="11"/>
      <c r="D38" s="6">
        <v>14975.54</v>
      </c>
      <c r="E38" s="2"/>
      <c r="F38" s="7">
        <f t="shared" si="20"/>
        <v>3.2711374371205207E-2</v>
      </c>
      <c r="G38" s="2"/>
      <c r="H38" s="6">
        <v>7852.12</v>
      </c>
      <c r="I38" s="2"/>
      <c r="J38" s="7">
        <f t="shared" si="21"/>
        <v>2.5921587142772349E-2</v>
      </c>
      <c r="K38" s="2"/>
      <c r="L38" s="6">
        <f t="shared" si="22"/>
        <v>7123.420000000001</v>
      </c>
      <c r="M38" s="2"/>
      <c r="N38" s="7">
        <f t="shared" si="23"/>
        <v>0.90719703723325684</v>
      </c>
      <c r="O38" s="11"/>
      <c r="P38" s="6">
        <v>76869.549999999988</v>
      </c>
      <c r="Q38" s="2"/>
      <c r="R38" s="7">
        <f t="shared" si="24"/>
        <v>3.5272344912380009E-2</v>
      </c>
      <c r="S38" s="2"/>
      <c r="T38" s="6">
        <v>42168.259999999995</v>
      </c>
      <c r="U38" s="2"/>
      <c r="V38" s="7">
        <f t="shared" si="25"/>
        <v>2.0606014417162612E-2</v>
      </c>
      <c r="W38" s="2"/>
      <c r="X38" s="6">
        <f t="shared" si="26"/>
        <v>34701.289999999994</v>
      </c>
      <c r="Y38" s="2"/>
      <c r="Z38" s="7">
        <f t="shared" si="27"/>
        <v>0.82292439858794264</v>
      </c>
    </row>
    <row r="39" spans="1:26" s="24" customFormat="1" hidden="1" outlineLevel="2" x14ac:dyDescent="0.25">
      <c r="A39" s="26"/>
      <c r="B39" s="11" t="str">
        <f>CONCATENATE("          ", "6006", " - ", "TEMPORARY PART TIME")</f>
        <v xml:space="preserve">          6006 - TEMPORARY PART TIME</v>
      </c>
      <c r="C39" s="11"/>
      <c r="D39" s="6">
        <v>960</v>
      </c>
      <c r="E39" s="2"/>
      <c r="F39" s="7">
        <f t="shared" si="20"/>
        <v>2.0969473819546407E-3</v>
      </c>
      <c r="G39" s="2"/>
      <c r="H39" s="6"/>
      <c r="I39" s="2"/>
      <c r="J39" s="7">
        <f t="shared" si="21"/>
        <v>0</v>
      </c>
      <c r="K39" s="2"/>
      <c r="L39" s="6">
        <f t="shared" si="22"/>
        <v>960</v>
      </c>
      <c r="M39" s="2"/>
      <c r="N39" s="7">
        <f t="shared" si="23"/>
        <v>0</v>
      </c>
      <c r="O39" s="11"/>
      <c r="P39" s="6">
        <v>9473.07</v>
      </c>
      <c r="Q39" s="2"/>
      <c r="R39" s="7">
        <f t="shared" si="24"/>
        <v>4.3468108297644486E-3</v>
      </c>
      <c r="S39" s="2"/>
      <c r="T39" s="6"/>
      <c r="U39" s="2"/>
      <c r="V39" s="7">
        <f t="shared" si="25"/>
        <v>0</v>
      </c>
      <c r="W39" s="2"/>
      <c r="X39" s="6">
        <f t="shared" si="26"/>
        <v>9473.07</v>
      </c>
      <c r="Y39" s="2"/>
      <c r="Z39" s="7">
        <f t="shared" si="27"/>
        <v>0</v>
      </c>
    </row>
    <row r="40" spans="1:26" s="24" customFormat="1" hidden="1" outlineLevel="2" x14ac:dyDescent="0.25">
      <c r="A40" s="26"/>
      <c r="B40" s="11" t="str">
        <f>CONCATENATE("          ", "6007", " - ", "STUDENT HOURLY")</f>
        <v xml:space="preserve">          6007 - STUDENT HOURLY</v>
      </c>
      <c r="C40" s="11"/>
      <c r="D40" s="6">
        <v>36201.15</v>
      </c>
      <c r="E40" s="2"/>
      <c r="F40" s="7">
        <f t="shared" si="20"/>
        <v>7.9074902829424212E-2</v>
      </c>
      <c r="G40" s="2"/>
      <c r="H40" s="6">
        <v>23500.89</v>
      </c>
      <c r="I40" s="2"/>
      <c r="J40" s="7">
        <f t="shared" si="21"/>
        <v>7.7581642673278967E-2</v>
      </c>
      <c r="K40" s="2"/>
      <c r="L40" s="6">
        <f t="shared" si="22"/>
        <v>12700.260000000002</v>
      </c>
      <c r="M40" s="2"/>
      <c r="N40" s="7">
        <f t="shared" si="23"/>
        <v>0.54041612892107505</v>
      </c>
      <c r="O40" s="11"/>
      <c r="P40" s="6">
        <v>172222.25</v>
      </c>
      <c r="Q40" s="2"/>
      <c r="R40" s="7">
        <f t="shared" si="24"/>
        <v>7.9025863994080098E-2</v>
      </c>
      <c r="S40" s="2"/>
      <c r="T40" s="6">
        <v>139569.07</v>
      </c>
      <c r="U40" s="2"/>
      <c r="V40" s="7">
        <f t="shared" si="25"/>
        <v>6.8202061659883004E-2</v>
      </c>
      <c r="W40" s="2"/>
      <c r="X40" s="6">
        <f t="shared" si="26"/>
        <v>32653.179999999993</v>
      </c>
      <c r="Y40" s="2"/>
      <c r="Z40" s="7">
        <f t="shared" si="27"/>
        <v>0.23395713677822738</v>
      </c>
    </row>
    <row r="41" spans="1:26" s="24" customFormat="1" hidden="1" outlineLevel="2" x14ac:dyDescent="0.25">
      <c r="A41" s="26"/>
      <c r="B41" s="11" t="str">
        <f>CONCATENATE("          ", "6008", " - ", "STUDENT HOURLY-FICA EXEMPT")</f>
        <v xml:space="preserve">          6008 - STUDENT HOURLY-FICA EXEMPT</v>
      </c>
      <c r="C41" s="11"/>
      <c r="D41" s="6">
        <v>3882</v>
      </c>
      <c r="E41" s="2"/>
      <c r="F41" s="7">
        <f t="shared" si="20"/>
        <v>8.4795309757790781E-3</v>
      </c>
      <c r="G41" s="2"/>
      <c r="H41" s="6">
        <v>3291.75</v>
      </c>
      <c r="I41" s="2"/>
      <c r="J41" s="7">
        <f t="shared" si="21"/>
        <v>1.0866795779639241E-2</v>
      </c>
      <c r="K41" s="2"/>
      <c r="L41" s="6">
        <f t="shared" si="22"/>
        <v>590.25</v>
      </c>
      <c r="M41" s="2"/>
      <c r="N41" s="7">
        <f t="shared" si="23"/>
        <v>0.17931191615402142</v>
      </c>
      <c r="O41" s="11"/>
      <c r="P41" s="6">
        <v>15249</v>
      </c>
      <c r="Q41" s="2"/>
      <c r="R41" s="7">
        <f t="shared" si="24"/>
        <v>6.9971528071763513E-3</v>
      </c>
      <c r="S41" s="2"/>
      <c r="T41" s="6">
        <v>18636.75</v>
      </c>
      <c r="U41" s="2"/>
      <c r="V41" s="7">
        <f t="shared" si="25"/>
        <v>9.1070662908323777E-3</v>
      </c>
      <c r="W41" s="2"/>
      <c r="X41" s="6">
        <f t="shared" si="26"/>
        <v>-3387.75</v>
      </c>
      <c r="Y41" s="2"/>
      <c r="Z41" s="7">
        <f t="shared" si="27"/>
        <v>-0.1817779387500503</v>
      </c>
    </row>
    <row r="42" spans="1:26" s="25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139.5</v>
      </c>
      <c r="E42" s="1"/>
      <c r="F42" s="5">
        <f t="shared" ref="F42:F61" si="28">IF(D$12=0,0,D42/D$12)</f>
        <v>3.0471266644028372E-4</v>
      </c>
      <c r="G42" s="1"/>
      <c r="H42" s="1">
        <f>SUM(OSRRefH22_2x_0)</f>
        <v>153.69999999999999</v>
      </c>
      <c r="I42" s="1"/>
      <c r="J42" s="5">
        <f t="shared" ref="J42:J61" si="29">IF(H$12=0,0,H42/H$12)</f>
        <v>5.0739774020826342E-4</v>
      </c>
      <c r="K42" s="1"/>
      <c r="L42" s="1">
        <f t="shared" ref="L42:L61" si="30">+D42-H42</f>
        <v>-14.199999999999989</v>
      </c>
      <c r="M42" s="1"/>
      <c r="N42" s="5">
        <f t="shared" ref="N42:N61" si="31">IF(H42=0,0,L42/H42)</f>
        <v>-9.2387768379960891E-2</v>
      </c>
      <c r="O42" s="13"/>
      <c r="P42" s="1">
        <f>SUM(OSRRefP22_2x_0)</f>
        <v>2683.18</v>
      </c>
      <c r="Q42" s="1"/>
      <c r="R42" s="5">
        <f t="shared" ref="R42:R61" si="32">IF(P$12=0,0,P42/P$12)</f>
        <v>1.2312033883637905E-3</v>
      </c>
      <c r="S42" s="1"/>
      <c r="T42" s="1">
        <f>SUM(OSRRefT22_2x_0)</f>
        <v>4565.3599999999997</v>
      </c>
      <c r="U42" s="1"/>
      <c r="V42" s="5">
        <f t="shared" ref="V42:V61" si="33">IF(T$12=0,0,T42/T$12)</f>
        <v>2.2309166652723519E-3</v>
      </c>
      <c r="W42" s="1"/>
      <c r="X42" s="1">
        <f t="shared" ref="X42:X61" si="34">+P42-T42</f>
        <v>-1882.1799999999998</v>
      </c>
      <c r="Y42" s="1"/>
      <c r="Z42" s="5">
        <f t="shared" ref="Z42:Z61" si="35">IF(T42=0,0,X42/T42)</f>
        <v>-0.41227416895929347</v>
      </c>
    </row>
    <row r="43" spans="1:26" s="24" customFormat="1" hidden="1" outlineLevel="2" x14ac:dyDescent="0.25">
      <c r="A43" s="26"/>
      <c r="B43" s="11" t="str">
        <f>CONCATENATE("          ", "6362", " - ", "ADVERTISING EXPENSE")</f>
        <v xml:space="preserve">          6362 - ADVERTISING EXPENSE</v>
      </c>
      <c r="C43" s="11"/>
      <c r="D43" s="6">
        <v>139.5</v>
      </c>
      <c r="E43" s="2"/>
      <c r="F43" s="7">
        <f t="shared" si="28"/>
        <v>3.0471266644028372E-4</v>
      </c>
      <c r="G43" s="2"/>
      <c r="H43" s="6">
        <v>153.69999999999999</v>
      </c>
      <c r="I43" s="2"/>
      <c r="J43" s="7">
        <f t="shared" si="29"/>
        <v>5.0739774020826342E-4</v>
      </c>
      <c r="K43" s="2"/>
      <c r="L43" s="6">
        <f t="shared" si="30"/>
        <v>-14.199999999999989</v>
      </c>
      <c r="M43" s="2"/>
      <c r="N43" s="7">
        <f t="shared" si="31"/>
        <v>-9.2387768379960891E-2</v>
      </c>
      <c r="O43" s="11"/>
      <c r="P43" s="6">
        <v>2683.18</v>
      </c>
      <c r="Q43" s="2"/>
      <c r="R43" s="7">
        <f t="shared" si="32"/>
        <v>1.2312033883637905E-3</v>
      </c>
      <c r="S43" s="2"/>
      <c r="T43" s="6">
        <v>4565.3599999999997</v>
      </c>
      <c r="U43" s="2"/>
      <c r="V43" s="7">
        <f t="shared" si="33"/>
        <v>2.2309166652723519E-3</v>
      </c>
      <c r="W43" s="2"/>
      <c r="X43" s="6">
        <f t="shared" si="34"/>
        <v>-1882.1799999999998</v>
      </c>
      <c r="Y43" s="2"/>
      <c r="Z43" s="7">
        <f t="shared" si="35"/>
        <v>-0.41227416895929347</v>
      </c>
    </row>
    <row r="44" spans="1:26" s="25" customFormat="1" outlineLevel="1" collapsed="1" x14ac:dyDescent="0.25">
      <c r="A44" s="27"/>
      <c r="B44" s="13" t="str">
        <f>CONCATENATE("     ","Bad Debts/Over/Short                              ")</f>
        <v xml:space="preserve">     Bad Debts/Over/Short                              </v>
      </c>
      <c r="C44" s="13"/>
      <c r="D44" s="1">
        <f>SUM(OSRRefD22_3x_0)</f>
        <v>0.05</v>
      </c>
      <c r="E44" s="1"/>
      <c r="F44" s="5">
        <f t="shared" si="28"/>
        <v>1.092160094768042E-7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0.05</v>
      </c>
      <c r="M44" s="1"/>
      <c r="N44" s="5">
        <f t="shared" si="31"/>
        <v>0</v>
      </c>
      <c r="O44" s="13"/>
      <c r="P44" s="1">
        <f>SUM(OSRRefP22_3x_0)</f>
        <v>1.05</v>
      </c>
      <c r="Q44" s="1"/>
      <c r="R44" s="5">
        <f t="shared" si="32"/>
        <v>4.818027705118479E-7</v>
      </c>
      <c r="S44" s="1"/>
      <c r="T44" s="1">
        <f>SUM(OSRRefT22_3x_0)</f>
        <v>16.36</v>
      </c>
      <c r="U44" s="1"/>
      <c r="V44" s="5">
        <f t="shared" si="33"/>
        <v>7.9945057221896368E-6</v>
      </c>
      <c r="W44" s="1"/>
      <c r="X44" s="1">
        <f t="shared" si="34"/>
        <v>-15.309999999999999</v>
      </c>
      <c r="Y44" s="1"/>
      <c r="Z44" s="5">
        <f t="shared" si="35"/>
        <v>-0.93581907090464544</v>
      </c>
    </row>
    <row r="45" spans="1:26" s="24" customFormat="1" hidden="1" outlineLevel="2" x14ac:dyDescent="0.25">
      <c r="A45" s="26"/>
      <c r="B45" s="11" t="str">
        <f>CONCATENATE("          ", "6272", " - ", "CASH (OVER/SHORT)")</f>
        <v xml:space="preserve">          6272 - CASH (OVER/SHORT)</v>
      </c>
      <c r="C45" s="11"/>
      <c r="D45" s="6">
        <v>0.05</v>
      </c>
      <c r="E45" s="2"/>
      <c r="F45" s="7">
        <f t="shared" si="28"/>
        <v>1.092160094768042E-7</v>
      </c>
      <c r="G45" s="2"/>
      <c r="H45" s="6"/>
      <c r="I45" s="2"/>
      <c r="J45" s="7">
        <f t="shared" si="29"/>
        <v>0</v>
      </c>
      <c r="K45" s="2"/>
      <c r="L45" s="6">
        <f t="shared" si="30"/>
        <v>0.05</v>
      </c>
      <c r="M45" s="2"/>
      <c r="N45" s="7">
        <f t="shared" si="31"/>
        <v>0</v>
      </c>
      <c r="O45" s="11"/>
      <c r="P45" s="6">
        <v>1.05</v>
      </c>
      <c r="Q45" s="2"/>
      <c r="R45" s="7">
        <f t="shared" si="32"/>
        <v>4.818027705118479E-7</v>
      </c>
      <c r="S45" s="2"/>
      <c r="T45" s="6">
        <v>16.36</v>
      </c>
      <c r="U45" s="2"/>
      <c r="V45" s="7">
        <f t="shared" si="33"/>
        <v>7.9945057221896368E-6</v>
      </c>
      <c r="W45" s="2"/>
      <c r="X45" s="6">
        <f t="shared" si="34"/>
        <v>-15.309999999999999</v>
      </c>
      <c r="Y45" s="2"/>
      <c r="Z45" s="7">
        <f t="shared" si="35"/>
        <v>-0.93581907090464544</v>
      </c>
    </row>
    <row r="46" spans="1:26" s="25" customFormat="1" outlineLevel="1" collapsed="1" x14ac:dyDescent="0.25">
      <c r="A46" s="27"/>
      <c r="B46" s="13" t="str">
        <f>CONCATENATE("     ","Bank/card Fees                                    ")</f>
        <v xml:space="preserve">     Bank/card Fees                                    </v>
      </c>
      <c r="C46" s="13"/>
      <c r="D46" s="1">
        <f>SUM(OSRRefD22_4x_0)</f>
        <v>468.25</v>
      </c>
      <c r="E46" s="1"/>
      <c r="F46" s="5">
        <f t="shared" si="28"/>
        <v>1.0228079287502713E-3</v>
      </c>
      <c r="G46" s="1"/>
      <c r="H46" s="1">
        <f>SUM(OSRRefH22_4x_0)</f>
        <v>195.9</v>
      </c>
      <c r="I46" s="1"/>
      <c r="J46" s="5">
        <f t="shared" si="29"/>
        <v>6.4670928631619274E-4</v>
      </c>
      <c r="K46" s="1"/>
      <c r="L46" s="1">
        <f t="shared" si="30"/>
        <v>272.35000000000002</v>
      </c>
      <c r="M46" s="1"/>
      <c r="N46" s="5">
        <f t="shared" si="31"/>
        <v>1.3902501276161308</v>
      </c>
      <c r="O46" s="13"/>
      <c r="P46" s="1">
        <f>SUM(OSRRefP22_4x_0)</f>
        <v>1395.12</v>
      </c>
      <c r="Q46" s="1"/>
      <c r="R46" s="5">
        <f t="shared" si="32"/>
        <v>6.4016445828237064E-4</v>
      </c>
      <c r="S46" s="1"/>
      <c r="T46" s="1">
        <f>SUM(OSRRefT22_4x_0)</f>
        <v>1083.69</v>
      </c>
      <c r="U46" s="1"/>
      <c r="V46" s="5">
        <f t="shared" si="33"/>
        <v>5.2955781822002976E-4</v>
      </c>
      <c r="W46" s="1"/>
      <c r="X46" s="1">
        <f t="shared" si="34"/>
        <v>311.42999999999984</v>
      </c>
      <c r="Y46" s="1"/>
      <c r="Z46" s="5">
        <f t="shared" si="35"/>
        <v>0.2873792320682112</v>
      </c>
    </row>
    <row r="47" spans="1:26" s="24" customFormat="1" hidden="1" outlineLevel="2" x14ac:dyDescent="0.25">
      <c r="A47" s="26"/>
      <c r="B47" s="11" t="str">
        <f>CONCATENATE("          ", "6381", " - ", "BANK/CREDIT CARD FEES")</f>
        <v xml:space="preserve">          6381 - BANK/CREDIT CARD FEES</v>
      </c>
      <c r="C47" s="11"/>
      <c r="D47" s="6">
        <v>468.25</v>
      </c>
      <c r="E47" s="2"/>
      <c r="F47" s="7">
        <f t="shared" si="28"/>
        <v>1.0228079287502713E-3</v>
      </c>
      <c r="G47" s="2"/>
      <c r="H47" s="6">
        <v>195.9</v>
      </c>
      <c r="I47" s="2"/>
      <c r="J47" s="7">
        <f t="shared" si="29"/>
        <v>6.4670928631619274E-4</v>
      </c>
      <c r="K47" s="2"/>
      <c r="L47" s="6">
        <f t="shared" si="30"/>
        <v>272.35000000000002</v>
      </c>
      <c r="M47" s="2"/>
      <c r="N47" s="7">
        <f t="shared" si="31"/>
        <v>1.3902501276161308</v>
      </c>
      <c r="O47" s="11"/>
      <c r="P47" s="6">
        <v>1395.12</v>
      </c>
      <c r="Q47" s="2"/>
      <c r="R47" s="7">
        <f t="shared" si="32"/>
        <v>6.4016445828237064E-4</v>
      </c>
      <c r="S47" s="2"/>
      <c r="T47" s="6">
        <v>1083.69</v>
      </c>
      <c r="U47" s="2"/>
      <c r="V47" s="7">
        <f t="shared" si="33"/>
        <v>5.2955781822002976E-4</v>
      </c>
      <c r="W47" s="2"/>
      <c r="X47" s="6">
        <f t="shared" si="34"/>
        <v>311.42999999999984</v>
      </c>
      <c r="Y47" s="2"/>
      <c r="Z47" s="7">
        <f t="shared" si="35"/>
        <v>0.2873792320682112</v>
      </c>
    </row>
    <row r="48" spans="1:26" s="25" customFormat="1" outlineLevel="1" collapsed="1" x14ac:dyDescent="0.25">
      <c r="A48" s="27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SUM(OSRRefD22_5x_0)</f>
        <v>9841.51</v>
      </c>
      <c r="E48" s="1"/>
      <c r="F48" s="5">
        <f t="shared" si="28"/>
        <v>2.1497008988521266E-2</v>
      </c>
      <c r="G48" s="1"/>
      <c r="H48" s="1">
        <f>SUM(OSRRefH22_5x_0)</f>
        <v>7269.88</v>
      </c>
      <c r="I48" s="1"/>
      <c r="J48" s="5">
        <f t="shared" si="29"/>
        <v>2.3999483953059536E-2</v>
      </c>
      <c r="K48" s="1"/>
      <c r="L48" s="1">
        <f t="shared" si="30"/>
        <v>2571.63</v>
      </c>
      <c r="M48" s="1"/>
      <c r="N48" s="5">
        <f t="shared" si="31"/>
        <v>0.35373761327559738</v>
      </c>
      <c r="O48" s="13"/>
      <c r="P48" s="1">
        <f>SUM(OSRRefP22_5x_0)</f>
        <v>39570.51</v>
      </c>
      <c r="Q48" s="1"/>
      <c r="R48" s="5">
        <f t="shared" si="32"/>
        <v>1.8157315570063604E-2</v>
      </c>
      <c r="S48" s="1"/>
      <c r="T48" s="1">
        <f>SUM(OSRRefT22_5x_0)</f>
        <v>34940.18</v>
      </c>
      <c r="U48" s="1"/>
      <c r="V48" s="5">
        <f t="shared" si="33"/>
        <v>1.7073928419580435E-2</v>
      </c>
      <c r="W48" s="1"/>
      <c r="X48" s="1">
        <f t="shared" si="34"/>
        <v>4630.3300000000017</v>
      </c>
      <c r="Y48" s="1"/>
      <c r="Z48" s="5">
        <f t="shared" si="35"/>
        <v>0.13252164127374277</v>
      </c>
    </row>
    <row r="49" spans="1:26" s="24" customFormat="1" hidden="1" outlineLevel="2" x14ac:dyDescent="0.25">
      <c r="A49" s="26"/>
      <c r="B49" s="11" t="str">
        <f>CONCATENATE("          ", "6399", " - ", "DONATION-ON CAMPUS")</f>
        <v xml:space="preserve">          6399 - DONATION-ON CAMPUS</v>
      </c>
      <c r="C49" s="11"/>
      <c r="D49" s="6">
        <v>9841.51</v>
      </c>
      <c r="E49" s="2"/>
      <c r="F49" s="7">
        <f t="shared" si="28"/>
        <v>2.1497008988521266E-2</v>
      </c>
      <c r="G49" s="2"/>
      <c r="H49" s="6">
        <v>7269.88</v>
      </c>
      <c r="I49" s="2"/>
      <c r="J49" s="7">
        <f t="shared" si="29"/>
        <v>2.3999483953059536E-2</v>
      </c>
      <c r="K49" s="2"/>
      <c r="L49" s="6">
        <f t="shared" si="30"/>
        <v>2571.63</v>
      </c>
      <c r="M49" s="2"/>
      <c r="N49" s="7">
        <f t="shared" si="31"/>
        <v>0.35373761327559738</v>
      </c>
      <c r="O49" s="11"/>
      <c r="P49" s="6">
        <v>39570.51</v>
      </c>
      <c r="Q49" s="2"/>
      <c r="R49" s="7">
        <f t="shared" si="32"/>
        <v>1.8157315570063604E-2</v>
      </c>
      <c r="S49" s="2"/>
      <c r="T49" s="6">
        <v>34940.18</v>
      </c>
      <c r="U49" s="2"/>
      <c r="V49" s="7">
        <f t="shared" si="33"/>
        <v>1.7073928419580435E-2</v>
      </c>
      <c r="W49" s="2"/>
      <c r="X49" s="6">
        <f t="shared" si="34"/>
        <v>4630.3300000000017</v>
      </c>
      <c r="Y49" s="2"/>
      <c r="Z49" s="7">
        <f t="shared" si="35"/>
        <v>0.13252164127374277</v>
      </c>
    </row>
    <row r="50" spans="1:26" s="25" customFormat="1" outlineLevel="1" collapsed="1" x14ac:dyDescent="0.25">
      <c r="A50" s="27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3"/>
      <c r="P50" s="1">
        <f>SUM(OSRRefP22_6x_0)</f>
        <v>21.33</v>
      </c>
      <c r="Q50" s="1"/>
      <c r="R50" s="5">
        <f t="shared" si="32"/>
        <v>9.7874791381121101E-6</v>
      </c>
      <c r="S50" s="1"/>
      <c r="T50" s="1">
        <f>SUM(OSRRefT22_6x_0)</f>
        <v>0</v>
      </c>
      <c r="U50" s="1"/>
      <c r="V50" s="5">
        <f t="shared" si="33"/>
        <v>0</v>
      </c>
      <c r="W50" s="1"/>
      <c r="X50" s="1">
        <f t="shared" si="34"/>
        <v>21.33</v>
      </c>
      <c r="Y50" s="1"/>
      <c r="Z50" s="5">
        <f t="shared" si="35"/>
        <v>0</v>
      </c>
    </row>
    <row r="51" spans="1:26" s="24" customFormat="1" hidden="1" outlineLevel="2" x14ac:dyDescent="0.25">
      <c r="A51" s="26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8"/>
        <v>0</v>
      </c>
      <c r="G51" s="2"/>
      <c r="H51" s="6"/>
      <c r="I51" s="2"/>
      <c r="J51" s="7">
        <f t="shared" si="29"/>
        <v>0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>
        <v>21.33</v>
      </c>
      <c r="Q51" s="2"/>
      <c r="R51" s="7">
        <f t="shared" si="32"/>
        <v>9.7874791381121101E-6</v>
      </c>
      <c r="S51" s="2"/>
      <c r="T51" s="6"/>
      <c r="U51" s="2"/>
      <c r="V51" s="7">
        <f t="shared" si="33"/>
        <v>0</v>
      </c>
      <c r="W51" s="2"/>
      <c r="X51" s="6">
        <f t="shared" si="34"/>
        <v>21.33</v>
      </c>
      <c r="Y51" s="2"/>
      <c r="Z51" s="7">
        <f t="shared" si="35"/>
        <v>0</v>
      </c>
    </row>
    <row r="52" spans="1:26" s="25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SUM(OSRRefD22_7x_0)</f>
        <v>567.62</v>
      </c>
      <c r="E52" s="1"/>
      <c r="F52" s="5">
        <f t="shared" si="28"/>
        <v>1.2398638259844719E-3</v>
      </c>
      <c r="G52" s="1"/>
      <c r="H52" s="1">
        <f>SUM(OSRRefH22_7x_0)</f>
        <v>390.31</v>
      </c>
      <c r="I52" s="1"/>
      <c r="J52" s="5">
        <f t="shared" si="29"/>
        <v>1.2884997526394751E-3</v>
      </c>
      <c r="K52" s="1"/>
      <c r="L52" s="1">
        <f t="shared" si="30"/>
        <v>177.31</v>
      </c>
      <c r="M52" s="1"/>
      <c r="N52" s="5">
        <f t="shared" si="31"/>
        <v>0.45427993133662986</v>
      </c>
      <c r="O52" s="13"/>
      <c r="P52" s="1">
        <f>SUM(OSRRefP22_7x_0)</f>
        <v>1196.28</v>
      </c>
      <c r="Q52" s="1"/>
      <c r="R52" s="5">
        <f t="shared" si="32"/>
        <v>5.4892477934086995E-4</v>
      </c>
      <c r="S52" s="1"/>
      <c r="T52" s="1">
        <f>SUM(OSRRefT22_7x_0)</f>
        <v>1232.3599999999999</v>
      </c>
      <c r="U52" s="1"/>
      <c r="V52" s="5">
        <f t="shared" si="33"/>
        <v>6.0220715597784956E-4</v>
      </c>
      <c r="W52" s="1"/>
      <c r="X52" s="1">
        <f t="shared" si="34"/>
        <v>-36.079999999999927</v>
      </c>
      <c r="Y52" s="1"/>
      <c r="Z52" s="5">
        <f t="shared" si="35"/>
        <v>-2.9277159271641345E-2</v>
      </c>
    </row>
    <row r="53" spans="1:26" s="24" customFormat="1" hidden="1" outlineLevel="2" x14ac:dyDescent="0.25">
      <c r="A53" s="26"/>
      <c r="B53" s="11" t="str">
        <f>CONCATENATE("          ", "6351", " - ", "EQUIPMENT RENTAL")</f>
        <v xml:space="preserve">          6351 - EQUIPMENT RENTAL</v>
      </c>
      <c r="C53" s="11"/>
      <c r="D53" s="6">
        <v>567.62</v>
      </c>
      <c r="E53" s="2"/>
      <c r="F53" s="7">
        <f t="shared" si="28"/>
        <v>1.2398638259844719E-3</v>
      </c>
      <c r="G53" s="2"/>
      <c r="H53" s="6">
        <v>390.31</v>
      </c>
      <c r="I53" s="2"/>
      <c r="J53" s="7">
        <f t="shared" si="29"/>
        <v>1.2884997526394751E-3</v>
      </c>
      <c r="K53" s="2"/>
      <c r="L53" s="6">
        <f t="shared" si="30"/>
        <v>177.31</v>
      </c>
      <c r="M53" s="2"/>
      <c r="N53" s="7">
        <f t="shared" si="31"/>
        <v>0.45427993133662986</v>
      </c>
      <c r="O53" s="11"/>
      <c r="P53" s="6">
        <v>1196.28</v>
      </c>
      <c r="Q53" s="2"/>
      <c r="R53" s="7">
        <f t="shared" si="32"/>
        <v>5.4892477934086995E-4</v>
      </c>
      <c r="S53" s="2"/>
      <c r="T53" s="6">
        <v>1232.3599999999999</v>
      </c>
      <c r="U53" s="2"/>
      <c r="V53" s="7">
        <f t="shared" si="33"/>
        <v>6.0220715597784956E-4</v>
      </c>
      <c r="W53" s="2"/>
      <c r="X53" s="6">
        <f t="shared" si="34"/>
        <v>-36.079999999999927</v>
      </c>
      <c r="Y53" s="2"/>
      <c r="Z53" s="7">
        <f t="shared" si="35"/>
        <v>-2.9277159271641345E-2</v>
      </c>
    </row>
    <row r="54" spans="1:26" s="25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SUM(OSRRefD22_8x_0)</f>
        <v>0</v>
      </c>
      <c r="E54" s="1"/>
      <c r="F54" s="5">
        <f t="shared" si="28"/>
        <v>0</v>
      </c>
      <c r="G54" s="1"/>
      <c r="H54" s="1">
        <f>SUM(OSRRefH22_8x_0)</f>
        <v>160.51</v>
      </c>
      <c r="I54" s="1"/>
      <c r="J54" s="5">
        <f t="shared" si="29"/>
        <v>5.2987905843089372E-4</v>
      </c>
      <c r="K54" s="1"/>
      <c r="L54" s="1">
        <f t="shared" si="30"/>
        <v>-160.51</v>
      </c>
      <c r="M54" s="1"/>
      <c r="N54" s="5">
        <f t="shared" si="31"/>
        <v>-1</v>
      </c>
      <c r="O54" s="13"/>
      <c r="P54" s="1">
        <f>SUM(OSRRefP22_8x_0)</f>
        <v>1499.55</v>
      </c>
      <c r="Q54" s="1"/>
      <c r="R54" s="5">
        <f t="shared" si="32"/>
        <v>6.8808318525813482E-4</v>
      </c>
      <c r="S54" s="1"/>
      <c r="T54" s="1">
        <f>SUM(OSRRefT22_8x_0)</f>
        <v>1701.05</v>
      </c>
      <c r="U54" s="1"/>
      <c r="V54" s="5">
        <f t="shared" si="33"/>
        <v>8.312380170373277E-4</v>
      </c>
      <c r="W54" s="1"/>
      <c r="X54" s="1">
        <f t="shared" si="34"/>
        <v>-201.5</v>
      </c>
      <c r="Y54" s="1"/>
      <c r="Z54" s="5">
        <f t="shared" si="35"/>
        <v>-0.11845624761176921</v>
      </c>
    </row>
    <row r="55" spans="1:26" s="24" customFormat="1" hidden="1" outlineLevel="2" x14ac:dyDescent="0.25">
      <c r="A55" s="26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28"/>
        <v>0</v>
      </c>
      <c r="G55" s="2"/>
      <c r="H55" s="6">
        <v>160.51</v>
      </c>
      <c r="I55" s="2"/>
      <c r="J55" s="7">
        <f t="shared" si="29"/>
        <v>5.2987905843089372E-4</v>
      </c>
      <c r="K55" s="2"/>
      <c r="L55" s="6">
        <f t="shared" si="30"/>
        <v>-160.51</v>
      </c>
      <c r="M55" s="2"/>
      <c r="N55" s="7">
        <f t="shared" si="31"/>
        <v>-1</v>
      </c>
      <c r="O55" s="11"/>
      <c r="P55" s="6">
        <v>1499.55</v>
      </c>
      <c r="Q55" s="2"/>
      <c r="R55" s="7">
        <f t="shared" si="32"/>
        <v>6.8808318525813482E-4</v>
      </c>
      <c r="S55" s="2"/>
      <c r="T55" s="6">
        <v>1701.05</v>
      </c>
      <c r="U55" s="2"/>
      <c r="V55" s="7">
        <f t="shared" si="33"/>
        <v>8.312380170373277E-4</v>
      </c>
      <c r="W55" s="2"/>
      <c r="X55" s="6">
        <f t="shared" si="34"/>
        <v>-201.5</v>
      </c>
      <c r="Y55" s="2"/>
      <c r="Z55" s="7">
        <f t="shared" si="35"/>
        <v>-0.11845624761176921</v>
      </c>
    </row>
    <row r="56" spans="1:26" s="25" customFormat="1" outlineLevel="1" collapsed="1" x14ac:dyDescent="0.25">
      <c r="A56" s="27"/>
      <c r="B56" s="13" t="str">
        <f>CONCATENATE("     ","R/H Commissions                                   ")</f>
        <v xml:space="preserve">     R/H Commissions                                   </v>
      </c>
      <c r="C56" s="13"/>
      <c r="D56" s="1">
        <f>SUM(OSRRefD22_9x_0)</f>
        <v>34034.899999999994</v>
      </c>
      <c r="E56" s="1"/>
      <c r="F56" s="5">
        <f t="shared" si="28"/>
        <v>7.4343119218841652E-2</v>
      </c>
      <c r="G56" s="1"/>
      <c r="H56" s="1">
        <f>SUM(OSRRefH22_9x_0)</f>
        <v>22380.639999999999</v>
      </c>
      <c r="I56" s="1"/>
      <c r="J56" s="5">
        <f t="shared" si="29"/>
        <v>7.3883449319548933E-2</v>
      </c>
      <c r="K56" s="1"/>
      <c r="L56" s="1">
        <f t="shared" si="30"/>
        <v>11654.259999999995</v>
      </c>
      <c r="M56" s="1"/>
      <c r="N56" s="5">
        <f t="shared" si="31"/>
        <v>0.52072952337377287</v>
      </c>
      <c r="O56" s="13"/>
      <c r="P56" s="1">
        <f>SUM(OSRRefP22_9x_0)</f>
        <v>165754.04</v>
      </c>
      <c r="Q56" s="1"/>
      <c r="R56" s="5">
        <f t="shared" si="32"/>
        <v>7.6057862567173007E-2</v>
      </c>
      <c r="S56" s="1"/>
      <c r="T56" s="1">
        <f>SUM(OSRRefT22_9x_0)</f>
        <v>154595.4</v>
      </c>
      <c r="U56" s="1"/>
      <c r="V56" s="5">
        <f t="shared" si="33"/>
        <v>7.5544853907346929E-2</v>
      </c>
      <c r="W56" s="1"/>
      <c r="X56" s="1">
        <f t="shared" si="34"/>
        <v>11158.640000000014</v>
      </c>
      <c r="Y56" s="1"/>
      <c r="Z56" s="5">
        <f t="shared" si="35"/>
        <v>7.2179637945242972E-2</v>
      </c>
    </row>
    <row r="57" spans="1:26" s="24" customFormat="1" hidden="1" outlineLevel="2" x14ac:dyDescent="0.25">
      <c r="A57" s="26"/>
      <c r="B57" s="11" t="str">
        <f>CONCATENATE("          ", "6387", " - ", "COMMISSION DUE HOUSING")</f>
        <v xml:space="preserve">          6387 - COMMISSION DUE HOUSING</v>
      </c>
      <c r="C57" s="11"/>
      <c r="D57" s="6">
        <v>34034.899999999994</v>
      </c>
      <c r="E57" s="2"/>
      <c r="F57" s="7">
        <f t="shared" si="28"/>
        <v>7.4343119218841652E-2</v>
      </c>
      <c r="G57" s="2"/>
      <c r="H57" s="6">
        <v>22380.639999999999</v>
      </c>
      <c r="I57" s="2"/>
      <c r="J57" s="7">
        <f t="shared" si="29"/>
        <v>7.3883449319548933E-2</v>
      </c>
      <c r="K57" s="2"/>
      <c r="L57" s="6">
        <f t="shared" si="30"/>
        <v>11654.259999999995</v>
      </c>
      <c r="M57" s="2"/>
      <c r="N57" s="7">
        <f t="shared" si="31"/>
        <v>0.52072952337377287</v>
      </c>
      <c r="O57" s="11"/>
      <c r="P57" s="6">
        <v>165754.04</v>
      </c>
      <c r="Q57" s="2"/>
      <c r="R57" s="7">
        <f t="shared" si="32"/>
        <v>7.6057862567173007E-2</v>
      </c>
      <c r="S57" s="2"/>
      <c r="T57" s="6">
        <v>154595.4</v>
      </c>
      <c r="U57" s="2"/>
      <c r="V57" s="7">
        <f t="shared" si="33"/>
        <v>7.5544853907346929E-2</v>
      </c>
      <c r="W57" s="2"/>
      <c r="X57" s="6">
        <f t="shared" si="34"/>
        <v>11158.640000000014</v>
      </c>
      <c r="Y57" s="2"/>
      <c r="Z57" s="7">
        <f t="shared" si="35"/>
        <v>7.2179637945242972E-2</v>
      </c>
    </row>
    <row r="58" spans="1:26" s="25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SUM(OSRRefD22_10x_0)</f>
        <v>8238.75</v>
      </c>
      <c r="E58" s="1"/>
      <c r="F58" s="5">
        <f t="shared" si="28"/>
        <v>1.7996067961540411E-2</v>
      </c>
      <c r="G58" s="1"/>
      <c r="H58" s="1">
        <f>SUM(OSRRefH22_10x_0)</f>
        <v>8410.19</v>
      </c>
      <c r="I58" s="1"/>
      <c r="J58" s="5">
        <f t="shared" si="29"/>
        <v>2.776389980951292E-2</v>
      </c>
      <c r="K58" s="1"/>
      <c r="L58" s="1">
        <f t="shared" si="30"/>
        <v>-171.44000000000051</v>
      </c>
      <c r="M58" s="1"/>
      <c r="N58" s="5">
        <f t="shared" si="31"/>
        <v>-2.0384795111644385E-2</v>
      </c>
      <c r="O58" s="13"/>
      <c r="P58" s="1">
        <f>SUM(OSRRefP22_10x_0)</f>
        <v>8459.01</v>
      </c>
      <c r="Q58" s="1"/>
      <c r="R58" s="5">
        <f t="shared" si="32"/>
        <v>3.8814994797975494E-3</v>
      </c>
      <c r="S58" s="1"/>
      <c r="T58" s="1">
        <f>SUM(OSRRefT22_10x_0)</f>
        <v>9017.89</v>
      </c>
      <c r="U58" s="1"/>
      <c r="V58" s="5">
        <f t="shared" si="33"/>
        <v>4.4066976287944187E-3</v>
      </c>
      <c r="W58" s="1"/>
      <c r="X58" s="1">
        <f t="shared" si="34"/>
        <v>-558.8799999999992</v>
      </c>
      <c r="Y58" s="1"/>
      <c r="Z58" s="5">
        <f t="shared" si="35"/>
        <v>-6.1974586072795212E-2</v>
      </c>
    </row>
    <row r="59" spans="1:26" s="24" customFormat="1" hidden="1" outlineLevel="2" x14ac:dyDescent="0.25">
      <c r="A59" s="26"/>
      <c r="B59" s="11" t="str">
        <f>CONCATENATE("          ", "6371", " - ", "COMPUTER SOFTWARE MAINTENANCE")</f>
        <v xml:space="preserve">          6371 - COMPUTER SOFTWARE MAINTENANCE</v>
      </c>
      <c r="C59" s="11"/>
      <c r="D59" s="6">
        <v>8238.75</v>
      </c>
      <c r="E59" s="2"/>
      <c r="F59" s="7">
        <f t="shared" si="28"/>
        <v>1.7996067961540411E-2</v>
      </c>
      <c r="G59" s="2"/>
      <c r="H59" s="6">
        <v>8410.19</v>
      </c>
      <c r="I59" s="2"/>
      <c r="J59" s="7">
        <f t="shared" si="29"/>
        <v>2.776389980951292E-2</v>
      </c>
      <c r="K59" s="2"/>
      <c r="L59" s="6">
        <f t="shared" si="30"/>
        <v>-171.44000000000051</v>
      </c>
      <c r="M59" s="2"/>
      <c r="N59" s="7">
        <f t="shared" si="31"/>
        <v>-2.0384795111644385E-2</v>
      </c>
      <c r="O59" s="11"/>
      <c r="P59" s="6">
        <v>8238.75</v>
      </c>
      <c r="Q59" s="2"/>
      <c r="R59" s="7">
        <f t="shared" si="32"/>
        <v>3.7804310243376065E-3</v>
      </c>
      <c r="S59" s="2"/>
      <c r="T59" s="6">
        <v>8950.42</v>
      </c>
      <c r="U59" s="2"/>
      <c r="V59" s="7">
        <f t="shared" si="33"/>
        <v>4.3737276226161713E-3</v>
      </c>
      <c r="W59" s="2"/>
      <c r="X59" s="6">
        <f t="shared" si="34"/>
        <v>-711.67000000000007</v>
      </c>
      <c r="Y59" s="2"/>
      <c r="Z59" s="7">
        <f t="shared" si="35"/>
        <v>-7.9512469805886207E-2</v>
      </c>
    </row>
    <row r="60" spans="1:26" s="24" customFormat="1" hidden="1" outlineLevel="2" x14ac:dyDescent="0.25">
      <c r="A60" s="26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68.48</v>
      </c>
      <c r="Q60" s="2"/>
      <c r="R60" s="7">
        <f t="shared" si="32"/>
        <v>3.1422717833001284E-5</v>
      </c>
      <c r="S60" s="2"/>
      <c r="T60" s="6">
        <v>67.47</v>
      </c>
      <c r="U60" s="2"/>
      <c r="V60" s="7">
        <f t="shared" si="33"/>
        <v>3.2970006178247846E-5</v>
      </c>
      <c r="W60" s="2"/>
      <c r="X60" s="6">
        <f t="shared" si="34"/>
        <v>1.0100000000000051</v>
      </c>
      <c r="Y60" s="2"/>
      <c r="Z60" s="7">
        <f t="shared" si="35"/>
        <v>1.4969616125685566E-2</v>
      </c>
    </row>
    <row r="61" spans="1:26" s="24" customFormat="1" hidden="1" outlineLevel="2" x14ac:dyDescent="0.25">
      <c r="A61" s="26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151.78</v>
      </c>
      <c r="Q61" s="2"/>
      <c r="R61" s="7">
        <f t="shared" si="32"/>
        <v>6.9645737626941218E-5</v>
      </c>
      <c r="S61" s="2"/>
      <c r="T61" s="6"/>
      <c r="U61" s="2"/>
      <c r="V61" s="7">
        <f t="shared" si="33"/>
        <v>0</v>
      </c>
      <c r="W61" s="2"/>
      <c r="X61" s="6">
        <f t="shared" si="34"/>
        <v>151.78</v>
      </c>
      <c r="Y61" s="2"/>
      <c r="Z61" s="7">
        <f t="shared" si="35"/>
        <v>0</v>
      </c>
    </row>
    <row r="62" spans="1:26" s="25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SUM(OSRRefD22_11x_0)</f>
        <v>5832.6900000000005</v>
      </c>
      <c r="E62" s="1"/>
      <c r="F62" s="5">
        <f t="shared" ref="F62:F65" si="36">IF(D$12=0,0,D62/D$12)</f>
        <v>1.2740462526305223E-2</v>
      </c>
      <c r="G62" s="1"/>
      <c r="H62" s="1">
        <f>SUM(OSRRefH22_11x_0)</f>
        <v>7165.0299999999988</v>
      </c>
      <c r="I62" s="1"/>
      <c r="J62" s="5">
        <f t="shared" ref="J62:J65" si="37">IF(H$12=0,0,H62/H$12)</f>
        <v>2.365335088174635E-2</v>
      </c>
      <c r="K62" s="1"/>
      <c r="L62" s="1">
        <f t="shared" ref="L62:L65" si="38">+D62-H62</f>
        <v>-1332.3399999999983</v>
      </c>
      <c r="M62" s="1"/>
      <c r="N62" s="5">
        <f t="shared" ref="N62:N65" si="39">IF(H62=0,0,L62/H62)</f>
        <v>-0.18595037285259078</v>
      </c>
      <c r="O62" s="13"/>
      <c r="P62" s="1">
        <f>SUM(OSRRefP22_11x_0)</f>
        <v>32236.32</v>
      </c>
      <c r="Q62" s="1"/>
      <c r="R62" s="5">
        <f t="shared" ref="R62:R65" si="40">IF(P$12=0,0,P62/P$12)</f>
        <v>1.4791950749625232E-2</v>
      </c>
      <c r="S62" s="1"/>
      <c r="T62" s="1">
        <f>SUM(OSRRefT22_11x_0)</f>
        <v>30609.489999999998</v>
      </c>
      <c r="U62" s="1"/>
      <c r="V62" s="5">
        <f t="shared" ref="V62:V65" si="41">IF(T$12=0,0,T62/T$12)</f>
        <v>1.4957685999896482E-2</v>
      </c>
      <c r="W62" s="1"/>
      <c r="X62" s="1">
        <f t="shared" ref="X62:X65" si="42">+P62-T62</f>
        <v>1626.8300000000017</v>
      </c>
      <c r="Y62" s="1"/>
      <c r="Z62" s="5">
        <f t="shared" ref="Z62:Z65" si="43">IF(T62=0,0,X62/T62)</f>
        <v>5.3147896289680155E-2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417.32</v>
      </c>
      <c r="E63" s="2"/>
      <c r="F63" s="7">
        <f t="shared" si="36"/>
        <v>9.1156050149719854E-4</v>
      </c>
      <c r="G63" s="2"/>
      <c r="H63" s="6">
        <v>417.32</v>
      </c>
      <c r="I63" s="2"/>
      <c r="J63" s="7">
        <f t="shared" si="37"/>
        <v>1.3776657445914934E-3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2206.6</v>
      </c>
      <c r="Q63" s="2"/>
      <c r="R63" s="7">
        <f t="shared" si="40"/>
        <v>1.0125199937251843E-3</v>
      </c>
      <c r="S63" s="2"/>
      <c r="T63" s="6">
        <v>2086.6</v>
      </c>
      <c r="U63" s="2"/>
      <c r="V63" s="7">
        <f t="shared" si="41"/>
        <v>1.0196415427824507E-3</v>
      </c>
      <c r="W63" s="2"/>
      <c r="X63" s="6">
        <f t="shared" si="42"/>
        <v>120</v>
      </c>
      <c r="Y63" s="2"/>
      <c r="Z63" s="7">
        <f t="shared" si="43"/>
        <v>5.7509824595034988E-2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6">
        <v>3882.07</v>
      </c>
      <c r="E64" s="2"/>
      <c r="F64" s="7">
        <f t="shared" si="36"/>
        <v>8.4796838781923452E-3</v>
      </c>
      <c r="G64" s="2"/>
      <c r="H64" s="6">
        <v>5351.61</v>
      </c>
      <c r="I64" s="2"/>
      <c r="J64" s="7">
        <f t="shared" si="37"/>
        <v>1.7666849840442062E-2</v>
      </c>
      <c r="K64" s="2"/>
      <c r="L64" s="6">
        <f t="shared" si="38"/>
        <v>-1469.5399999999995</v>
      </c>
      <c r="M64" s="2"/>
      <c r="N64" s="7">
        <f t="shared" si="39"/>
        <v>-0.27459773787701264</v>
      </c>
      <c r="O64" s="11"/>
      <c r="P64" s="6">
        <v>20667.310000000001</v>
      </c>
      <c r="Q64" s="2"/>
      <c r="R64" s="7">
        <f t="shared" si="40"/>
        <v>9.483397349549734E-3</v>
      </c>
      <c r="S64" s="2"/>
      <c r="T64" s="6">
        <v>19766.05</v>
      </c>
      <c r="U64" s="2"/>
      <c r="V64" s="7">
        <f t="shared" si="41"/>
        <v>9.6589119700541837E-3</v>
      </c>
      <c r="W64" s="2"/>
      <c r="X64" s="6">
        <f t="shared" si="42"/>
        <v>901.26000000000204</v>
      </c>
      <c r="Y64" s="2"/>
      <c r="Z64" s="7">
        <f t="shared" si="43"/>
        <v>4.5596363461592078E-2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6">
        <v>1533.3</v>
      </c>
      <c r="E65" s="2"/>
      <c r="F65" s="7">
        <f t="shared" si="36"/>
        <v>3.3492181466156772E-3</v>
      </c>
      <c r="G65" s="2"/>
      <c r="H65" s="6">
        <v>1396.1</v>
      </c>
      <c r="I65" s="2"/>
      <c r="J65" s="7">
        <f t="shared" si="37"/>
        <v>4.6088352967127953E-3</v>
      </c>
      <c r="K65" s="2"/>
      <c r="L65" s="6">
        <f t="shared" si="38"/>
        <v>137.20000000000005</v>
      </c>
      <c r="M65" s="2"/>
      <c r="N65" s="7">
        <f t="shared" si="39"/>
        <v>9.8273762624453878E-2</v>
      </c>
      <c r="O65" s="11"/>
      <c r="P65" s="6">
        <v>9362.41</v>
      </c>
      <c r="Q65" s="2"/>
      <c r="R65" s="7">
        <f t="shared" si="40"/>
        <v>4.296033406350314E-3</v>
      </c>
      <c r="S65" s="2"/>
      <c r="T65" s="6">
        <v>8756.84</v>
      </c>
      <c r="U65" s="2"/>
      <c r="V65" s="7">
        <f t="shared" si="41"/>
        <v>4.279132487059847E-3</v>
      </c>
      <c r="W65" s="2"/>
      <c r="X65" s="6">
        <f t="shared" si="42"/>
        <v>605.56999999999971</v>
      </c>
      <c r="Y65" s="2"/>
      <c r="Z65" s="7">
        <f t="shared" si="43"/>
        <v>6.9153941376112804E-2</v>
      </c>
    </row>
    <row r="66" spans="1:26" s="25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SUM(OSRRefD22_12x_0)</f>
        <v>4459.46</v>
      </c>
      <c r="E66" s="1"/>
      <c r="F66" s="5">
        <f t="shared" ref="F66:F73" si="44">IF(D$12=0,0,D66/D$12)</f>
        <v>9.7408885124285853E-3</v>
      </c>
      <c r="G66" s="1"/>
      <c r="H66" s="1">
        <f>SUM(OSRRefH22_12x_0)</f>
        <v>5440.33</v>
      </c>
      <c r="I66" s="1"/>
      <c r="J66" s="5">
        <f t="shared" ref="J66:J73" si="45">IF(H$12=0,0,H66/H$12)</f>
        <v>1.7959734209415889E-2</v>
      </c>
      <c r="K66" s="1"/>
      <c r="L66" s="1">
        <f t="shared" ref="L66:L73" si="46">+D66-H66</f>
        <v>-980.86999999999989</v>
      </c>
      <c r="M66" s="1"/>
      <c r="N66" s="5">
        <f t="shared" ref="N66:N73" si="47">IF(H66=0,0,L66/H66)</f>
        <v>-0.18029604821766326</v>
      </c>
      <c r="O66" s="13"/>
      <c r="P66" s="1">
        <f>SUM(OSRRefP22_12x_0)</f>
        <v>35427.099999999991</v>
      </c>
      <c r="Q66" s="1"/>
      <c r="R66" s="5">
        <f t="shared" ref="R66:R73" si="48">IF(P$12=0,0,P66/P$12)</f>
        <v>1.6256071363047887E-2</v>
      </c>
      <c r="S66" s="1"/>
      <c r="T66" s="1">
        <f>SUM(OSRRefT22_12x_0)</f>
        <v>40578.46</v>
      </c>
      <c r="U66" s="1"/>
      <c r="V66" s="5">
        <f t="shared" ref="V66:V73" si="49">IF(T$12=0,0,T66/T$12)</f>
        <v>1.9829140016359614E-2</v>
      </c>
      <c r="W66" s="1"/>
      <c r="X66" s="1">
        <f t="shared" ref="X66:X73" si="50">+P66-T66</f>
        <v>-5151.3600000000079</v>
      </c>
      <c r="Y66" s="1"/>
      <c r="Z66" s="5">
        <f t="shared" ref="Z66:Z73" si="51">IF(T66=0,0,X66/T66)</f>
        <v>-0.1269481394808972</v>
      </c>
    </row>
    <row r="67" spans="1:26" s="24" customFormat="1" hidden="1" outlineLevel="2" x14ac:dyDescent="0.25">
      <c r="A67" s="26"/>
      <c r="B67" s="11" t="str">
        <f>CONCATENATE("          ", "6237", " - ", "JANITORIAL SUPPLIES")</f>
        <v xml:space="preserve">          6237 - JANITORIAL SUPPLIES</v>
      </c>
      <c r="C67" s="11"/>
      <c r="D67" s="6">
        <v>2272.4899999999998</v>
      </c>
      <c r="E67" s="2"/>
      <c r="F67" s="7">
        <f t="shared" si="44"/>
        <v>4.9638457875188545E-3</v>
      </c>
      <c r="G67" s="2"/>
      <c r="H67" s="6">
        <v>2745.64</v>
      </c>
      <c r="I67" s="2"/>
      <c r="J67" s="7">
        <f t="shared" si="45"/>
        <v>9.0639657217008226E-3</v>
      </c>
      <c r="K67" s="2"/>
      <c r="L67" s="6">
        <f t="shared" si="46"/>
        <v>-473.15000000000009</v>
      </c>
      <c r="M67" s="2"/>
      <c r="N67" s="7">
        <f t="shared" si="47"/>
        <v>-0.17232776329016189</v>
      </c>
      <c r="O67" s="11"/>
      <c r="P67" s="6">
        <v>15874.569999999998</v>
      </c>
      <c r="Q67" s="2"/>
      <c r="R67" s="7">
        <f t="shared" si="48"/>
        <v>7.2842017206516804E-3</v>
      </c>
      <c r="S67" s="2"/>
      <c r="T67" s="6">
        <v>18705.580000000002</v>
      </c>
      <c r="U67" s="2"/>
      <c r="V67" s="7">
        <f t="shared" si="49"/>
        <v>9.1407008769484131E-3</v>
      </c>
      <c r="W67" s="2"/>
      <c r="X67" s="6">
        <f t="shared" si="50"/>
        <v>-2831.0100000000039</v>
      </c>
      <c r="Y67" s="2"/>
      <c r="Z67" s="7">
        <f t="shared" si="51"/>
        <v>-0.15134574816712465</v>
      </c>
    </row>
    <row r="68" spans="1:26" s="24" customFormat="1" hidden="1" outlineLevel="2" x14ac:dyDescent="0.25">
      <c r="A68" s="26"/>
      <c r="B68" s="11" t="str">
        <f>CONCATENATE("          ", "6239", " - ", "KITCHEN SUPPLIES")</f>
        <v xml:space="preserve">          6239 - KITCHEN SUPPLIES</v>
      </c>
      <c r="C68" s="11"/>
      <c r="D68" s="6">
        <v>313.44</v>
      </c>
      <c r="E68" s="2"/>
      <c r="F68" s="7">
        <f t="shared" si="44"/>
        <v>6.8465332020819017E-4</v>
      </c>
      <c r="G68" s="2"/>
      <c r="H68" s="6">
        <v>74.12</v>
      </c>
      <c r="I68" s="2"/>
      <c r="J68" s="7">
        <f t="shared" si="45"/>
        <v>2.4468653548624913E-4</v>
      </c>
      <c r="K68" s="2"/>
      <c r="L68" s="6">
        <f t="shared" si="46"/>
        <v>239.32</v>
      </c>
      <c r="M68" s="2"/>
      <c r="N68" s="7">
        <f t="shared" si="47"/>
        <v>3.2288181327576901</v>
      </c>
      <c r="O68" s="11"/>
      <c r="P68" s="6">
        <v>3119.09</v>
      </c>
      <c r="Q68" s="2"/>
      <c r="R68" s="7">
        <f t="shared" si="48"/>
        <v>1.4312249556912378E-3</v>
      </c>
      <c r="S68" s="2"/>
      <c r="T68" s="6">
        <v>3610.3</v>
      </c>
      <c r="U68" s="2"/>
      <c r="V68" s="7">
        <f t="shared" si="49"/>
        <v>1.7642154039621788E-3</v>
      </c>
      <c r="W68" s="2"/>
      <c r="X68" s="6">
        <f t="shared" si="50"/>
        <v>-491.21000000000004</v>
      </c>
      <c r="Y68" s="2"/>
      <c r="Z68" s="7">
        <f t="shared" si="51"/>
        <v>-0.13605794532310334</v>
      </c>
    </row>
    <row r="69" spans="1:26" s="24" customFormat="1" hidden="1" outlineLevel="2" x14ac:dyDescent="0.25">
      <c r="A69" s="26"/>
      <c r="B69" s="11" t="str">
        <f>CONCATENATE("          ", "6241", " - ", "OFFICE EXPENSE")</f>
        <v xml:space="preserve">          6241 - OFFICE EXPENSE</v>
      </c>
      <c r="C69" s="11"/>
      <c r="D69" s="6">
        <v>188.1</v>
      </c>
      <c r="E69" s="2"/>
      <c r="F69" s="7">
        <f t="shared" si="44"/>
        <v>4.1087062765173736E-4</v>
      </c>
      <c r="G69" s="2"/>
      <c r="H69" s="6">
        <v>423.59</v>
      </c>
      <c r="I69" s="2"/>
      <c r="J69" s="7">
        <f t="shared" si="45"/>
        <v>1.3983644032193776E-3</v>
      </c>
      <c r="K69" s="2"/>
      <c r="L69" s="6">
        <f t="shared" si="46"/>
        <v>-235.48999999999998</v>
      </c>
      <c r="M69" s="2"/>
      <c r="N69" s="7">
        <f t="shared" si="47"/>
        <v>-0.55593852546094102</v>
      </c>
      <c r="O69" s="11"/>
      <c r="P69" s="6">
        <v>1339.6</v>
      </c>
      <c r="Q69" s="2"/>
      <c r="R69" s="7">
        <f t="shared" si="48"/>
        <v>6.146885632168299E-4</v>
      </c>
      <c r="S69" s="2"/>
      <c r="T69" s="6">
        <v>2052.0700000000002</v>
      </c>
      <c r="U69" s="2"/>
      <c r="V69" s="7">
        <f t="shared" si="49"/>
        <v>1.0027680536267537E-3</v>
      </c>
      <c r="W69" s="2"/>
      <c r="X69" s="6">
        <f t="shared" si="50"/>
        <v>-712.47000000000025</v>
      </c>
      <c r="Y69" s="2"/>
      <c r="Z69" s="7">
        <f t="shared" si="51"/>
        <v>-0.34719575842929346</v>
      </c>
    </row>
    <row r="70" spans="1:26" s="24" customFormat="1" hidden="1" outlineLevel="2" x14ac:dyDescent="0.25">
      <c r="A70" s="26"/>
      <c r="B70" s="11" t="str">
        <f>CONCATENATE("          ", "6243", " - ", "PAPER SUPPLIES")</f>
        <v xml:space="preserve">          6243 - PAPER SUPPLIES</v>
      </c>
      <c r="C70" s="11"/>
      <c r="D70" s="6">
        <v>1602.93</v>
      </c>
      <c r="E70" s="2"/>
      <c r="F70" s="7">
        <f t="shared" si="44"/>
        <v>3.5013123614130752E-3</v>
      </c>
      <c r="G70" s="2"/>
      <c r="H70" s="6">
        <v>2196.98</v>
      </c>
      <c r="I70" s="2"/>
      <c r="J70" s="7">
        <f t="shared" si="45"/>
        <v>7.2527175490094391E-3</v>
      </c>
      <c r="K70" s="2"/>
      <c r="L70" s="6">
        <f t="shared" si="46"/>
        <v>-594.04999999999995</v>
      </c>
      <c r="M70" s="2"/>
      <c r="N70" s="7">
        <f t="shared" si="47"/>
        <v>-0.27039390435962091</v>
      </c>
      <c r="O70" s="11"/>
      <c r="P70" s="6">
        <v>13347.92</v>
      </c>
      <c r="Q70" s="2"/>
      <c r="R70" s="7">
        <f t="shared" si="48"/>
        <v>6.1248236538766713E-3</v>
      </c>
      <c r="S70" s="2"/>
      <c r="T70" s="6">
        <v>11370</v>
      </c>
      <c r="U70" s="2"/>
      <c r="V70" s="7">
        <f t="shared" si="49"/>
        <v>5.556083744578005E-3</v>
      </c>
      <c r="W70" s="2"/>
      <c r="X70" s="6">
        <f t="shared" si="50"/>
        <v>1977.92</v>
      </c>
      <c r="Y70" s="2"/>
      <c r="Z70" s="7">
        <f t="shared" si="51"/>
        <v>0.17395954265611258</v>
      </c>
    </row>
    <row r="71" spans="1:26" s="24" customFormat="1" hidden="1" outlineLevel="2" x14ac:dyDescent="0.25">
      <c r="A71" s="26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>
        <v>441</v>
      </c>
      <c r="Q71" s="2"/>
      <c r="R71" s="7">
        <f t="shared" si="48"/>
        <v>2.0235716361497613E-4</v>
      </c>
      <c r="S71" s="2"/>
      <c r="T71" s="6">
        <v>1522.08</v>
      </c>
      <c r="U71" s="2"/>
      <c r="V71" s="7">
        <f t="shared" si="49"/>
        <v>7.4378222919501227E-4</v>
      </c>
      <c r="W71" s="2"/>
      <c r="X71" s="6">
        <f t="shared" si="50"/>
        <v>-1081.08</v>
      </c>
      <c r="Y71" s="2"/>
      <c r="Z71" s="7">
        <f t="shared" si="51"/>
        <v>-0.71026490066225167</v>
      </c>
    </row>
    <row r="72" spans="1:26" s="24" customFormat="1" hidden="1" outlineLevel="2" x14ac:dyDescent="0.25">
      <c r="A72" s="26"/>
      <c r="B72" s="11" t="str">
        <f>CONCATENATE("          ", "6247", " - ", "STORE SUPPLIES")</f>
        <v xml:space="preserve">          6247 - STORE SUPPLIES</v>
      </c>
      <c r="C72" s="11"/>
      <c r="D72" s="6">
        <v>82.5</v>
      </c>
      <c r="E72" s="2"/>
      <c r="F72" s="7">
        <f t="shared" si="44"/>
        <v>1.8020641563672692E-4</v>
      </c>
      <c r="G72" s="2"/>
      <c r="H72" s="6"/>
      <c r="I72" s="2"/>
      <c r="J72" s="7">
        <f t="shared" si="45"/>
        <v>0</v>
      </c>
      <c r="K72" s="2"/>
      <c r="L72" s="6">
        <f t="shared" si="46"/>
        <v>82.5</v>
      </c>
      <c r="M72" s="2"/>
      <c r="N72" s="7">
        <f t="shared" si="47"/>
        <v>0</v>
      </c>
      <c r="O72" s="11"/>
      <c r="P72" s="6">
        <v>82.5</v>
      </c>
      <c r="Q72" s="2"/>
      <c r="R72" s="7">
        <f t="shared" si="48"/>
        <v>3.7855931968788048E-5</v>
      </c>
      <c r="S72" s="2"/>
      <c r="T72" s="6"/>
      <c r="U72" s="2"/>
      <c r="V72" s="7">
        <f t="shared" si="49"/>
        <v>0</v>
      </c>
      <c r="W72" s="2"/>
      <c r="X72" s="6">
        <f t="shared" si="50"/>
        <v>82.5</v>
      </c>
      <c r="Y72" s="2"/>
      <c r="Z72" s="7">
        <f t="shared" si="51"/>
        <v>0</v>
      </c>
    </row>
    <row r="73" spans="1:26" s="24" customFormat="1" hidden="1" outlineLevel="2" x14ac:dyDescent="0.25">
      <c r="A73" s="26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1222.42</v>
      </c>
      <c r="Q73" s="2"/>
      <c r="R73" s="7">
        <f t="shared" si="48"/>
        <v>5.6091937402770779E-4</v>
      </c>
      <c r="S73" s="2"/>
      <c r="T73" s="6">
        <v>3318.43</v>
      </c>
      <c r="U73" s="2"/>
      <c r="V73" s="7">
        <f t="shared" si="49"/>
        <v>1.6215897080492515E-3</v>
      </c>
      <c r="W73" s="2"/>
      <c r="X73" s="6">
        <f t="shared" si="50"/>
        <v>-2096.0099999999998</v>
      </c>
      <c r="Y73" s="2"/>
      <c r="Z73" s="7">
        <f t="shared" si="51"/>
        <v>-0.63162700433638796</v>
      </c>
    </row>
    <row r="74" spans="1:26" s="25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SUM(OSRRefD22_13x_0)</f>
        <v>189.55</v>
      </c>
      <c r="E74" s="1"/>
      <c r="F74" s="5">
        <f t="shared" ref="F74:F80" si="52">IF(D$12=0,0,D74/D$12)</f>
        <v>4.1403789192656474E-4</v>
      </c>
      <c r="G74" s="1"/>
      <c r="H74" s="1">
        <f>SUM(OSRRefH22_13x_0)</f>
        <v>173.2</v>
      </c>
      <c r="I74" s="1"/>
      <c r="J74" s="5">
        <f t="shared" ref="J74:J80" si="53">IF(H$12=0,0,H74/H$12)</f>
        <v>5.7177155890742511E-4</v>
      </c>
      <c r="K74" s="1"/>
      <c r="L74" s="1">
        <f t="shared" ref="L74:L80" si="54">+D74-H74</f>
        <v>16.350000000000023</v>
      </c>
      <c r="M74" s="1"/>
      <c r="N74" s="5">
        <f t="shared" ref="N74:N80" si="55">IF(H74=0,0,L74/H74)</f>
        <v>9.4399538106235706E-2</v>
      </c>
      <c r="O74" s="13"/>
      <c r="P74" s="1">
        <f>SUM(OSRRefP22_13x_0)</f>
        <v>933.95</v>
      </c>
      <c r="Q74" s="1"/>
      <c r="R74" s="5">
        <f t="shared" ref="R74:R80" si="56">IF(P$12=0,0,P74/P$12)</f>
        <v>4.2855209287575273E-4</v>
      </c>
      <c r="S74" s="1"/>
      <c r="T74" s="1">
        <f>SUM(OSRRefT22_13x_0)</f>
        <v>906.1</v>
      </c>
      <c r="U74" s="1"/>
      <c r="V74" s="5">
        <f t="shared" ref="V74:V80" si="57">IF(T$12=0,0,T74/T$12)</f>
        <v>4.4277638354987955E-4</v>
      </c>
      <c r="W74" s="1"/>
      <c r="X74" s="1">
        <f t="shared" ref="X74:X80" si="58">+P74-T74</f>
        <v>27.850000000000023</v>
      </c>
      <c r="Y74" s="1"/>
      <c r="Z74" s="5">
        <f t="shared" ref="Z74:Z80" si="59">IF(T74=0,0,X74/T74)</f>
        <v>3.0736121840856442E-2</v>
      </c>
    </row>
    <row r="75" spans="1:26" s="24" customFormat="1" hidden="1" outlineLevel="2" x14ac:dyDescent="0.25">
      <c r="A75" s="26"/>
      <c r="B75" s="11" t="str">
        <f>CONCATENATE("          ", "6309", " - ", "TELEPHONE")</f>
        <v xml:space="preserve">          6309 - TELEPHONE</v>
      </c>
      <c r="C75" s="11"/>
      <c r="D75" s="6">
        <v>189.55</v>
      </c>
      <c r="E75" s="2"/>
      <c r="F75" s="7">
        <f t="shared" si="52"/>
        <v>4.1403789192656474E-4</v>
      </c>
      <c r="G75" s="2"/>
      <c r="H75" s="6">
        <v>173.2</v>
      </c>
      <c r="I75" s="2"/>
      <c r="J75" s="7">
        <f t="shared" si="53"/>
        <v>5.7177155890742511E-4</v>
      </c>
      <c r="K75" s="2"/>
      <c r="L75" s="6">
        <f t="shared" si="54"/>
        <v>16.350000000000023</v>
      </c>
      <c r="M75" s="2"/>
      <c r="N75" s="7">
        <f t="shared" si="55"/>
        <v>9.4399538106235706E-2</v>
      </c>
      <c r="O75" s="11"/>
      <c r="P75" s="6">
        <v>933.95</v>
      </c>
      <c r="Q75" s="2"/>
      <c r="R75" s="7">
        <f t="shared" si="56"/>
        <v>4.2855209287575273E-4</v>
      </c>
      <c r="S75" s="2"/>
      <c r="T75" s="6">
        <v>906.1</v>
      </c>
      <c r="U75" s="2"/>
      <c r="V75" s="7">
        <f t="shared" si="57"/>
        <v>4.4277638354987955E-4</v>
      </c>
      <c r="W75" s="2"/>
      <c r="X75" s="6">
        <f t="shared" si="58"/>
        <v>27.850000000000023</v>
      </c>
      <c r="Y75" s="2"/>
      <c r="Z75" s="7">
        <f t="shared" si="59"/>
        <v>3.0736121840856442E-2</v>
      </c>
    </row>
    <row r="76" spans="1:26" s="25" customFormat="1" outlineLevel="1" collapsed="1" x14ac:dyDescent="0.25">
      <c r="A76" s="27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SUM(OSRRefD22_14x_0)</f>
        <v>0</v>
      </c>
      <c r="E76" s="1"/>
      <c r="F76" s="5">
        <f t="shared" si="52"/>
        <v>0</v>
      </c>
      <c r="G76" s="1"/>
      <c r="H76" s="1">
        <f>SUM(OSRRefH22_14x_0)</f>
        <v>96</v>
      </c>
      <c r="I76" s="1"/>
      <c r="J76" s="5">
        <f t="shared" si="53"/>
        <v>3.1691726128818022E-4</v>
      </c>
      <c r="K76" s="1"/>
      <c r="L76" s="1">
        <f t="shared" si="54"/>
        <v>-96</v>
      </c>
      <c r="M76" s="1"/>
      <c r="N76" s="5">
        <f t="shared" si="55"/>
        <v>-1</v>
      </c>
      <c r="O76" s="13"/>
      <c r="P76" s="1">
        <f>SUM(OSRRefP22_14x_0)</f>
        <v>617.37</v>
      </c>
      <c r="Q76" s="1"/>
      <c r="R76" s="5">
        <f t="shared" si="56"/>
        <v>2.8328626326752339E-4</v>
      </c>
      <c r="S76" s="1"/>
      <c r="T76" s="1">
        <f>SUM(OSRRefT22_14x_0)</f>
        <v>1326.38</v>
      </c>
      <c r="U76" s="1"/>
      <c r="V76" s="5">
        <f t="shared" si="57"/>
        <v>6.4815113079449212E-4</v>
      </c>
      <c r="W76" s="1"/>
      <c r="X76" s="1">
        <f t="shared" si="58"/>
        <v>-709.0100000000001</v>
      </c>
      <c r="Y76" s="1"/>
      <c r="Z76" s="5">
        <f t="shared" si="59"/>
        <v>-0.53454515297275296</v>
      </c>
    </row>
    <row r="77" spans="1:26" s="24" customFormat="1" hidden="1" outlineLevel="2" x14ac:dyDescent="0.25">
      <c r="A77" s="26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52"/>
        <v>0</v>
      </c>
      <c r="G77" s="2"/>
      <c r="H77" s="6">
        <v>96</v>
      </c>
      <c r="I77" s="2"/>
      <c r="J77" s="7">
        <f t="shared" si="53"/>
        <v>3.1691726128818022E-4</v>
      </c>
      <c r="K77" s="2"/>
      <c r="L77" s="6">
        <f t="shared" si="54"/>
        <v>-96</v>
      </c>
      <c r="M77" s="2"/>
      <c r="N77" s="7">
        <f t="shared" si="55"/>
        <v>-1</v>
      </c>
      <c r="O77" s="11"/>
      <c r="P77" s="6">
        <v>617.37</v>
      </c>
      <c r="Q77" s="2"/>
      <c r="R77" s="7">
        <f t="shared" si="56"/>
        <v>2.8328626326752339E-4</v>
      </c>
      <c r="S77" s="2"/>
      <c r="T77" s="6">
        <v>1326.38</v>
      </c>
      <c r="U77" s="2"/>
      <c r="V77" s="7">
        <f t="shared" si="57"/>
        <v>6.4815113079449212E-4</v>
      </c>
      <c r="W77" s="2"/>
      <c r="X77" s="6">
        <f t="shared" si="58"/>
        <v>-709.0100000000001</v>
      </c>
      <c r="Y77" s="2"/>
      <c r="Z77" s="7">
        <f t="shared" si="59"/>
        <v>-0.53454515297275296</v>
      </c>
    </row>
    <row r="78" spans="1:26" s="25" customFormat="1" outlineLevel="1" collapsed="1" x14ac:dyDescent="0.25">
      <c r="A78" s="27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SUM(OSRRefD22_15x_0)</f>
        <v>0</v>
      </c>
      <c r="E78" s="1"/>
      <c r="F78" s="5">
        <f t="shared" si="52"/>
        <v>0</v>
      </c>
      <c r="G78" s="1"/>
      <c r="H78" s="1">
        <f>SUM(OSRRefH22_15x_0)</f>
        <v>65</v>
      </c>
      <c r="I78" s="1"/>
      <c r="J78" s="5">
        <f t="shared" si="53"/>
        <v>2.1457939566387201E-4</v>
      </c>
      <c r="K78" s="1"/>
      <c r="L78" s="1">
        <f t="shared" si="54"/>
        <v>-65</v>
      </c>
      <c r="M78" s="1"/>
      <c r="N78" s="5">
        <f t="shared" si="55"/>
        <v>-1</v>
      </c>
      <c r="O78" s="13"/>
      <c r="P78" s="1">
        <f>SUM(OSRRefP22_15x_0)</f>
        <v>1429.86</v>
      </c>
      <c r="Q78" s="1"/>
      <c r="R78" s="5">
        <f t="shared" si="56"/>
        <v>6.5610524708959123E-4</v>
      </c>
      <c r="S78" s="1"/>
      <c r="T78" s="1">
        <f>SUM(OSRRefT22_15x_0)</f>
        <v>298</v>
      </c>
      <c r="U78" s="1"/>
      <c r="V78" s="5">
        <f t="shared" si="57"/>
        <v>1.4562119225015353E-4</v>
      </c>
      <c r="W78" s="1"/>
      <c r="X78" s="1">
        <f t="shared" si="58"/>
        <v>1131.8599999999999</v>
      </c>
      <c r="Y78" s="1"/>
      <c r="Z78" s="5">
        <f t="shared" si="59"/>
        <v>3.798187919463087</v>
      </c>
    </row>
    <row r="79" spans="1:26" s="24" customFormat="1" hidden="1" outlineLevel="2" x14ac:dyDescent="0.25">
      <c r="A79" s="26"/>
      <c r="B79" s="11" t="str">
        <f>CONCATENATE("          ", "6292", " - ", "TRAVEL/CONFERENCE")</f>
        <v xml:space="preserve">          6292 - TRAVEL/CONFERENCE</v>
      </c>
      <c r="C79" s="11"/>
      <c r="D79" s="6"/>
      <c r="E79" s="2"/>
      <c r="F79" s="7">
        <f t="shared" si="52"/>
        <v>0</v>
      </c>
      <c r="G79" s="2"/>
      <c r="H79" s="6"/>
      <c r="I79" s="2"/>
      <c r="J79" s="7">
        <f t="shared" si="53"/>
        <v>0</v>
      </c>
      <c r="K79" s="2"/>
      <c r="L79" s="6">
        <f t="shared" si="54"/>
        <v>0</v>
      </c>
      <c r="M79" s="2"/>
      <c r="N79" s="7">
        <f t="shared" si="55"/>
        <v>0</v>
      </c>
      <c r="O79" s="11"/>
      <c r="P79" s="6">
        <v>1429.86</v>
      </c>
      <c r="Q79" s="2"/>
      <c r="R79" s="7">
        <f t="shared" si="56"/>
        <v>6.5610524708959123E-4</v>
      </c>
      <c r="S79" s="2"/>
      <c r="T79" s="6"/>
      <c r="U79" s="2"/>
      <c r="V79" s="7">
        <f t="shared" si="57"/>
        <v>0</v>
      </c>
      <c r="W79" s="2"/>
      <c r="X79" s="6">
        <f t="shared" si="58"/>
        <v>1429.86</v>
      </c>
      <c r="Y79" s="2"/>
      <c r="Z79" s="7">
        <f t="shared" si="59"/>
        <v>0</v>
      </c>
    </row>
    <row r="80" spans="1:26" s="24" customFormat="1" hidden="1" outlineLevel="2" x14ac:dyDescent="0.25">
      <c r="A80" s="26"/>
      <c r="B80" s="11" t="str">
        <f>CONCATENATE("          ", "6294", " - ", "TRAVEL OPERATIONAL")</f>
        <v xml:space="preserve">          6294 - TRAVEL OPERATIONAL</v>
      </c>
      <c r="C80" s="11"/>
      <c r="D80" s="6"/>
      <c r="E80" s="2"/>
      <c r="F80" s="7">
        <f t="shared" si="52"/>
        <v>0</v>
      </c>
      <c r="G80" s="2"/>
      <c r="H80" s="6">
        <v>65</v>
      </c>
      <c r="I80" s="2"/>
      <c r="J80" s="7">
        <f t="shared" si="53"/>
        <v>2.1457939566387201E-4</v>
      </c>
      <c r="K80" s="2"/>
      <c r="L80" s="6">
        <f t="shared" si="54"/>
        <v>-65</v>
      </c>
      <c r="M80" s="2"/>
      <c r="N80" s="7">
        <f t="shared" si="55"/>
        <v>-1</v>
      </c>
      <c r="O80" s="11"/>
      <c r="P80" s="6"/>
      <c r="Q80" s="2"/>
      <c r="R80" s="7">
        <f t="shared" si="56"/>
        <v>0</v>
      </c>
      <c r="S80" s="2"/>
      <c r="T80" s="6">
        <v>298</v>
      </c>
      <c r="U80" s="2"/>
      <c r="V80" s="7">
        <f t="shared" si="57"/>
        <v>1.4562119225015353E-4</v>
      </c>
      <c r="W80" s="2"/>
      <c r="X80" s="6">
        <f t="shared" si="58"/>
        <v>-298</v>
      </c>
      <c r="Y80" s="2"/>
      <c r="Z80" s="7">
        <f t="shared" si="59"/>
        <v>-1</v>
      </c>
    </row>
    <row r="81" spans="1:26" s="53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8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9" t="s">
        <v>3</v>
      </c>
      <c r="C84" s="29"/>
      <c r="D84" s="21">
        <f>+D22-D24+D82</f>
        <v>170767.87000000005</v>
      </c>
      <c r="E84" s="14"/>
      <c r="F84" s="20">
        <f>IF(D$12=0,0,D84/D$12)</f>
        <v>0.37301170616507345</v>
      </c>
      <c r="G84" s="14"/>
      <c r="H84" s="21">
        <f>+H22-H24+H82</f>
        <v>70113</v>
      </c>
      <c r="I84" s="14"/>
      <c r="J84" s="20">
        <f>IF(H$12=0,0,H84/H$12)</f>
        <v>0.23145854104893937</v>
      </c>
      <c r="K84" s="15"/>
      <c r="L84" s="21">
        <f>+D84-H84</f>
        <v>100654.87000000005</v>
      </c>
      <c r="M84" s="15"/>
      <c r="N84" s="20">
        <f>IF(H84=0,0,L84/H84)</f>
        <v>1.4356092308131168</v>
      </c>
      <c r="O84" s="28"/>
      <c r="P84" s="21">
        <f>+P22-P24+P82</f>
        <v>792363.12999999954</v>
      </c>
      <c r="Q84" s="14"/>
      <c r="R84" s="20">
        <f>IF(P$12=0,0,P84/P$12)</f>
        <v>0.36358357265279934</v>
      </c>
      <c r="S84" s="14"/>
      <c r="T84" s="21">
        <f>+T22-T24+T82</f>
        <v>757258.72</v>
      </c>
      <c r="U84" s="14"/>
      <c r="V84" s="20">
        <f>IF(T$12=0,0,T84/T$12)</f>
        <v>0.37004334781283615</v>
      </c>
      <c r="W84" s="15"/>
      <c r="X84" s="21">
        <f>+P84-T84</f>
        <v>35104.409999999567</v>
      </c>
      <c r="Y84" s="15"/>
      <c r="Z84" s="20">
        <f>IF(T84=0,0,X84/T84)</f>
        <v>4.6357221214962795E-2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57483.46</v>
      </c>
      <c r="E86" s="4"/>
      <c r="F86" s="12">
        <f>IF(D$12=0,0,D86/D$12)</f>
        <v>0.12556228224238988</v>
      </c>
      <c r="G86" s="4"/>
      <c r="H86" s="4">
        <v>55206.17</v>
      </c>
      <c r="I86" s="4"/>
      <c r="J86" s="12">
        <f>IF(H$12=0,0,H86/H$12)</f>
        <v>0.18224779377718431</v>
      </c>
      <c r="K86" s="4"/>
      <c r="L86" s="4">
        <f>+D86-H86</f>
        <v>2277.2900000000009</v>
      </c>
      <c r="M86" s="4"/>
      <c r="N86" s="12">
        <f>IF(H86=0,0,L86/H86)</f>
        <v>4.1250642817641597E-2</v>
      </c>
      <c r="O86" s="10"/>
      <c r="P86" s="4">
        <v>230774.71</v>
      </c>
      <c r="Q86" s="4"/>
      <c r="R86" s="12">
        <f>IF(P$12=0,0,P86/P$12)</f>
        <v>0.10589323299244595</v>
      </c>
      <c r="S86" s="4"/>
      <c r="T86" s="4">
        <v>215327.66999999998</v>
      </c>
      <c r="U86" s="4"/>
      <c r="V86" s="12">
        <f>IF(T$12=0,0,T86/T$12)</f>
        <v>0.10522238936190474</v>
      </c>
      <c r="W86" s="4"/>
      <c r="X86" s="4">
        <f>+P86-T86</f>
        <v>15447.040000000008</v>
      </c>
      <c r="Y86" s="4"/>
      <c r="Z86" s="12">
        <f>IF(T86=0,0,X86/T86)</f>
        <v>7.1737366591112087E-2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9" t="s">
        <v>4</v>
      </c>
      <c r="C88" s="29"/>
      <c r="D88" s="31">
        <f>+D84-D86</f>
        <v>113284.41000000006</v>
      </c>
      <c r="E88" s="14"/>
      <c r="F88" s="32">
        <f>IF(D$12=0,0,D88/D$12)</f>
        <v>0.24744942392268357</v>
      </c>
      <c r="G88" s="14"/>
      <c r="H88" s="31">
        <f>+H84-H86</f>
        <v>14906.830000000002</v>
      </c>
      <c r="I88" s="14"/>
      <c r="J88" s="32">
        <f>IF(H$12=0,0,H88/H$12)</f>
        <v>4.9210747271755041E-2</v>
      </c>
      <c r="K88" s="15"/>
      <c r="L88" s="31">
        <f>D88-H88</f>
        <v>98377.58000000006</v>
      </c>
      <c r="M88" s="15"/>
      <c r="N88" s="32">
        <f>IF(H88=0,0,L88/H88)</f>
        <v>6.5994970090891254</v>
      </c>
      <c r="O88" s="28"/>
      <c r="P88" s="31">
        <f>+P84-P86</f>
        <v>561588.41999999958</v>
      </c>
      <c r="Q88" s="14"/>
      <c r="R88" s="32">
        <f>IF(P$12=0,0,P88/P$12)</f>
        <v>0.25769033966035337</v>
      </c>
      <c r="S88" s="14"/>
      <c r="T88" s="31">
        <f>+T84-T86</f>
        <v>541931.05000000005</v>
      </c>
      <c r="U88" s="14"/>
      <c r="V88" s="32">
        <f>IF(T$12=0,0,T88/T$12)</f>
        <v>0.26482095845093145</v>
      </c>
      <c r="W88" s="15"/>
      <c r="X88" s="31">
        <f>P88-T88</f>
        <v>19657.36999999953</v>
      </c>
      <c r="Y88" s="15"/>
      <c r="Z88" s="32">
        <f>IF(T88=0,0,X88/T88)</f>
        <v>3.6272824744032525E-2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5</v>
      </c>
      <c r="C91" s="29"/>
      <c r="D91" s="34">
        <f>SUM(D88:D90)</f>
        <v>113284.41000000006</v>
      </c>
      <c r="E91" s="14"/>
      <c r="F91" s="30">
        <f>IF(D$12=0,0,D91/D$12)</f>
        <v>0.24744942392268357</v>
      </c>
      <c r="G91" s="14"/>
      <c r="H91" s="34">
        <f>SUM(H88:H90)</f>
        <v>14906.830000000002</v>
      </c>
      <c r="I91" s="14"/>
      <c r="J91" s="30">
        <f>IF(H$12=0,0,H91/H$12)</f>
        <v>4.9210747271755041E-2</v>
      </c>
      <c r="K91" s="15"/>
      <c r="L91" s="34">
        <f>+D91-H91</f>
        <v>98377.58000000006</v>
      </c>
      <c r="M91" s="15"/>
      <c r="N91" s="30">
        <f>IF(H91=0,0,L91/H91)</f>
        <v>6.5994970090891254</v>
      </c>
      <c r="O91" s="28"/>
      <c r="P91" s="34">
        <f>SUM(P88:P90)</f>
        <v>561588.41999999958</v>
      </c>
      <c r="Q91" s="14"/>
      <c r="R91" s="30">
        <f>IF(P$12=0,0,P91/P$12)</f>
        <v>0.25769033966035337</v>
      </c>
      <c r="S91" s="14"/>
      <c r="T91" s="34">
        <f>SUM(T88:T90)</f>
        <v>541931.05000000005</v>
      </c>
      <c r="U91" s="14"/>
      <c r="V91" s="30">
        <f>IF(T$12=0,0,T91/T$12)</f>
        <v>0.26482095845093145</v>
      </c>
      <c r="W91" s="15"/>
      <c r="X91" s="34">
        <f>+P91-T91</f>
        <v>19657.36999999953</v>
      </c>
      <c r="Y91" s="15"/>
      <c r="Z91" s="30">
        <f>IF(T91=0,0,X91/T91)</f>
        <v>3.6272824744032525E-2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9">
        <v>43815.492255787038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2" t="s">
        <v>313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1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","435", " - ", "Ground Floor Coffee House")</f>
        <v>Department 435 - Ground Floor Coffee House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1041.48</v>
      </c>
      <c r="E12" s="4"/>
      <c r="F12" s="12"/>
      <c r="G12" s="4"/>
      <c r="H12" s="4">
        <f>SUM(OSRRefH13x_0)</f>
        <v>868.52</v>
      </c>
      <c r="I12" s="4"/>
      <c r="J12" s="12"/>
      <c r="K12" s="4"/>
      <c r="L12" s="4">
        <f t="shared" ref="L12:L15" si="0">+D12-H12</f>
        <v>172.96000000000004</v>
      </c>
      <c r="M12" s="4"/>
      <c r="N12" s="12">
        <f t="shared" ref="N12:N15" si="1">IF(H12=0,0,L12/H12)</f>
        <v>0.19914337033113808</v>
      </c>
      <c r="O12" s="10"/>
      <c r="P12" s="4">
        <f>SUM(OSRRefP13x_0)</f>
        <v>4307.3599999999997</v>
      </c>
      <c r="Q12" s="4"/>
      <c r="R12" s="12"/>
      <c r="S12" s="4"/>
      <c r="T12" s="4">
        <f>SUM(OSRRefT13x_0)</f>
        <v>4240.45</v>
      </c>
      <c r="U12" s="4"/>
      <c r="V12" s="12"/>
      <c r="W12" s="4"/>
      <c r="X12" s="4">
        <f t="shared" ref="X12:X15" si="2">+P12-T12</f>
        <v>66.909999999999854</v>
      </c>
      <c r="Y12" s="4"/>
      <c r="Z12" s="12">
        <f t="shared" ref="Z12:Z15" si="3">IF(T12=0,0,X12/T12)</f>
        <v>1.5778985720855065E-2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>--152.78</f>
        <v>152.78</v>
      </c>
      <c r="E13" s="2"/>
      <c r="F13" s="19"/>
      <c r="G13" s="2"/>
      <c r="H13" s="2">
        <f>--128.98</f>
        <v>128.97999999999999</v>
      </c>
      <c r="I13" s="2"/>
      <c r="J13" s="19"/>
      <c r="K13" s="2"/>
      <c r="L13" s="2">
        <f t="shared" si="0"/>
        <v>23.800000000000011</v>
      </c>
      <c r="M13" s="2"/>
      <c r="N13" s="19">
        <f t="shared" si="1"/>
        <v>0.18452473251666934</v>
      </c>
      <c r="O13" s="11"/>
      <c r="P13" s="2">
        <f>--803.92</f>
        <v>803.92</v>
      </c>
      <c r="Q13" s="2"/>
      <c r="R13" s="19"/>
      <c r="S13" s="2"/>
      <c r="T13" s="2">
        <f>--564.96</f>
        <v>564.96</v>
      </c>
      <c r="U13" s="2"/>
      <c r="V13" s="19"/>
      <c r="W13" s="2"/>
      <c r="X13" s="2">
        <f t="shared" si="2"/>
        <v>238.95999999999992</v>
      </c>
      <c r="Y13" s="2"/>
      <c r="Z13" s="19">
        <f t="shared" si="3"/>
        <v>0.42296799773435273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--471.63</f>
        <v>471.63</v>
      </c>
      <c r="Q14" s="2"/>
      <c r="R14" s="19"/>
      <c r="S14" s="2"/>
      <c r="T14" s="2">
        <f>0</f>
        <v>0</v>
      </c>
      <c r="U14" s="2"/>
      <c r="V14" s="19"/>
      <c r="W14" s="2"/>
      <c r="X14" s="2">
        <f t="shared" si="2"/>
        <v>471.63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"4155", " - ", "NON-TAXABLE SALES-FOOD")</f>
        <v xml:space="preserve">          4155 - NON-TAXABLE SALES-FOOD</v>
      </c>
      <c r="C15" s="11"/>
      <c r="D15" s="2">
        <f>--888.7</f>
        <v>888.7</v>
      </c>
      <c r="E15" s="2"/>
      <c r="F15" s="19"/>
      <c r="G15" s="2"/>
      <c r="H15" s="2">
        <f>--739.54</f>
        <v>739.54</v>
      </c>
      <c r="I15" s="2"/>
      <c r="J15" s="19"/>
      <c r="K15" s="2"/>
      <c r="L15" s="2">
        <f t="shared" si="0"/>
        <v>149.16000000000008</v>
      </c>
      <c r="M15" s="2"/>
      <c r="N15" s="19">
        <f t="shared" si="1"/>
        <v>0.20169294426264989</v>
      </c>
      <c r="O15" s="11"/>
      <c r="P15" s="2">
        <f>--3031.81</f>
        <v>3031.81</v>
      </c>
      <c r="Q15" s="2"/>
      <c r="R15" s="19"/>
      <c r="S15" s="2"/>
      <c r="T15" s="2">
        <f>--3675.49</f>
        <v>3675.49</v>
      </c>
      <c r="U15" s="2"/>
      <c r="V15" s="19"/>
      <c r="W15" s="2"/>
      <c r="X15" s="2">
        <f t="shared" si="2"/>
        <v>-643.67999999999984</v>
      </c>
      <c r="Y15" s="2"/>
      <c r="Z15" s="19">
        <f t="shared" si="3"/>
        <v>-0.17512767005215626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400.34000000000003</v>
      </c>
      <c r="E17" s="4"/>
      <c r="F17" s="12">
        <f t="shared" ref="F17:F19" si="4">IF(D$12=0,0,D17/D$12)</f>
        <v>0.38439528363482739</v>
      </c>
      <c r="G17" s="4"/>
      <c r="H17" s="4">
        <f>SUM(OSRRefH16x_0)</f>
        <v>415.53999999999996</v>
      </c>
      <c r="I17" s="4"/>
      <c r="J17" s="12">
        <f t="shared" ref="J17:J19" si="5">IF(H$12=0,0,H17/H$12)</f>
        <v>0.47844609220282774</v>
      </c>
      <c r="K17" s="4"/>
      <c r="L17" s="4">
        <f t="shared" ref="L17:L19" si="6">+D17-H17</f>
        <v>-15.199999999999932</v>
      </c>
      <c r="M17" s="4"/>
      <c r="N17" s="12">
        <f t="shared" ref="N17:N19" si="7">IF(H17=0,0,L17/H17)</f>
        <v>-3.6578909370938856E-2</v>
      </c>
      <c r="O17" s="10"/>
      <c r="P17" s="4">
        <f>SUM(OSRRefP16x_0)</f>
        <v>1571.4699999999998</v>
      </c>
      <c r="Q17" s="4"/>
      <c r="R17" s="12">
        <f t="shared" ref="R17:R19" si="8">IF(P$12=0,0,P17/P$12)</f>
        <v>0.36483368002674488</v>
      </c>
      <c r="S17" s="4"/>
      <c r="T17" s="4">
        <f>SUM(OSRRefT16x_0)</f>
        <v>2109.7600000000002</v>
      </c>
      <c r="U17" s="4"/>
      <c r="V17" s="12">
        <f t="shared" ref="V17:V19" si="9">IF(T$12=0,0,T17/T$12)</f>
        <v>0.49753210154582656</v>
      </c>
      <c r="W17" s="4"/>
      <c r="X17" s="4">
        <f t="shared" ref="X17:X19" si="10">+P17-T17</f>
        <v>-538.29000000000042</v>
      </c>
      <c r="Y17" s="4"/>
      <c r="Z17" s="12">
        <f t="shared" ref="Z17:Z19" si="11">IF(T17=0,0,X17/T17)</f>
        <v>-0.25514276505384514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89.34</v>
      </c>
      <c r="E18" s="2"/>
      <c r="F18" s="19">
        <f t="shared" si="4"/>
        <v>8.5781772093559167E-2</v>
      </c>
      <c r="G18" s="2"/>
      <c r="H18" s="2">
        <v>168.15</v>
      </c>
      <c r="I18" s="2"/>
      <c r="J18" s="19">
        <f t="shared" si="5"/>
        <v>0.19360521346658685</v>
      </c>
      <c r="K18" s="2"/>
      <c r="L18" s="2">
        <f t="shared" si="6"/>
        <v>-78.81</v>
      </c>
      <c r="M18" s="2"/>
      <c r="N18" s="19">
        <f t="shared" si="7"/>
        <v>-0.46868867082961641</v>
      </c>
      <c r="O18" s="11"/>
      <c r="P18" s="2">
        <v>3948.48</v>
      </c>
      <c r="Q18" s="2"/>
      <c r="R18" s="19">
        <f t="shared" si="8"/>
        <v>0.91668214405111259</v>
      </c>
      <c r="S18" s="2"/>
      <c r="T18" s="2">
        <v>1859.17</v>
      </c>
      <c r="U18" s="2"/>
      <c r="V18" s="19">
        <f t="shared" si="9"/>
        <v>0.43843695834168545</v>
      </c>
      <c r="W18" s="2"/>
      <c r="X18" s="2">
        <f t="shared" si="10"/>
        <v>2089.31</v>
      </c>
      <c r="Y18" s="2"/>
      <c r="Z18" s="19">
        <f t="shared" si="11"/>
        <v>1.1237864208221948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311</v>
      </c>
      <c r="E19" s="2"/>
      <c r="F19" s="19">
        <f t="shared" si="4"/>
        <v>0.2986135115412682</v>
      </c>
      <c r="G19" s="2"/>
      <c r="H19" s="2">
        <v>247.39</v>
      </c>
      <c r="I19" s="2"/>
      <c r="J19" s="19">
        <f t="shared" si="5"/>
        <v>0.28484087873624098</v>
      </c>
      <c r="K19" s="2"/>
      <c r="L19" s="2">
        <f t="shared" si="6"/>
        <v>63.610000000000014</v>
      </c>
      <c r="M19" s="2"/>
      <c r="N19" s="19">
        <f t="shared" si="7"/>
        <v>0.25712437851166181</v>
      </c>
      <c r="O19" s="11"/>
      <c r="P19" s="2">
        <v>-2377.0100000000002</v>
      </c>
      <c r="Q19" s="2"/>
      <c r="R19" s="19">
        <f t="shared" si="8"/>
        <v>-0.55184846402436771</v>
      </c>
      <c r="S19" s="2"/>
      <c r="T19" s="2">
        <v>250.59</v>
      </c>
      <c r="U19" s="2"/>
      <c r="V19" s="19">
        <f t="shared" si="9"/>
        <v>5.9095143204141075E-2</v>
      </c>
      <c r="W19" s="2"/>
      <c r="X19" s="2">
        <f t="shared" si="10"/>
        <v>-2627.6000000000004</v>
      </c>
      <c r="Y19" s="2"/>
      <c r="Z19" s="19">
        <f t="shared" si="11"/>
        <v>-10.485653856897724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1">
        <f>D12-D17</f>
        <v>641.14</v>
      </c>
      <c r="E21" s="14"/>
      <c r="F21" s="20">
        <f>IF(D$12=0,0,D21/D$12)</f>
        <v>0.61560471636517267</v>
      </c>
      <c r="G21" s="14"/>
      <c r="H21" s="21">
        <f>H12-H17</f>
        <v>452.98</v>
      </c>
      <c r="I21" s="14"/>
      <c r="J21" s="20">
        <f>IF(H$12=0,0,H21/H$12)</f>
        <v>0.52155390779717226</v>
      </c>
      <c r="K21" s="15"/>
      <c r="L21" s="21">
        <f>+D21-H21</f>
        <v>188.15999999999997</v>
      </c>
      <c r="M21" s="15"/>
      <c r="N21" s="20">
        <f>IF(H21=0,0,L21/H21)</f>
        <v>0.41538257759724484</v>
      </c>
      <c r="O21" s="28"/>
      <c r="P21" s="21">
        <f>P12-P17</f>
        <v>2735.89</v>
      </c>
      <c r="Q21" s="14"/>
      <c r="R21" s="20">
        <f>IF(P$12=0,0,P21/P$12)</f>
        <v>0.63516631997325512</v>
      </c>
      <c r="S21" s="14"/>
      <c r="T21" s="21">
        <f>T12-T17</f>
        <v>2130.6899999999996</v>
      </c>
      <c r="U21" s="14"/>
      <c r="V21" s="20">
        <f>IF(T$12=0,0,T21/T$12)</f>
        <v>0.50246789845417339</v>
      </c>
      <c r="W21" s="15"/>
      <c r="X21" s="21">
        <f>+P21-T21</f>
        <v>605.20000000000027</v>
      </c>
      <c r="Y21" s="15"/>
      <c r="Z21" s="20">
        <f>IF(T21=0,0,X21/T21)</f>
        <v>0.28403944262187386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2688.25</v>
      </c>
      <c r="E23" s="22"/>
      <c r="F23" s="33">
        <f t="shared" ref="F23:F27" si="12">IF(D$12=0,0,D23/D$12)</f>
        <v>2.5811825479125861</v>
      </c>
      <c r="G23" s="22"/>
      <c r="H23" s="22">
        <f>SUM(OSRRefH22x_0)</f>
        <v>-128.81000000000017</v>
      </c>
      <c r="I23" s="22"/>
      <c r="J23" s="33">
        <f t="shared" ref="J23:J27" si="13">IF(H$12=0,0,H23/H$12)</f>
        <v>-0.14830976834154674</v>
      </c>
      <c r="K23" s="4"/>
      <c r="L23" s="22">
        <f t="shared" ref="L23:L27" si="14">+D23-H23</f>
        <v>2817.0600000000004</v>
      </c>
      <c r="M23" s="4"/>
      <c r="N23" s="33">
        <f t="shared" ref="N23:N27" si="15">IF(H23=0,0,L23/H23)</f>
        <v>-21.869885878425563</v>
      </c>
      <c r="O23" s="10"/>
      <c r="P23" s="22">
        <f>SUM(OSRRefP22x_0)</f>
        <v>12817.890000000001</v>
      </c>
      <c r="Q23" s="22"/>
      <c r="R23" s="33">
        <f t="shared" ref="R23:R27" si="16">IF(P$12=0,0,P23/P$12)</f>
        <v>2.9758111697188072</v>
      </c>
      <c r="S23" s="22"/>
      <c r="T23" s="22">
        <f>SUM(OSRRefT22x_0)</f>
        <v>7447.0300000000016</v>
      </c>
      <c r="U23" s="22"/>
      <c r="V23" s="33">
        <f t="shared" ref="V23:V27" si="17">IF(T$12=0,0,T23/T$12)</f>
        <v>1.7561886120576831</v>
      </c>
      <c r="W23" s="4"/>
      <c r="X23" s="22">
        <f t="shared" ref="X23:X27" si="18">+P23-T23</f>
        <v>5370.86</v>
      </c>
      <c r="Y23" s="4"/>
      <c r="Z23" s="33">
        <f t="shared" ref="Z23:Z27" si="19">IF(T23=0,0,X23/T23)</f>
        <v>0.72120832063252038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178.03</v>
      </c>
      <c r="E24" s="1"/>
      <c r="F24" s="5">
        <f t="shared" si="12"/>
        <v>0.17093943234627645</v>
      </c>
      <c r="G24" s="1"/>
      <c r="H24" s="1">
        <f>SUM(OSRRefH22_0x_0)</f>
        <v>98.11</v>
      </c>
      <c r="I24" s="1"/>
      <c r="J24" s="5">
        <f t="shared" si="13"/>
        <v>0.11296228066135496</v>
      </c>
      <c r="K24" s="1"/>
      <c r="L24" s="1">
        <f t="shared" si="14"/>
        <v>79.92</v>
      </c>
      <c r="M24" s="1"/>
      <c r="N24" s="5">
        <f t="shared" si="15"/>
        <v>0.8145958617877892</v>
      </c>
      <c r="O24" s="13"/>
      <c r="P24" s="1">
        <f>SUM(OSRRefP22_0x_0)</f>
        <v>663.19</v>
      </c>
      <c r="Q24" s="1"/>
      <c r="R24" s="5">
        <f t="shared" si="16"/>
        <v>0.15396669885962633</v>
      </c>
      <c r="S24" s="1"/>
      <c r="T24" s="1">
        <f>SUM(OSRRefT22_0x_0)</f>
        <v>505.56</v>
      </c>
      <c r="U24" s="1"/>
      <c r="V24" s="5">
        <f t="shared" si="17"/>
        <v>0.11922319565140493</v>
      </c>
      <c r="W24" s="1"/>
      <c r="X24" s="1">
        <f t="shared" si="18"/>
        <v>157.63000000000005</v>
      </c>
      <c r="Y24" s="1"/>
      <c r="Z24" s="5">
        <f t="shared" si="19"/>
        <v>0.31179286335944312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>
        <v>120.79</v>
      </c>
      <c r="E25" s="2"/>
      <c r="F25" s="7">
        <f t="shared" si="12"/>
        <v>0.11597918346967777</v>
      </c>
      <c r="G25" s="2"/>
      <c r="H25" s="6">
        <v>71.709999999999994</v>
      </c>
      <c r="I25" s="2"/>
      <c r="J25" s="7">
        <f t="shared" si="13"/>
        <v>8.2565744024317225E-2</v>
      </c>
      <c r="K25" s="2"/>
      <c r="L25" s="6">
        <f t="shared" si="14"/>
        <v>49.080000000000013</v>
      </c>
      <c r="M25" s="2"/>
      <c r="N25" s="7">
        <f t="shared" si="15"/>
        <v>0.68442337191465652</v>
      </c>
      <c r="O25" s="11"/>
      <c r="P25" s="6">
        <v>478.87</v>
      </c>
      <c r="Q25" s="2"/>
      <c r="R25" s="7">
        <f t="shared" si="16"/>
        <v>0.11117482634374652</v>
      </c>
      <c r="S25" s="2"/>
      <c r="T25" s="6">
        <v>408.22</v>
      </c>
      <c r="U25" s="2"/>
      <c r="V25" s="7">
        <f t="shared" si="17"/>
        <v>9.626808475515572E-2</v>
      </c>
      <c r="W25" s="2"/>
      <c r="X25" s="6">
        <f t="shared" si="18"/>
        <v>70.649999999999977</v>
      </c>
      <c r="Y25" s="2"/>
      <c r="Z25" s="7">
        <f t="shared" si="19"/>
        <v>0.17306844348635533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>
        <v>50.35</v>
      </c>
      <c r="E26" s="2"/>
      <c r="F26" s="7">
        <f t="shared" si="12"/>
        <v>4.8344663363674774E-2</v>
      </c>
      <c r="G26" s="2"/>
      <c r="H26" s="6">
        <v>21.67</v>
      </c>
      <c r="I26" s="2"/>
      <c r="J26" s="7">
        <f t="shared" si="13"/>
        <v>2.4950490489568464E-2</v>
      </c>
      <c r="K26" s="2"/>
      <c r="L26" s="6">
        <f t="shared" si="14"/>
        <v>28.68</v>
      </c>
      <c r="M26" s="2"/>
      <c r="N26" s="7">
        <f t="shared" si="15"/>
        <v>1.3234886940470696</v>
      </c>
      <c r="O26" s="11"/>
      <c r="P26" s="6">
        <v>158.07</v>
      </c>
      <c r="Q26" s="2"/>
      <c r="R26" s="7">
        <f t="shared" si="16"/>
        <v>3.6697652390327254E-2</v>
      </c>
      <c r="S26" s="2"/>
      <c r="T26" s="6">
        <v>79.89</v>
      </c>
      <c r="U26" s="2"/>
      <c r="V26" s="7">
        <f t="shared" si="17"/>
        <v>1.8839981605725808E-2</v>
      </c>
      <c r="W26" s="2"/>
      <c r="X26" s="6">
        <f t="shared" si="18"/>
        <v>78.179999999999993</v>
      </c>
      <c r="Y26" s="2"/>
      <c r="Z26" s="7">
        <f t="shared" si="19"/>
        <v>0.97859556890724742</v>
      </c>
    </row>
    <row r="27" spans="1:26" s="24" customFormat="1" hidden="1" outlineLevel="2" x14ac:dyDescent="0.25">
      <c r="A27" s="26"/>
      <c r="B27" s="11" t="str">
        <f>CONCATENATE("          ", "6114", " - ", "STATE UNEMPLOYMENT INSURANCE")</f>
        <v xml:space="preserve">          6114 - STATE UNEMPLOYMENT INSURANCE</v>
      </c>
      <c r="C27" s="11"/>
      <c r="D27" s="6">
        <v>6.89</v>
      </c>
      <c r="E27" s="2"/>
      <c r="F27" s="7">
        <f t="shared" si="12"/>
        <v>6.6155855129239154E-3</v>
      </c>
      <c r="G27" s="2"/>
      <c r="H27" s="6">
        <v>4.7300000000000004</v>
      </c>
      <c r="I27" s="2"/>
      <c r="J27" s="7">
        <f t="shared" si="13"/>
        <v>5.4460461474692586E-3</v>
      </c>
      <c r="K27" s="2"/>
      <c r="L27" s="6">
        <f t="shared" si="14"/>
        <v>2.1599999999999993</v>
      </c>
      <c r="M27" s="2"/>
      <c r="N27" s="7">
        <f t="shared" si="15"/>
        <v>0.45665961945031691</v>
      </c>
      <c r="O27" s="11"/>
      <c r="P27" s="6">
        <v>26.25</v>
      </c>
      <c r="Q27" s="2"/>
      <c r="R27" s="7">
        <f t="shared" si="16"/>
        <v>6.0942201255525432E-3</v>
      </c>
      <c r="S27" s="2"/>
      <c r="T27" s="6">
        <v>17.45</v>
      </c>
      <c r="U27" s="2"/>
      <c r="V27" s="7">
        <f t="shared" si="17"/>
        <v>4.1151292905234112E-3</v>
      </c>
      <c r="W27" s="2"/>
      <c r="X27" s="6">
        <f t="shared" si="18"/>
        <v>8.8000000000000007</v>
      </c>
      <c r="Y27" s="2"/>
      <c r="Z27" s="7">
        <f t="shared" si="19"/>
        <v>0.50429799426934108</v>
      </c>
    </row>
    <row r="28" spans="1:26" s="25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2333.4899999999998</v>
      </c>
      <c r="E28" s="1"/>
      <c r="F28" s="5">
        <f t="shared" ref="F28:F30" si="20">IF(D$12=0,0,D28/D$12)</f>
        <v>2.2405519069017164</v>
      </c>
      <c r="G28" s="1"/>
      <c r="H28" s="1">
        <f>SUM(OSRRefH22_1x_0)</f>
        <v>1314.05</v>
      </c>
      <c r="I28" s="1"/>
      <c r="J28" s="5">
        <f t="shared" ref="J28:J30" si="21">IF(H$12=0,0,H28/H$12)</f>
        <v>1.5129760972689172</v>
      </c>
      <c r="K28" s="1"/>
      <c r="L28" s="1">
        <f t="shared" ref="L28:L30" si="22">+D28-H28</f>
        <v>1019.4399999999998</v>
      </c>
      <c r="M28" s="1"/>
      <c r="N28" s="5">
        <f t="shared" ref="N28:N30" si="23">IF(H28=0,0,L28/H28)</f>
        <v>0.7758000076100604</v>
      </c>
      <c r="O28" s="13"/>
      <c r="P28" s="1">
        <f>SUM(OSRRefP22_1x_0)</f>
        <v>8712.119999999999</v>
      </c>
      <c r="Q28" s="1"/>
      <c r="R28" s="5">
        <f t="shared" ref="R28:R30" si="24">IF(P$12=0,0,P28/P$12)</f>
        <v>2.0226124586753835</v>
      </c>
      <c r="S28" s="1"/>
      <c r="T28" s="1">
        <f>SUM(OSRRefT22_1x_0)</f>
        <v>7032.68</v>
      </c>
      <c r="U28" s="1"/>
      <c r="V28" s="5">
        <f t="shared" ref="V28:V30" si="25">IF(T$12=0,0,T28/T$12)</f>
        <v>1.6584749260102114</v>
      </c>
      <c r="W28" s="1"/>
      <c r="X28" s="1">
        <f t="shared" ref="X28:X30" si="26">+P28-T28</f>
        <v>1679.4399999999987</v>
      </c>
      <c r="Y28" s="1"/>
      <c r="Z28" s="5">
        <f t="shared" ref="Z28:Z30" si="27">IF(T28=0,0,X28/T28)</f>
        <v>0.23880512123401015</v>
      </c>
    </row>
    <row r="29" spans="1:26" s="24" customFormat="1" hidden="1" outlineLevel="2" x14ac:dyDescent="0.25">
      <c r="A29" s="26"/>
      <c r="B29" s="11" t="str">
        <f>CONCATENATE("          ", "6005", " - ", "TEMPORARY WAGES-HOURLY")</f>
        <v xml:space="preserve">          6005 - TEMPORARY WAGES-HOURLY</v>
      </c>
      <c r="C29" s="11"/>
      <c r="D29" s="6">
        <v>1578.99</v>
      </c>
      <c r="E29" s="2"/>
      <c r="F29" s="7">
        <f t="shared" si="20"/>
        <v>1.5161020854937204</v>
      </c>
      <c r="G29" s="2"/>
      <c r="H29" s="6">
        <v>937.3</v>
      </c>
      <c r="I29" s="2"/>
      <c r="J29" s="7">
        <f t="shared" si="21"/>
        <v>1.0791921890111915</v>
      </c>
      <c r="K29" s="2"/>
      <c r="L29" s="6">
        <f t="shared" si="22"/>
        <v>641.69000000000005</v>
      </c>
      <c r="M29" s="2"/>
      <c r="N29" s="7">
        <f t="shared" si="23"/>
        <v>0.68461538461538474</v>
      </c>
      <c r="O29" s="11"/>
      <c r="P29" s="6">
        <v>6163.62</v>
      </c>
      <c r="Q29" s="2"/>
      <c r="R29" s="7">
        <f t="shared" si="24"/>
        <v>1.4309507447717396</v>
      </c>
      <c r="S29" s="2"/>
      <c r="T29" s="6">
        <v>5335.93</v>
      </c>
      <c r="U29" s="2"/>
      <c r="V29" s="7">
        <f t="shared" si="25"/>
        <v>1.2583405063141884</v>
      </c>
      <c r="W29" s="2"/>
      <c r="X29" s="6">
        <f t="shared" si="26"/>
        <v>827.6899999999996</v>
      </c>
      <c r="Y29" s="2"/>
      <c r="Z29" s="7">
        <f t="shared" si="27"/>
        <v>0.15511635272576657</v>
      </c>
    </row>
    <row r="30" spans="1:26" s="24" customFormat="1" hidden="1" outlineLevel="2" x14ac:dyDescent="0.25">
      <c r="A30" s="26"/>
      <c r="B30" s="11" t="str">
        <f>CONCATENATE("          ", "6007", " - ", "STUDENT HOURLY")</f>
        <v xml:space="preserve">          6007 - STUDENT HOURLY</v>
      </c>
      <c r="C30" s="11"/>
      <c r="D30" s="6">
        <v>754.5</v>
      </c>
      <c r="E30" s="2"/>
      <c r="F30" s="7">
        <f t="shared" si="20"/>
        <v>0.7244498214079963</v>
      </c>
      <c r="G30" s="2"/>
      <c r="H30" s="6">
        <v>376.75</v>
      </c>
      <c r="I30" s="2"/>
      <c r="J30" s="7">
        <f t="shared" si="21"/>
        <v>0.43378390825772578</v>
      </c>
      <c r="K30" s="2"/>
      <c r="L30" s="6">
        <f t="shared" si="22"/>
        <v>377.75</v>
      </c>
      <c r="M30" s="2"/>
      <c r="N30" s="7">
        <f t="shared" si="23"/>
        <v>1.0026542800265428</v>
      </c>
      <c r="O30" s="11"/>
      <c r="P30" s="6">
        <v>2548.5</v>
      </c>
      <c r="Q30" s="2"/>
      <c r="R30" s="7">
        <f t="shared" si="24"/>
        <v>0.59166171390364408</v>
      </c>
      <c r="S30" s="2"/>
      <c r="T30" s="6">
        <v>1696.75</v>
      </c>
      <c r="U30" s="2"/>
      <c r="V30" s="7">
        <f t="shared" si="25"/>
        <v>0.40013441969602287</v>
      </c>
      <c r="W30" s="2"/>
      <c r="X30" s="6">
        <f t="shared" si="26"/>
        <v>851.75</v>
      </c>
      <c r="Y30" s="2"/>
      <c r="Z30" s="7">
        <f t="shared" si="27"/>
        <v>0.50198909680271109</v>
      </c>
    </row>
    <row r="31" spans="1:26" s="25" customFormat="1" outlineLevel="1" collapsed="1" x14ac:dyDescent="0.25">
      <c r="A31" s="27"/>
      <c r="B31" s="13" t="str">
        <f>CONCATENATE("     ","Advertising/Promo                                 ")</f>
        <v xml:space="preserve">     Advertising/Promo                                 </v>
      </c>
      <c r="C31" s="13"/>
      <c r="D31" s="1">
        <f>SUM(OSRRefD22_2x_0)</f>
        <v>0</v>
      </c>
      <c r="E31" s="1"/>
      <c r="F31" s="5">
        <f t="shared" ref="F31:F45" si="28">IF(D$12=0,0,D31/D$12)</f>
        <v>0</v>
      </c>
      <c r="G31" s="1"/>
      <c r="H31" s="1">
        <f>SUM(OSRRefH22_2x_0)</f>
        <v>12</v>
      </c>
      <c r="I31" s="1"/>
      <c r="J31" s="5">
        <f t="shared" ref="J31:J45" si="29">IF(H$12=0,0,H31/H$12)</f>
        <v>1.3816607562289872E-2</v>
      </c>
      <c r="K31" s="1"/>
      <c r="L31" s="1">
        <f t="shared" ref="L31:L45" si="30">+D31-H31</f>
        <v>-12</v>
      </c>
      <c r="M31" s="1"/>
      <c r="N31" s="5">
        <f t="shared" ref="N31:N45" si="31">IF(H31=0,0,L31/H31)</f>
        <v>-1</v>
      </c>
      <c r="O31" s="13"/>
      <c r="P31" s="1">
        <f>SUM(OSRRefP22_2x_0)</f>
        <v>0</v>
      </c>
      <c r="Q31" s="1"/>
      <c r="R31" s="5">
        <f t="shared" ref="R31:R45" si="32">IF(P$12=0,0,P31/P$12)</f>
        <v>0</v>
      </c>
      <c r="S31" s="1"/>
      <c r="T31" s="1">
        <f>SUM(OSRRefT22_2x_0)</f>
        <v>12</v>
      </c>
      <c r="U31" s="1"/>
      <c r="V31" s="5">
        <f t="shared" ref="V31:V45" si="33">IF(T$12=0,0,T31/T$12)</f>
        <v>2.8298883373226898E-3</v>
      </c>
      <c r="W31" s="1"/>
      <c r="X31" s="1">
        <f t="shared" ref="X31:X45" si="34">+P31-T31</f>
        <v>-12</v>
      </c>
      <c r="Y31" s="1"/>
      <c r="Z31" s="5">
        <f t="shared" ref="Z31:Z45" si="35">IF(T31=0,0,X31/T31)</f>
        <v>-1</v>
      </c>
    </row>
    <row r="32" spans="1:26" s="24" customFormat="1" hidden="1" outlineLevel="2" x14ac:dyDescent="0.25">
      <c r="A32" s="26"/>
      <c r="B32" s="11" t="str">
        <f>CONCATENATE("          ", "6362", " - ", "ADVERTISING EXPENSE")</f>
        <v xml:space="preserve">          6362 - ADVERTISING EXPENSE</v>
      </c>
      <c r="C32" s="11"/>
      <c r="D32" s="6"/>
      <c r="E32" s="2"/>
      <c r="F32" s="7">
        <f t="shared" si="28"/>
        <v>0</v>
      </c>
      <c r="G32" s="2"/>
      <c r="H32" s="6">
        <v>12</v>
      </c>
      <c r="I32" s="2"/>
      <c r="J32" s="7">
        <f t="shared" si="29"/>
        <v>1.3816607562289872E-2</v>
      </c>
      <c r="K32" s="2"/>
      <c r="L32" s="6">
        <f t="shared" si="30"/>
        <v>-12</v>
      </c>
      <c r="M32" s="2"/>
      <c r="N32" s="7">
        <f t="shared" si="31"/>
        <v>-1</v>
      </c>
      <c r="O32" s="11"/>
      <c r="P32" s="6"/>
      <c r="Q32" s="2"/>
      <c r="R32" s="7">
        <f t="shared" si="32"/>
        <v>0</v>
      </c>
      <c r="S32" s="2"/>
      <c r="T32" s="6">
        <v>12</v>
      </c>
      <c r="U32" s="2"/>
      <c r="V32" s="7">
        <f t="shared" si="33"/>
        <v>2.8298883373226898E-3</v>
      </c>
      <c r="W32" s="2"/>
      <c r="X32" s="6">
        <f t="shared" si="34"/>
        <v>-12</v>
      </c>
      <c r="Y32" s="2"/>
      <c r="Z32" s="7">
        <f t="shared" si="35"/>
        <v>-1</v>
      </c>
    </row>
    <row r="33" spans="1:26" s="25" customFormat="1" outlineLevel="1" collapsed="1" x14ac:dyDescent="0.25">
      <c r="A33" s="27"/>
      <c r="B33" s="13" t="str">
        <f>CONCATENATE("     ","Bad Debts/Over/Short                              ")</f>
        <v xml:space="preserve">     Bad Debts/Over/Short                              </v>
      </c>
      <c r="C33" s="13"/>
      <c r="D33" s="1">
        <f>SUM(OSRRefD22_3x_0)</f>
        <v>-0.1</v>
      </c>
      <c r="E33" s="1"/>
      <c r="F33" s="5">
        <f t="shared" si="28"/>
        <v>-9.6017206283365985E-5</v>
      </c>
      <c r="G33" s="1"/>
      <c r="H33" s="1">
        <f>SUM(OSRRefH22_3x_0)</f>
        <v>-0.23</v>
      </c>
      <c r="I33" s="1"/>
      <c r="J33" s="5">
        <f t="shared" si="29"/>
        <v>-2.6481831161055588E-4</v>
      </c>
      <c r="K33" s="1"/>
      <c r="L33" s="1">
        <f t="shared" si="30"/>
        <v>0.13</v>
      </c>
      <c r="M33" s="1"/>
      <c r="N33" s="5">
        <f t="shared" si="31"/>
        <v>-0.56521739130434778</v>
      </c>
      <c r="O33" s="13"/>
      <c r="P33" s="1">
        <f>SUM(OSRRefP22_3x_0)</f>
        <v>-0.96</v>
      </c>
      <c r="Q33" s="1"/>
      <c r="R33" s="5">
        <f t="shared" si="32"/>
        <v>-2.2287433602020729E-4</v>
      </c>
      <c r="S33" s="1"/>
      <c r="T33" s="1">
        <f>SUM(OSRRefT22_3x_0)</f>
        <v>-1.59</v>
      </c>
      <c r="U33" s="1"/>
      <c r="V33" s="5">
        <f t="shared" si="33"/>
        <v>-3.7496020469525643E-4</v>
      </c>
      <c r="W33" s="1"/>
      <c r="X33" s="1">
        <f t="shared" si="34"/>
        <v>0.63000000000000012</v>
      </c>
      <c r="Y33" s="1"/>
      <c r="Z33" s="5">
        <f t="shared" si="35"/>
        <v>-0.3962264150943397</v>
      </c>
    </row>
    <row r="34" spans="1:26" s="24" customFormat="1" hidden="1" outlineLevel="2" x14ac:dyDescent="0.25">
      <c r="A34" s="26"/>
      <c r="B34" s="11" t="str">
        <f>CONCATENATE("          ", "6272", " - ", "CASH (OVER/SHORT)")</f>
        <v xml:space="preserve">          6272 - CASH (OVER/SHORT)</v>
      </c>
      <c r="C34" s="11"/>
      <c r="D34" s="6">
        <v>-0.1</v>
      </c>
      <c r="E34" s="2"/>
      <c r="F34" s="7">
        <f t="shared" si="28"/>
        <v>-9.6017206283365985E-5</v>
      </c>
      <c r="G34" s="2"/>
      <c r="H34" s="6">
        <v>-0.23</v>
      </c>
      <c r="I34" s="2"/>
      <c r="J34" s="7">
        <f t="shared" si="29"/>
        <v>-2.6481831161055588E-4</v>
      </c>
      <c r="K34" s="2"/>
      <c r="L34" s="6">
        <f t="shared" si="30"/>
        <v>0.13</v>
      </c>
      <c r="M34" s="2"/>
      <c r="N34" s="7">
        <f t="shared" si="31"/>
        <v>-0.56521739130434778</v>
      </c>
      <c r="O34" s="11"/>
      <c r="P34" s="6">
        <v>-0.96</v>
      </c>
      <c r="Q34" s="2"/>
      <c r="R34" s="7">
        <f t="shared" si="32"/>
        <v>-2.2287433602020729E-4</v>
      </c>
      <c r="S34" s="2"/>
      <c r="T34" s="6">
        <v>-1.59</v>
      </c>
      <c r="U34" s="2"/>
      <c r="V34" s="7">
        <f t="shared" si="33"/>
        <v>-3.7496020469525643E-4</v>
      </c>
      <c r="W34" s="2"/>
      <c r="X34" s="6">
        <f t="shared" si="34"/>
        <v>0.63000000000000012</v>
      </c>
      <c r="Y34" s="2"/>
      <c r="Z34" s="7">
        <f t="shared" si="35"/>
        <v>-0.3962264150943397</v>
      </c>
    </row>
    <row r="35" spans="1:26" s="25" customFormat="1" outlineLevel="1" collapsed="1" x14ac:dyDescent="0.25">
      <c r="A35" s="27"/>
      <c r="B35" s="13" t="str">
        <f>CONCATENATE("     ","Bank/card Fees                                    ")</f>
        <v xml:space="preserve">     Bank/card Fees                                    </v>
      </c>
      <c r="C35" s="13"/>
      <c r="D35" s="1">
        <f>SUM(OSRRefD22_4x_0)</f>
        <v>33.65</v>
      </c>
      <c r="E35" s="1"/>
      <c r="F35" s="5">
        <f t="shared" si="28"/>
        <v>3.2309789914352648E-2</v>
      </c>
      <c r="G35" s="1"/>
      <c r="H35" s="1">
        <f>SUM(OSRRefH22_4x_0)</f>
        <v>25.81</v>
      </c>
      <c r="I35" s="1"/>
      <c r="J35" s="5">
        <f t="shared" si="29"/>
        <v>2.9717220098558466E-2</v>
      </c>
      <c r="K35" s="1"/>
      <c r="L35" s="1">
        <f t="shared" si="30"/>
        <v>7.84</v>
      </c>
      <c r="M35" s="1"/>
      <c r="N35" s="5">
        <f t="shared" si="31"/>
        <v>0.30375823324292911</v>
      </c>
      <c r="O35" s="13"/>
      <c r="P35" s="1">
        <f>SUM(OSRRefP22_4x_0)</f>
        <v>106.95</v>
      </c>
      <c r="Q35" s="1"/>
      <c r="R35" s="5">
        <f t="shared" si="32"/>
        <v>2.482959399725122E-2</v>
      </c>
      <c r="S35" s="1"/>
      <c r="T35" s="1">
        <f>SUM(OSRRefT22_4x_0)</f>
        <v>93.06</v>
      </c>
      <c r="U35" s="1"/>
      <c r="V35" s="5">
        <f t="shared" si="33"/>
        <v>2.1945784055937462E-2</v>
      </c>
      <c r="W35" s="1"/>
      <c r="X35" s="1">
        <f t="shared" si="34"/>
        <v>13.89</v>
      </c>
      <c r="Y35" s="1"/>
      <c r="Z35" s="5">
        <f t="shared" si="35"/>
        <v>0.14925854287556414</v>
      </c>
    </row>
    <row r="36" spans="1:26" s="24" customFormat="1" hidden="1" outlineLevel="2" x14ac:dyDescent="0.25">
      <c r="A36" s="26"/>
      <c r="B36" s="11" t="str">
        <f>CONCATENATE("          ", "6381", " - ", "BANK/CREDIT CARD FEES")</f>
        <v xml:space="preserve">          6381 - BANK/CREDIT CARD FEES</v>
      </c>
      <c r="C36" s="11"/>
      <c r="D36" s="6">
        <v>33.65</v>
      </c>
      <c r="E36" s="2"/>
      <c r="F36" s="7">
        <f t="shared" si="28"/>
        <v>3.2309789914352648E-2</v>
      </c>
      <c r="G36" s="2"/>
      <c r="H36" s="6">
        <v>25.81</v>
      </c>
      <c r="I36" s="2"/>
      <c r="J36" s="7">
        <f t="shared" si="29"/>
        <v>2.9717220098558466E-2</v>
      </c>
      <c r="K36" s="2"/>
      <c r="L36" s="6">
        <f t="shared" si="30"/>
        <v>7.84</v>
      </c>
      <c r="M36" s="2"/>
      <c r="N36" s="7">
        <f t="shared" si="31"/>
        <v>0.30375823324292911</v>
      </c>
      <c r="O36" s="11"/>
      <c r="P36" s="6">
        <v>106.95</v>
      </c>
      <c r="Q36" s="2"/>
      <c r="R36" s="7">
        <f t="shared" si="32"/>
        <v>2.482959399725122E-2</v>
      </c>
      <c r="S36" s="2"/>
      <c r="T36" s="6">
        <v>93.06</v>
      </c>
      <c r="U36" s="2"/>
      <c r="V36" s="7">
        <f t="shared" si="33"/>
        <v>2.1945784055937462E-2</v>
      </c>
      <c r="W36" s="2"/>
      <c r="X36" s="6">
        <f t="shared" si="34"/>
        <v>13.89</v>
      </c>
      <c r="Y36" s="2"/>
      <c r="Z36" s="7">
        <f t="shared" si="35"/>
        <v>0.14925854287556414</v>
      </c>
    </row>
    <row r="37" spans="1:26" s="25" customFormat="1" outlineLevel="1" collapsed="1" x14ac:dyDescent="0.25">
      <c r="A37" s="27"/>
      <c r="B37" s="13" t="str">
        <f>CONCATENATE("     ","General                                           ")</f>
        <v xml:space="preserve">     General                                           </v>
      </c>
      <c r="C37" s="13"/>
      <c r="D37" s="1">
        <f>SUM(OSRRefD22_5x_0)</f>
        <v>7.5</v>
      </c>
      <c r="E37" s="1"/>
      <c r="F37" s="5">
        <f t="shared" si="28"/>
        <v>7.2012904712524485E-3</v>
      </c>
      <c r="G37" s="1"/>
      <c r="H37" s="1">
        <f>SUM(OSRRefH22_5x_0)</f>
        <v>5.95</v>
      </c>
      <c r="I37" s="1"/>
      <c r="J37" s="5">
        <f t="shared" si="29"/>
        <v>6.8507345829687287E-3</v>
      </c>
      <c r="K37" s="1"/>
      <c r="L37" s="1">
        <f t="shared" si="30"/>
        <v>1.5499999999999998</v>
      </c>
      <c r="M37" s="1"/>
      <c r="N37" s="5">
        <f t="shared" si="31"/>
        <v>0.26050420168067223</v>
      </c>
      <c r="O37" s="13"/>
      <c r="P37" s="1">
        <f>SUM(OSRRefP22_5x_0)</f>
        <v>1154.05</v>
      </c>
      <c r="Q37" s="1"/>
      <c r="R37" s="5">
        <f t="shared" si="32"/>
        <v>0.26792513279595853</v>
      </c>
      <c r="S37" s="1"/>
      <c r="T37" s="1">
        <f>SUM(OSRRefT22_5x_0)</f>
        <v>1063.95</v>
      </c>
      <c r="U37" s="1"/>
      <c r="V37" s="5">
        <f t="shared" si="33"/>
        <v>0.25090497470787299</v>
      </c>
      <c r="W37" s="1"/>
      <c r="X37" s="1">
        <f t="shared" si="34"/>
        <v>90.099999999999909</v>
      </c>
      <c r="Y37" s="1"/>
      <c r="Z37" s="5">
        <f t="shared" si="35"/>
        <v>8.4684430659335411E-2</v>
      </c>
    </row>
    <row r="38" spans="1:26" s="24" customFormat="1" hidden="1" outlineLevel="2" x14ac:dyDescent="0.25">
      <c r="A38" s="26"/>
      <c r="B38" s="11" t="str">
        <f>CONCATENATE("          ", "6279", " - ", "GENERAL EXPENSE")</f>
        <v xml:space="preserve">          6279 - GENERAL EXPENSE</v>
      </c>
      <c r="C38" s="11"/>
      <c r="D38" s="6">
        <v>7.5</v>
      </c>
      <c r="E38" s="2"/>
      <c r="F38" s="7">
        <f t="shared" si="28"/>
        <v>7.2012904712524485E-3</v>
      </c>
      <c r="G38" s="2"/>
      <c r="H38" s="6">
        <v>5.95</v>
      </c>
      <c r="I38" s="2"/>
      <c r="J38" s="7">
        <f t="shared" si="29"/>
        <v>6.8507345829687287E-3</v>
      </c>
      <c r="K38" s="2"/>
      <c r="L38" s="6">
        <f t="shared" si="30"/>
        <v>1.5499999999999998</v>
      </c>
      <c r="M38" s="2"/>
      <c r="N38" s="7">
        <f t="shared" si="31"/>
        <v>0.26050420168067223</v>
      </c>
      <c r="O38" s="11"/>
      <c r="P38" s="6">
        <v>1154.05</v>
      </c>
      <c r="Q38" s="2"/>
      <c r="R38" s="7">
        <f t="shared" si="32"/>
        <v>0.26792513279595853</v>
      </c>
      <c r="S38" s="2"/>
      <c r="T38" s="6">
        <v>1063.95</v>
      </c>
      <c r="U38" s="2"/>
      <c r="V38" s="7">
        <f t="shared" si="33"/>
        <v>0.25090497470787299</v>
      </c>
      <c r="W38" s="2"/>
      <c r="X38" s="6">
        <f t="shared" si="34"/>
        <v>90.099999999999909</v>
      </c>
      <c r="Y38" s="2"/>
      <c r="Z38" s="7">
        <f t="shared" si="35"/>
        <v>8.4684430659335411E-2</v>
      </c>
    </row>
    <row r="39" spans="1:26" s="25" customFormat="1" outlineLevel="1" collapsed="1" x14ac:dyDescent="0.25">
      <c r="A39" s="27"/>
      <c r="B39" s="13" t="str">
        <f>CONCATENATE("     ","R/H Commissions                                   ")</f>
        <v xml:space="preserve">     R/H Commissions                                   </v>
      </c>
      <c r="C39" s="13"/>
      <c r="D39" s="1">
        <f>SUM(OSRRefD22_6x_0)</f>
        <v>0</v>
      </c>
      <c r="E39" s="1"/>
      <c r="F39" s="5">
        <f t="shared" si="28"/>
        <v>0</v>
      </c>
      <c r="G39" s="1"/>
      <c r="H39" s="1">
        <f>SUM(OSRRefH22_6x_0)</f>
        <v>0</v>
      </c>
      <c r="I39" s="1"/>
      <c r="J39" s="5">
        <f t="shared" si="29"/>
        <v>0</v>
      </c>
      <c r="K39" s="1"/>
      <c r="L39" s="1">
        <f t="shared" si="30"/>
        <v>0</v>
      </c>
      <c r="M39" s="1"/>
      <c r="N39" s="5">
        <f t="shared" si="31"/>
        <v>0</v>
      </c>
      <c r="O39" s="13"/>
      <c r="P39" s="1">
        <f>SUM(OSRRefP22_6x_0)</f>
        <v>261.27</v>
      </c>
      <c r="Q39" s="1"/>
      <c r="R39" s="5">
        <f t="shared" si="32"/>
        <v>6.0656643512499539E-2</v>
      </c>
      <c r="S39" s="1"/>
      <c r="T39" s="1">
        <f>SUM(OSRRefT22_6x_0)</f>
        <v>269.76</v>
      </c>
      <c r="U39" s="1"/>
      <c r="V39" s="5">
        <f t="shared" si="33"/>
        <v>6.3615889823014068E-2</v>
      </c>
      <c r="W39" s="1"/>
      <c r="X39" s="1">
        <f t="shared" si="34"/>
        <v>-8.4900000000000091</v>
      </c>
      <c r="Y39" s="1"/>
      <c r="Z39" s="5">
        <f t="shared" si="35"/>
        <v>-3.1472419928825657E-2</v>
      </c>
    </row>
    <row r="40" spans="1:26" s="24" customFormat="1" hidden="1" outlineLevel="2" x14ac:dyDescent="0.25">
      <c r="A40" s="26"/>
      <c r="B40" s="11" t="str">
        <f>CONCATENATE("          ", "6387", " - ", "COMMISSION DUE HOUSING")</f>
        <v xml:space="preserve">          6387 - COMMISSION DUE HOUSING</v>
      </c>
      <c r="C40" s="11"/>
      <c r="D40" s="6"/>
      <c r="E40" s="2"/>
      <c r="F40" s="7">
        <f t="shared" si="28"/>
        <v>0</v>
      </c>
      <c r="G40" s="2"/>
      <c r="H40" s="6"/>
      <c r="I40" s="2"/>
      <c r="J40" s="7">
        <f t="shared" si="29"/>
        <v>0</v>
      </c>
      <c r="K40" s="2"/>
      <c r="L40" s="6">
        <f t="shared" si="30"/>
        <v>0</v>
      </c>
      <c r="M40" s="2"/>
      <c r="N40" s="7">
        <f t="shared" si="31"/>
        <v>0</v>
      </c>
      <c r="O40" s="11"/>
      <c r="P40" s="6">
        <v>261.27</v>
      </c>
      <c r="Q40" s="2"/>
      <c r="R40" s="7">
        <f t="shared" si="32"/>
        <v>6.0656643512499539E-2</v>
      </c>
      <c r="S40" s="2"/>
      <c r="T40" s="6">
        <v>269.76</v>
      </c>
      <c r="U40" s="2"/>
      <c r="V40" s="7">
        <f t="shared" si="33"/>
        <v>6.3615889823014068E-2</v>
      </c>
      <c r="W40" s="2"/>
      <c r="X40" s="6">
        <f t="shared" si="34"/>
        <v>-8.4900000000000091</v>
      </c>
      <c r="Y40" s="2"/>
      <c r="Z40" s="7">
        <f t="shared" si="35"/>
        <v>-3.1472419928825657E-2</v>
      </c>
    </row>
    <row r="41" spans="1:26" s="25" customFormat="1" outlineLevel="1" collapsed="1" x14ac:dyDescent="0.25">
      <c r="A41" s="27"/>
      <c r="B41" s="13" t="str">
        <f>CONCATENATE("     ","Supplies                                          ")</f>
        <v xml:space="preserve">     Supplies                                          </v>
      </c>
      <c r="C41" s="13"/>
      <c r="D41" s="1">
        <f>SUM(OSRRefD22_7x_0)</f>
        <v>60.18</v>
      </c>
      <c r="E41" s="1"/>
      <c r="F41" s="5">
        <f t="shared" si="28"/>
        <v>5.7783154741329647E-2</v>
      </c>
      <c r="G41" s="1"/>
      <c r="H41" s="1">
        <f>SUM(OSRRefH22_7x_0)</f>
        <v>-1660</v>
      </c>
      <c r="I41" s="1"/>
      <c r="J41" s="5">
        <f t="shared" si="29"/>
        <v>-1.9112973794500991</v>
      </c>
      <c r="K41" s="1"/>
      <c r="L41" s="1">
        <f t="shared" si="30"/>
        <v>1720.18</v>
      </c>
      <c r="M41" s="1"/>
      <c r="N41" s="5">
        <f t="shared" si="31"/>
        <v>-1.0362530120481928</v>
      </c>
      <c r="O41" s="13"/>
      <c r="P41" s="1">
        <f>SUM(OSRRefP22_7x_0)</f>
        <v>1583.77</v>
      </c>
      <c r="Q41" s="1"/>
      <c r="R41" s="5">
        <f t="shared" si="32"/>
        <v>0.36768925745700387</v>
      </c>
      <c r="S41" s="1"/>
      <c r="T41" s="1">
        <f>SUM(OSRRefT22_7x_0)</f>
        <v>-1845.8899999999999</v>
      </c>
      <c r="U41" s="1"/>
      <c r="V41" s="5">
        <f t="shared" si="33"/>
        <v>-0.43530521524838167</v>
      </c>
      <c r="W41" s="1"/>
      <c r="X41" s="1">
        <f t="shared" si="34"/>
        <v>3429.66</v>
      </c>
      <c r="Y41" s="1"/>
      <c r="Z41" s="5">
        <f t="shared" si="35"/>
        <v>-1.8579980388863908</v>
      </c>
    </row>
    <row r="42" spans="1:26" s="24" customFormat="1" hidden="1" outlineLevel="2" x14ac:dyDescent="0.25">
      <c r="A42" s="26"/>
      <c r="B42" s="11" t="str">
        <f>CONCATENATE("          ", "6237", " - ", "JANITORIAL SUPPLIES")</f>
        <v xml:space="preserve">          6237 - JANITORIAL SUPPLIES</v>
      </c>
      <c r="C42" s="11"/>
      <c r="D42" s="6"/>
      <c r="E42" s="2"/>
      <c r="F42" s="7">
        <f t="shared" si="28"/>
        <v>0</v>
      </c>
      <c r="G42" s="2"/>
      <c r="H42" s="6"/>
      <c r="I42" s="2"/>
      <c r="J42" s="7">
        <f t="shared" si="29"/>
        <v>0</v>
      </c>
      <c r="K42" s="2"/>
      <c r="L42" s="6">
        <f t="shared" si="30"/>
        <v>0</v>
      </c>
      <c r="M42" s="2"/>
      <c r="N42" s="7">
        <f t="shared" si="31"/>
        <v>0</v>
      </c>
      <c r="O42" s="11"/>
      <c r="P42" s="6">
        <v>47.13</v>
      </c>
      <c r="Q42" s="2"/>
      <c r="R42" s="7">
        <f t="shared" si="32"/>
        <v>1.0941736933992053E-2</v>
      </c>
      <c r="S42" s="2"/>
      <c r="T42" s="6">
        <v>58.06</v>
      </c>
      <c r="U42" s="2"/>
      <c r="V42" s="7">
        <f t="shared" si="33"/>
        <v>1.3691943072079615E-2</v>
      </c>
      <c r="W42" s="2"/>
      <c r="X42" s="6">
        <f t="shared" si="34"/>
        <v>-10.93</v>
      </c>
      <c r="Y42" s="2"/>
      <c r="Z42" s="7">
        <f t="shared" si="35"/>
        <v>-0.18825353083017568</v>
      </c>
    </row>
    <row r="43" spans="1:26" s="24" customFormat="1" hidden="1" outlineLevel="2" x14ac:dyDescent="0.25">
      <c r="A43" s="26"/>
      <c r="B43" s="11" t="str">
        <f>CONCATENATE("          ", "6243", " - ", "PAPER SUPPLIES")</f>
        <v xml:space="preserve">          6243 - PAPER SUPPLIES</v>
      </c>
      <c r="C43" s="11"/>
      <c r="D43" s="6"/>
      <c r="E43" s="2"/>
      <c r="F43" s="7">
        <f t="shared" si="28"/>
        <v>0</v>
      </c>
      <c r="G43" s="2"/>
      <c r="H43" s="6"/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/>
      <c r="Q43" s="2"/>
      <c r="R43" s="7">
        <f t="shared" si="32"/>
        <v>0</v>
      </c>
      <c r="S43" s="2"/>
      <c r="T43" s="6">
        <v>126.09</v>
      </c>
      <c r="U43" s="2"/>
      <c r="V43" s="7">
        <f t="shared" si="33"/>
        <v>2.9735051704418165E-2</v>
      </c>
      <c r="W43" s="2"/>
      <c r="X43" s="6">
        <f t="shared" si="34"/>
        <v>-126.09</v>
      </c>
      <c r="Y43" s="2"/>
      <c r="Z43" s="7">
        <f t="shared" si="35"/>
        <v>-1</v>
      </c>
    </row>
    <row r="44" spans="1:26" s="24" customFormat="1" hidden="1" outlineLevel="2" x14ac:dyDescent="0.25">
      <c r="A44" s="26"/>
      <c r="B44" s="11" t="str">
        <f>CONCATENATE("          ", "6247", " - ", "STORE SUPPLIES")</f>
        <v xml:space="preserve">          6247 - STORE SUPPLIES</v>
      </c>
      <c r="C44" s="11"/>
      <c r="D44" s="6">
        <v>60.18</v>
      </c>
      <c r="E44" s="2"/>
      <c r="F44" s="7">
        <f t="shared" si="28"/>
        <v>5.7783154741329647E-2</v>
      </c>
      <c r="G44" s="2"/>
      <c r="H44" s="6">
        <v>-1660</v>
      </c>
      <c r="I44" s="2"/>
      <c r="J44" s="7">
        <f t="shared" si="29"/>
        <v>-1.9112973794500991</v>
      </c>
      <c r="K44" s="2"/>
      <c r="L44" s="6">
        <f t="shared" si="30"/>
        <v>1720.18</v>
      </c>
      <c r="M44" s="2"/>
      <c r="N44" s="7">
        <f t="shared" si="31"/>
        <v>-1.0362530120481928</v>
      </c>
      <c r="O44" s="11"/>
      <c r="P44" s="6">
        <v>423.04</v>
      </c>
      <c r="Q44" s="2"/>
      <c r="R44" s="7">
        <f t="shared" si="32"/>
        <v>9.8213290739571357E-2</v>
      </c>
      <c r="S44" s="2"/>
      <c r="T44" s="6">
        <v>-2030.04</v>
      </c>
      <c r="U44" s="2"/>
      <c r="V44" s="7">
        <f t="shared" si="33"/>
        <v>-0.47873221002487942</v>
      </c>
      <c r="W44" s="2"/>
      <c r="X44" s="6">
        <f t="shared" si="34"/>
        <v>2453.08</v>
      </c>
      <c r="Y44" s="2"/>
      <c r="Z44" s="7">
        <f t="shared" si="35"/>
        <v>-1.2083899824633997</v>
      </c>
    </row>
    <row r="45" spans="1:26" s="24" customFormat="1" hidden="1" outlineLevel="2" x14ac:dyDescent="0.25">
      <c r="A45" s="26"/>
      <c r="B45" s="11" t="str">
        <f>CONCATENATE("          ", "6248", " - ", "UNIFORMS")</f>
        <v xml:space="preserve">          6248 - UNIFORMS</v>
      </c>
      <c r="C45" s="11"/>
      <c r="D45" s="6"/>
      <c r="E45" s="2"/>
      <c r="F45" s="7">
        <f t="shared" si="28"/>
        <v>0</v>
      </c>
      <c r="G45" s="2"/>
      <c r="H45" s="6"/>
      <c r="I45" s="2"/>
      <c r="J45" s="7">
        <f t="shared" si="29"/>
        <v>0</v>
      </c>
      <c r="K45" s="2"/>
      <c r="L45" s="6">
        <f t="shared" si="30"/>
        <v>0</v>
      </c>
      <c r="M45" s="2"/>
      <c r="N45" s="7">
        <f t="shared" si="31"/>
        <v>0</v>
      </c>
      <c r="O45" s="11"/>
      <c r="P45" s="6">
        <v>1113.5999999999999</v>
      </c>
      <c r="Q45" s="2"/>
      <c r="R45" s="7">
        <f t="shared" si="32"/>
        <v>0.25853422978344043</v>
      </c>
      <c r="S45" s="2"/>
      <c r="T45" s="6"/>
      <c r="U45" s="2"/>
      <c r="V45" s="7">
        <f t="shared" si="33"/>
        <v>0</v>
      </c>
      <c r="W45" s="2"/>
      <c r="X45" s="6">
        <f t="shared" si="34"/>
        <v>1113.5999999999999</v>
      </c>
      <c r="Y45" s="2"/>
      <c r="Z45" s="7">
        <f t="shared" si="35"/>
        <v>0</v>
      </c>
    </row>
    <row r="46" spans="1:26" s="25" customFormat="1" outlineLevel="1" collapsed="1" x14ac:dyDescent="0.25">
      <c r="A46" s="27"/>
      <c r="B46" s="13" t="str">
        <f>CONCATENATE("     ","Telephone/Data Lines                              ")</f>
        <v xml:space="preserve">     Telephone/Data Lines                              </v>
      </c>
      <c r="C46" s="13"/>
      <c r="D46" s="1">
        <f>SUM(OSRRefD22_8x_0)</f>
        <v>75.5</v>
      </c>
      <c r="E46" s="1"/>
      <c r="F46" s="5">
        <f t="shared" ref="F46:F47" si="36">IF(D$12=0,0,D46/D$12)</f>
        <v>7.2492990743941318E-2</v>
      </c>
      <c r="G46" s="1"/>
      <c r="H46" s="1">
        <f>SUM(OSRRefH22_8x_0)</f>
        <v>75.5</v>
      </c>
      <c r="I46" s="1"/>
      <c r="J46" s="5">
        <f t="shared" ref="J46:J47" si="37">IF(H$12=0,0,H46/H$12)</f>
        <v>8.6929489246073785E-2</v>
      </c>
      <c r="K46" s="1"/>
      <c r="L46" s="1">
        <f t="shared" ref="L46:L47" si="38">+D46-H46</f>
        <v>0</v>
      </c>
      <c r="M46" s="1"/>
      <c r="N46" s="5">
        <f t="shared" ref="N46:N47" si="39">IF(H46=0,0,L46/H46)</f>
        <v>0</v>
      </c>
      <c r="O46" s="13"/>
      <c r="P46" s="1">
        <f>SUM(OSRRefP22_8x_0)</f>
        <v>337.5</v>
      </c>
      <c r="Q46" s="1"/>
      <c r="R46" s="5">
        <f t="shared" ref="R46:R47" si="40">IF(P$12=0,0,P46/P$12)</f>
        <v>7.8354258757104125E-2</v>
      </c>
      <c r="S46" s="1"/>
      <c r="T46" s="1">
        <f>SUM(OSRRefT22_8x_0)</f>
        <v>317.5</v>
      </c>
      <c r="U46" s="1"/>
      <c r="V46" s="5">
        <f t="shared" ref="V46:V47" si="41">IF(T$12=0,0,T46/T$12)</f>
        <v>7.4874128924996175E-2</v>
      </c>
      <c r="W46" s="1"/>
      <c r="X46" s="1">
        <f t="shared" ref="X46:X47" si="42">+P46-T46</f>
        <v>20</v>
      </c>
      <c r="Y46" s="1"/>
      <c r="Z46" s="5">
        <f t="shared" ref="Z46:Z47" si="43">IF(T46=0,0,X46/T46)</f>
        <v>6.2992125984251968E-2</v>
      </c>
    </row>
    <row r="47" spans="1:26" s="24" customFormat="1" hidden="1" outlineLevel="2" x14ac:dyDescent="0.25">
      <c r="A47" s="26"/>
      <c r="B47" s="11" t="str">
        <f>CONCATENATE("          ", "6309", " - ", "TELEPHONE")</f>
        <v xml:space="preserve">          6309 - TELEPHONE</v>
      </c>
      <c r="C47" s="11"/>
      <c r="D47" s="6">
        <v>75.5</v>
      </c>
      <c r="E47" s="2"/>
      <c r="F47" s="7">
        <f t="shared" si="36"/>
        <v>7.2492990743941318E-2</v>
      </c>
      <c r="G47" s="2"/>
      <c r="H47" s="6">
        <v>75.5</v>
      </c>
      <c r="I47" s="2"/>
      <c r="J47" s="7">
        <f t="shared" si="37"/>
        <v>8.6929489246073785E-2</v>
      </c>
      <c r="K47" s="2"/>
      <c r="L47" s="6">
        <f t="shared" si="38"/>
        <v>0</v>
      </c>
      <c r="M47" s="2"/>
      <c r="N47" s="7">
        <f t="shared" si="39"/>
        <v>0</v>
      </c>
      <c r="O47" s="11"/>
      <c r="P47" s="6">
        <v>337.5</v>
      </c>
      <c r="Q47" s="2"/>
      <c r="R47" s="7">
        <f t="shared" si="40"/>
        <v>7.8354258757104125E-2</v>
      </c>
      <c r="S47" s="2"/>
      <c r="T47" s="6">
        <v>317.5</v>
      </c>
      <c r="U47" s="2"/>
      <c r="V47" s="7">
        <f t="shared" si="41"/>
        <v>7.4874128924996175E-2</v>
      </c>
      <c r="W47" s="2"/>
      <c r="X47" s="6">
        <f t="shared" si="42"/>
        <v>20</v>
      </c>
      <c r="Y47" s="2"/>
      <c r="Z47" s="7">
        <f t="shared" si="43"/>
        <v>6.2992125984251968E-2</v>
      </c>
    </row>
    <row r="48" spans="1:26" s="53" customFormat="1" x14ac:dyDescent="0.25">
      <c r="A48" s="37"/>
      <c r="B48" s="37"/>
      <c r="C48" s="37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7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8" t="s">
        <v>0</v>
      </c>
      <c r="C49" s="10"/>
      <c r="D49" s="4">
        <f>SUM(0)</f>
        <v>0</v>
      </c>
      <c r="E49" s="4"/>
      <c r="F49" s="12">
        <f>IF(D$12=0,0,D49/D$12)</f>
        <v>0</v>
      </c>
      <c r="G49" s="4"/>
      <c r="H49" s="4">
        <f>SUM(0)</f>
        <v>0</v>
      </c>
      <c r="I49" s="4"/>
      <c r="J49" s="12">
        <f>IF(H$12=0,0,H49/H$12)</f>
        <v>0</v>
      </c>
      <c r="K49" s="4"/>
      <c r="L49" s="4">
        <f>+D49-H49</f>
        <v>0</v>
      </c>
      <c r="M49" s="4"/>
      <c r="N49" s="12">
        <f>IF(H49=0,0,L49/H49)</f>
        <v>0</v>
      </c>
      <c r="O49" s="10"/>
      <c r="P49" s="4">
        <f>SUM(0)</f>
        <v>0</v>
      </c>
      <c r="Q49" s="4"/>
      <c r="R49" s="12">
        <f>IF(P$12=0,0,P49/P$12)</f>
        <v>0</v>
      </c>
      <c r="S49" s="4"/>
      <c r="T49" s="4">
        <f>SUM(0)</f>
        <v>0</v>
      </c>
      <c r="U49" s="4"/>
      <c r="V49" s="12">
        <f>IF(T$12=0,0,T49/T$12)</f>
        <v>0</v>
      </c>
      <c r="W49" s="4"/>
      <c r="X49" s="4">
        <f>+P49-T49</f>
        <v>0</v>
      </c>
      <c r="Y49" s="4"/>
      <c r="Z49" s="12">
        <f>IF(T49=0,0,X49/T49)</f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9" t="s">
        <v>3</v>
      </c>
      <c r="C51" s="29"/>
      <c r="D51" s="21">
        <f>+D21-D23+D49</f>
        <v>-2047.1100000000001</v>
      </c>
      <c r="E51" s="14"/>
      <c r="F51" s="20">
        <f>IF(D$12=0,0,D51/D$12)</f>
        <v>-1.9655778315474133</v>
      </c>
      <c r="G51" s="14"/>
      <c r="H51" s="21">
        <f>+H21-H23+H49</f>
        <v>581.79000000000019</v>
      </c>
      <c r="I51" s="14"/>
      <c r="J51" s="20">
        <f>IF(H$12=0,0,H51/H$12)</f>
        <v>0.669863676138719</v>
      </c>
      <c r="K51" s="15"/>
      <c r="L51" s="21">
        <f>+D51-H51</f>
        <v>-2628.9000000000005</v>
      </c>
      <c r="M51" s="15"/>
      <c r="N51" s="20">
        <f>IF(H51=0,0,L51/H51)</f>
        <v>-4.5186407466611662</v>
      </c>
      <c r="O51" s="28"/>
      <c r="P51" s="21">
        <f>+P21-P23+P49</f>
        <v>-10082.000000000002</v>
      </c>
      <c r="Q51" s="14"/>
      <c r="R51" s="20">
        <f>IF(P$12=0,0,P51/P$12)</f>
        <v>-2.3406448497455523</v>
      </c>
      <c r="S51" s="14"/>
      <c r="T51" s="21">
        <f>+T21-T23+T49</f>
        <v>-5316.340000000002</v>
      </c>
      <c r="U51" s="14"/>
      <c r="V51" s="20">
        <f>IF(T$12=0,0,T51/T$12)</f>
        <v>-1.2537207136035096</v>
      </c>
      <c r="W51" s="15"/>
      <c r="X51" s="21">
        <f>+P51-T51</f>
        <v>-4765.66</v>
      </c>
      <c r="Y51" s="15"/>
      <c r="Z51" s="20">
        <f>IF(T51=0,0,X51/T51)</f>
        <v>0.89641746013234636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51"/>
      <c r="B53" s="10" t="s">
        <v>13</v>
      </c>
      <c r="C53" s="10"/>
      <c r="D53" s="4">
        <v>127.37</v>
      </c>
      <c r="E53" s="4"/>
      <c r="F53" s="12">
        <f>IF(D$12=0,0,D53/D$12)</f>
        <v>0.12229711564312325</v>
      </c>
      <c r="G53" s="4"/>
      <c r="H53" s="4">
        <v>136.51</v>
      </c>
      <c r="I53" s="4"/>
      <c r="J53" s="12">
        <f>IF(H$12=0,0,H53/H$12)</f>
        <v>0.15717542486068253</v>
      </c>
      <c r="K53" s="4"/>
      <c r="L53" s="4">
        <f>+D53-H53</f>
        <v>-9.1399999999999864</v>
      </c>
      <c r="M53" s="4"/>
      <c r="N53" s="12">
        <f>IF(H53=0,0,L53/H53)</f>
        <v>-6.6954801846018513E-2</v>
      </c>
      <c r="O53" s="10"/>
      <c r="P53" s="4">
        <v>456.12</v>
      </c>
      <c r="Q53" s="4"/>
      <c r="R53" s="12">
        <f>IF(P$12=0,0,P53/P$12)</f>
        <v>0.10589316890160098</v>
      </c>
      <c r="S53" s="4"/>
      <c r="T53" s="4">
        <v>446.19</v>
      </c>
      <c r="U53" s="4"/>
      <c r="V53" s="12">
        <f>IF(T$12=0,0,T53/T$12)</f>
        <v>0.10522232310250092</v>
      </c>
      <c r="W53" s="4"/>
      <c r="X53" s="4">
        <f>+P53-T53</f>
        <v>9.9300000000000068</v>
      </c>
      <c r="Y53" s="4"/>
      <c r="Z53" s="12">
        <f>IF(T53=0,0,X53/T53)</f>
        <v>2.2255093121764286E-2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9" t="s">
        <v>4</v>
      </c>
      <c r="C55" s="29"/>
      <c r="D55" s="31">
        <f>+D51-D53</f>
        <v>-2174.48</v>
      </c>
      <c r="E55" s="14"/>
      <c r="F55" s="32">
        <f>IF(D$12=0,0,D55/D$12)</f>
        <v>-2.0878749471905365</v>
      </c>
      <c r="G55" s="14"/>
      <c r="H55" s="31">
        <f>+H51-H53</f>
        <v>445.2800000000002</v>
      </c>
      <c r="I55" s="14"/>
      <c r="J55" s="32">
        <f>IF(H$12=0,0,H55/H$12)</f>
        <v>0.51268825127803641</v>
      </c>
      <c r="K55" s="15"/>
      <c r="L55" s="31">
        <f>D55-H55</f>
        <v>-2619.7600000000002</v>
      </c>
      <c r="M55" s="15"/>
      <c r="N55" s="32">
        <f>IF(H55=0,0,L55/H55)</f>
        <v>-5.8833992094861642</v>
      </c>
      <c r="O55" s="28"/>
      <c r="P55" s="31">
        <f>+P51-P53</f>
        <v>-10538.120000000003</v>
      </c>
      <c r="Q55" s="14"/>
      <c r="R55" s="32">
        <f>IF(P$12=0,0,P55/P$12)</f>
        <v>-2.4465380186471535</v>
      </c>
      <c r="S55" s="14"/>
      <c r="T55" s="31">
        <f>+T51-T53</f>
        <v>-5762.5300000000016</v>
      </c>
      <c r="U55" s="14"/>
      <c r="V55" s="32">
        <f>IF(T$12=0,0,T55/T$12)</f>
        <v>-1.3589430367060105</v>
      </c>
      <c r="W55" s="15"/>
      <c r="X55" s="31">
        <f>P55-T55</f>
        <v>-4775.5900000000011</v>
      </c>
      <c r="Y55" s="15"/>
      <c r="Z55" s="32">
        <f>IF(T55=0,0,X55/T55)</f>
        <v>0.82873147731985775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9" t="s">
        <v>5</v>
      </c>
      <c r="C58" s="29"/>
      <c r="D58" s="34">
        <f>SUM(D55:D57)</f>
        <v>-2174.48</v>
      </c>
      <c r="E58" s="14"/>
      <c r="F58" s="30">
        <f>IF(D$12=0,0,D58/D$12)</f>
        <v>-2.0878749471905365</v>
      </c>
      <c r="G58" s="14"/>
      <c r="H58" s="34">
        <f>SUM(H55:H57)</f>
        <v>445.2800000000002</v>
      </c>
      <c r="I58" s="14"/>
      <c r="J58" s="30">
        <f>IF(H$12=0,0,H58/H$12)</f>
        <v>0.51268825127803641</v>
      </c>
      <c r="K58" s="15"/>
      <c r="L58" s="34">
        <f>+D58-H58</f>
        <v>-2619.7600000000002</v>
      </c>
      <c r="M58" s="15"/>
      <c r="N58" s="30">
        <f>IF(H58=0,0,L58/H58)</f>
        <v>-5.8833992094861642</v>
      </c>
      <c r="O58" s="28"/>
      <c r="P58" s="34">
        <f>SUM(P55:P57)</f>
        <v>-10538.120000000003</v>
      </c>
      <c r="Q58" s="14"/>
      <c r="R58" s="30">
        <f>IF(P$12=0,0,P58/P$12)</f>
        <v>-2.4465380186471535</v>
      </c>
      <c r="S58" s="14"/>
      <c r="T58" s="34">
        <f>SUM(T55:T57)</f>
        <v>-5762.5300000000016</v>
      </c>
      <c r="U58" s="14"/>
      <c r="V58" s="30">
        <f>IF(T$12=0,0,T58/T$12)</f>
        <v>-1.3589430367060105</v>
      </c>
      <c r="W58" s="15"/>
      <c r="X58" s="34">
        <f>+P58-T58</f>
        <v>-4775.5900000000011</v>
      </c>
      <c r="Y58" s="15"/>
      <c r="Z58" s="30">
        <f>IF(T58=0,0,X58/T58)</f>
        <v>0.82873147731985775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9">
        <v>43815.492270636576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62" t="s">
        <v>313</v>
      </c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A62" s="9"/>
      <c r="B62" s="61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","444", " - ", "Parkside Dining Hall")</f>
        <v>Department 444 - Parkside Dining Hall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435948.06</v>
      </c>
      <c r="E12" s="4"/>
      <c r="F12" s="12"/>
      <c r="G12" s="4"/>
      <c r="H12" s="4">
        <f>SUM(OSRRefH13x_0)</f>
        <v>325806.03999999998</v>
      </c>
      <c r="I12" s="4"/>
      <c r="J12" s="12"/>
      <c r="K12" s="4"/>
      <c r="L12" s="4">
        <f t="shared" ref="L12:L15" si="0">+D12-H12</f>
        <v>110142.02000000002</v>
      </c>
      <c r="M12" s="4"/>
      <c r="N12" s="12">
        <f t="shared" ref="N12:N15" si="1">IF(H12=0,0,L12/H12)</f>
        <v>0.33806009244027529</v>
      </c>
      <c r="O12" s="10"/>
      <c r="P12" s="4">
        <f>SUM(OSRRefP13x_0)</f>
        <v>1997101.33</v>
      </c>
      <c r="Q12" s="4"/>
      <c r="R12" s="12"/>
      <c r="S12" s="4"/>
      <c r="T12" s="4">
        <f>SUM(OSRRefT13x_0)</f>
        <v>1887639.87</v>
      </c>
      <c r="U12" s="4"/>
      <c r="V12" s="12"/>
      <c r="W12" s="4"/>
      <c r="X12" s="4">
        <f t="shared" ref="X12:X15" si="2">+P12-T12</f>
        <v>109461.45999999996</v>
      </c>
      <c r="Y12" s="4"/>
      <c r="Z12" s="12">
        <f t="shared" ref="Z12:Z15" si="3">IF(T12=0,0,X12/T12)</f>
        <v>5.7988529348026514E-2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--215.8</f>
        <v>215.8</v>
      </c>
      <c r="E13" s="2"/>
      <c r="F13" s="19"/>
      <c r="G13" s="2"/>
      <c r="H13" s="2">
        <f>--165.36</f>
        <v>165.36</v>
      </c>
      <c r="I13" s="2"/>
      <c r="J13" s="19"/>
      <c r="K13" s="2"/>
      <c r="L13" s="2">
        <f t="shared" si="0"/>
        <v>50.44</v>
      </c>
      <c r="M13" s="2"/>
      <c r="N13" s="19">
        <f t="shared" si="1"/>
        <v>0.30503144654088049</v>
      </c>
      <c r="O13" s="11"/>
      <c r="P13" s="2">
        <f>--1986.09</f>
        <v>1986.09</v>
      </c>
      <c r="Q13" s="2"/>
      <c r="R13" s="19"/>
      <c r="S13" s="2"/>
      <c r="T13" s="2">
        <f>--1277.36</f>
        <v>1277.3599999999999</v>
      </c>
      <c r="U13" s="2"/>
      <c r="V13" s="19"/>
      <c r="W13" s="2"/>
      <c r="X13" s="2">
        <f t="shared" si="2"/>
        <v>708.73</v>
      </c>
      <c r="Y13" s="2"/>
      <c r="Z13" s="19">
        <f t="shared" si="3"/>
        <v>0.55483966931796835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--430286.93</f>
        <v>430286.93</v>
      </c>
      <c r="E14" s="2"/>
      <c r="F14" s="19"/>
      <c r="G14" s="2"/>
      <c r="H14" s="2">
        <f>--321980.87</f>
        <v>321980.87</v>
      </c>
      <c r="I14" s="2"/>
      <c r="J14" s="19"/>
      <c r="K14" s="2"/>
      <c r="L14" s="2">
        <f t="shared" si="0"/>
        <v>108306.06</v>
      </c>
      <c r="M14" s="2"/>
      <c r="N14" s="19">
        <f t="shared" si="1"/>
        <v>0.33637420757326358</v>
      </c>
      <c r="O14" s="11"/>
      <c r="P14" s="2">
        <f>--1959870.2</f>
        <v>1959870.2</v>
      </c>
      <c r="Q14" s="2"/>
      <c r="R14" s="19"/>
      <c r="S14" s="2"/>
      <c r="T14" s="2">
        <f>--1845185.46</f>
        <v>1845185.46</v>
      </c>
      <c r="U14" s="2"/>
      <c r="V14" s="19"/>
      <c r="W14" s="2"/>
      <c r="X14" s="2">
        <f t="shared" si="2"/>
        <v>114684.73999999999</v>
      </c>
      <c r="Y14" s="2"/>
      <c r="Z14" s="19">
        <f t="shared" si="3"/>
        <v>6.2153502987173981E-2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--5445.33</f>
        <v>5445.33</v>
      </c>
      <c r="E15" s="2"/>
      <c r="F15" s="19"/>
      <c r="G15" s="2"/>
      <c r="H15" s="2">
        <f>--3659.81</f>
        <v>3659.81</v>
      </c>
      <c r="I15" s="2"/>
      <c r="J15" s="19"/>
      <c r="K15" s="2"/>
      <c r="L15" s="2">
        <f t="shared" si="0"/>
        <v>1785.52</v>
      </c>
      <c r="M15" s="2"/>
      <c r="N15" s="19">
        <f t="shared" si="1"/>
        <v>0.48787232124072016</v>
      </c>
      <c r="O15" s="11"/>
      <c r="P15" s="2">
        <f>--35245.04</f>
        <v>35245.040000000001</v>
      </c>
      <c r="Q15" s="2"/>
      <c r="R15" s="19"/>
      <c r="S15" s="2"/>
      <c r="T15" s="2">
        <f>--41177.05</f>
        <v>41177.050000000003</v>
      </c>
      <c r="U15" s="2"/>
      <c r="V15" s="19"/>
      <c r="W15" s="2"/>
      <c r="X15" s="2">
        <f t="shared" si="2"/>
        <v>-5932.010000000002</v>
      </c>
      <c r="Y15" s="2"/>
      <c r="Z15" s="19">
        <f t="shared" si="3"/>
        <v>-0.14406107285490344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97764.409999999989</v>
      </c>
      <c r="E17" s="4"/>
      <c r="F17" s="12">
        <f t="shared" ref="F17:F19" si="4">IF(D$12=0,0,D17/D$12)</f>
        <v>0.22425701355340355</v>
      </c>
      <c r="G17" s="4"/>
      <c r="H17" s="4">
        <f>SUM(OSRRefH16x_0)</f>
        <v>83211.090000000011</v>
      </c>
      <c r="I17" s="4"/>
      <c r="J17" s="12">
        <f t="shared" ref="J17:J19" si="5">IF(H$12=0,0,H17/H$12)</f>
        <v>0.25540069791216891</v>
      </c>
      <c r="K17" s="4"/>
      <c r="L17" s="4">
        <f t="shared" ref="L17:L19" si="6">+D17-H17</f>
        <v>14553.319999999978</v>
      </c>
      <c r="M17" s="4"/>
      <c r="N17" s="12">
        <f t="shared" ref="N17:N19" si="7">IF(H17=0,0,L17/H17)</f>
        <v>0.17489639902565843</v>
      </c>
      <c r="O17" s="10"/>
      <c r="P17" s="4">
        <f>SUM(OSRRefP16x_0)</f>
        <v>506589.61999999994</v>
      </c>
      <c r="Q17" s="4"/>
      <c r="R17" s="12">
        <f t="shared" ref="R17:R19" si="8">IF(P$12=0,0,P17/P$12)</f>
        <v>0.25366245186968051</v>
      </c>
      <c r="S17" s="4"/>
      <c r="T17" s="4">
        <f>SUM(OSRRefT16x_0)</f>
        <v>506258.7</v>
      </c>
      <c r="U17" s="4"/>
      <c r="V17" s="12">
        <f t="shared" ref="V17:V19" si="9">IF(T$12=0,0,T17/T$12)</f>
        <v>0.26819665554108052</v>
      </c>
      <c r="W17" s="4"/>
      <c r="X17" s="4">
        <f t="shared" ref="X17:X19" si="10">+P17-T17</f>
        <v>330.91999999992549</v>
      </c>
      <c r="Y17" s="4"/>
      <c r="Z17" s="12">
        <f t="shared" ref="Z17:Z19" si="11">IF(T17=0,0,X17/T17)</f>
        <v>6.5365790257021852E-4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86572.909999999989</v>
      </c>
      <c r="E18" s="2"/>
      <c r="F18" s="19">
        <f t="shared" si="4"/>
        <v>0.19858537734976958</v>
      </c>
      <c r="G18" s="2"/>
      <c r="H18" s="2">
        <v>80941.090000000011</v>
      </c>
      <c r="I18" s="2"/>
      <c r="J18" s="19">
        <f t="shared" si="5"/>
        <v>0.24843336237719846</v>
      </c>
      <c r="K18" s="2"/>
      <c r="L18" s="2">
        <f t="shared" si="6"/>
        <v>5631.8199999999779</v>
      </c>
      <c r="M18" s="2"/>
      <c r="N18" s="19">
        <f t="shared" si="7"/>
        <v>6.9579245844106838E-2</v>
      </c>
      <c r="O18" s="11"/>
      <c r="P18" s="2">
        <v>507242.86999999994</v>
      </c>
      <c r="Q18" s="2"/>
      <c r="R18" s="19">
        <f t="shared" si="8"/>
        <v>0.25398955094582004</v>
      </c>
      <c r="S18" s="2"/>
      <c r="T18" s="2">
        <v>519152.45</v>
      </c>
      <c r="U18" s="2"/>
      <c r="V18" s="19">
        <f t="shared" si="9"/>
        <v>0.27502727519736059</v>
      </c>
      <c r="W18" s="2"/>
      <c r="X18" s="2">
        <f t="shared" si="10"/>
        <v>-11909.580000000075</v>
      </c>
      <c r="Y18" s="2"/>
      <c r="Z18" s="19">
        <f t="shared" si="11"/>
        <v>-2.2940429155251168E-2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11191.5</v>
      </c>
      <c r="E19" s="2"/>
      <c r="F19" s="19">
        <f t="shared" si="4"/>
        <v>2.5671636203633982E-2</v>
      </c>
      <c r="G19" s="2"/>
      <c r="H19" s="2">
        <v>2270</v>
      </c>
      <c r="I19" s="2"/>
      <c r="J19" s="19">
        <f t="shared" si="5"/>
        <v>6.9673355349704385E-3</v>
      </c>
      <c r="K19" s="2"/>
      <c r="L19" s="2">
        <f t="shared" si="6"/>
        <v>8921.5</v>
      </c>
      <c r="M19" s="2"/>
      <c r="N19" s="19">
        <f t="shared" si="7"/>
        <v>3.9301762114537446</v>
      </c>
      <c r="O19" s="11"/>
      <c r="P19" s="2">
        <v>-653.25</v>
      </c>
      <c r="Q19" s="2"/>
      <c r="R19" s="19">
        <f t="shared" si="8"/>
        <v>-3.2709907613951664E-4</v>
      </c>
      <c r="S19" s="2"/>
      <c r="T19" s="2">
        <v>-12893.75</v>
      </c>
      <c r="U19" s="2"/>
      <c r="V19" s="19">
        <f t="shared" si="9"/>
        <v>-6.8306196562800932E-3</v>
      </c>
      <c r="W19" s="2"/>
      <c r="X19" s="2">
        <f t="shared" si="10"/>
        <v>12240.5</v>
      </c>
      <c r="Y19" s="2"/>
      <c r="Z19" s="19">
        <f t="shared" si="11"/>
        <v>-0.94933591856519628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1">
        <f>D12-D17</f>
        <v>338183.65</v>
      </c>
      <c r="E21" s="14"/>
      <c r="F21" s="20">
        <f>IF(D$12=0,0,D21/D$12)</f>
        <v>0.77574298644659645</v>
      </c>
      <c r="G21" s="14"/>
      <c r="H21" s="21">
        <f>H12-H17</f>
        <v>242594.94999999995</v>
      </c>
      <c r="I21" s="14"/>
      <c r="J21" s="20">
        <f>IF(H$12=0,0,H21/H$12)</f>
        <v>0.74459930208783109</v>
      </c>
      <c r="K21" s="15"/>
      <c r="L21" s="21">
        <f>+D21-H21</f>
        <v>95588.70000000007</v>
      </c>
      <c r="M21" s="15"/>
      <c r="N21" s="20">
        <f>IF(H21=0,0,L21/H21)</f>
        <v>0.3940259267556892</v>
      </c>
      <c r="O21" s="28"/>
      <c r="P21" s="21">
        <f>P12-P17</f>
        <v>1490511.7100000002</v>
      </c>
      <c r="Q21" s="14"/>
      <c r="R21" s="20">
        <f>IF(P$12=0,0,P21/P$12)</f>
        <v>0.74633754813031949</v>
      </c>
      <c r="S21" s="14"/>
      <c r="T21" s="21">
        <f>T12-T17</f>
        <v>1381381.1700000002</v>
      </c>
      <c r="U21" s="14"/>
      <c r="V21" s="20">
        <f>IF(T$12=0,0,T21/T$12)</f>
        <v>0.73180334445891948</v>
      </c>
      <c r="W21" s="15"/>
      <c r="X21" s="21">
        <f>+P21-T21</f>
        <v>109130.54000000004</v>
      </c>
      <c r="Y21" s="15"/>
      <c r="Z21" s="20">
        <f>IF(T21=0,0,X21/T21)</f>
        <v>7.9001033436701631E-2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182010.03000000003</v>
      </c>
      <c r="E23" s="22"/>
      <c r="F23" s="33">
        <f t="shared" ref="F23:F33" si="12">IF(D$12=0,0,D23/D$12)</f>
        <v>0.41750393384019197</v>
      </c>
      <c r="G23" s="22"/>
      <c r="H23" s="22">
        <f>SUM(OSRRefH22x_0)</f>
        <v>155270.50000000006</v>
      </c>
      <c r="I23" s="22"/>
      <c r="J23" s="33">
        <f t="shared" ref="J23:J33" si="13">IF(H$12=0,0,H23/H$12)</f>
        <v>0.47657342386899909</v>
      </c>
      <c r="K23" s="4"/>
      <c r="L23" s="22">
        <f t="shared" ref="L23:L33" si="14">+D23-H23</f>
        <v>26739.52999999997</v>
      </c>
      <c r="M23" s="4"/>
      <c r="N23" s="33">
        <f t="shared" ref="N23:N33" si="15">IF(H23=0,0,L23/H23)</f>
        <v>0.17221255808411745</v>
      </c>
      <c r="O23" s="10"/>
      <c r="P23" s="22">
        <f>SUM(OSRRefP22x_0)</f>
        <v>926603.56999999983</v>
      </c>
      <c r="Q23" s="22"/>
      <c r="R23" s="33">
        <f t="shared" ref="R23:R33" si="16">IF(P$12=0,0,P23/P$12)</f>
        <v>0.46397423910383145</v>
      </c>
      <c r="S23" s="22"/>
      <c r="T23" s="22">
        <f>SUM(OSRRefT22x_0)</f>
        <v>857389.34000000008</v>
      </c>
      <c r="U23" s="22"/>
      <c r="V23" s="33">
        <f t="shared" ref="V23:V33" si="17">IF(T$12=0,0,T23/T$12)</f>
        <v>0.45421234930792176</v>
      </c>
      <c r="W23" s="4"/>
      <c r="X23" s="22">
        <f t="shared" ref="X23:X33" si="18">+P23-T23</f>
        <v>69214.229999999749</v>
      </c>
      <c r="Y23" s="4"/>
      <c r="Z23" s="33">
        <f t="shared" ref="Z23:Z33" si="19">IF(T23=0,0,X23/T23)</f>
        <v>8.0726720955032805E-2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33098.26</v>
      </c>
      <c r="E24" s="1"/>
      <c r="F24" s="5">
        <f t="shared" si="12"/>
        <v>7.5922484894186709E-2</v>
      </c>
      <c r="G24" s="1"/>
      <c r="H24" s="1">
        <f>SUM(OSRRefH22_0x_0)</f>
        <v>32466.060000000005</v>
      </c>
      <c r="I24" s="1"/>
      <c r="J24" s="5">
        <f t="shared" si="13"/>
        <v>9.9648428862767577E-2</v>
      </c>
      <c r="K24" s="1"/>
      <c r="L24" s="1">
        <f t="shared" si="14"/>
        <v>632.19999999999709</v>
      </c>
      <c r="M24" s="1"/>
      <c r="N24" s="5">
        <f t="shared" si="15"/>
        <v>1.9472643123310835E-2</v>
      </c>
      <c r="O24" s="13"/>
      <c r="P24" s="1">
        <f>SUM(OSRRefP22_0x_0)</f>
        <v>166951.17000000001</v>
      </c>
      <c r="Q24" s="1"/>
      <c r="R24" s="5">
        <f t="shared" si="16"/>
        <v>8.3596744687962327E-2</v>
      </c>
      <c r="S24" s="1"/>
      <c r="T24" s="1">
        <f>SUM(OSRRefT22_0x_0)</f>
        <v>160589.24000000002</v>
      </c>
      <c r="U24" s="1"/>
      <c r="V24" s="5">
        <f t="shared" si="17"/>
        <v>8.5074087781373264E-2</v>
      </c>
      <c r="W24" s="1"/>
      <c r="X24" s="1">
        <f t="shared" si="18"/>
        <v>6361.929999999993</v>
      </c>
      <c r="Y24" s="1"/>
      <c r="Z24" s="5">
        <f t="shared" si="19"/>
        <v>3.9616166064426188E-2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>
        <v>3923.43</v>
      </c>
      <c r="E25" s="2"/>
      <c r="F25" s="7">
        <f t="shared" si="12"/>
        <v>8.9997647884933803E-3</v>
      </c>
      <c r="G25" s="2"/>
      <c r="H25" s="6">
        <v>3844.65</v>
      </c>
      <c r="I25" s="2"/>
      <c r="J25" s="7">
        <f t="shared" si="13"/>
        <v>1.1800425799349822E-2</v>
      </c>
      <c r="K25" s="2"/>
      <c r="L25" s="6">
        <f t="shared" si="14"/>
        <v>78.779999999999745</v>
      </c>
      <c r="M25" s="2"/>
      <c r="N25" s="7">
        <f t="shared" si="15"/>
        <v>2.0490811907455747E-2</v>
      </c>
      <c r="O25" s="11"/>
      <c r="P25" s="6">
        <v>25743.3</v>
      </c>
      <c r="Q25" s="2"/>
      <c r="R25" s="7">
        <f t="shared" si="16"/>
        <v>1.2890332409923336E-2</v>
      </c>
      <c r="S25" s="2"/>
      <c r="T25" s="6">
        <v>25334.2</v>
      </c>
      <c r="U25" s="2"/>
      <c r="V25" s="7">
        <f t="shared" si="17"/>
        <v>1.3421098167416859E-2</v>
      </c>
      <c r="W25" s="2"/>
      <c r="X25" s="6">
        <f t="shared" si="18"/>
        <v>409.09999999999854</v>
      </c>
      <c r="Y25" s="2"/>
      <c r="Z25" s="7">
        <f t="shared" si="19"/>
        <v>1.6148131774439238E-2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>
        <v>4044.38</v>
      </c>
      <c r="E26" s="2"/>
      <c r="F26" s="7">
        <f t="shared" si="12"/>
        <v>9.2772060965244357E-3</v>
      </c>
      <c r="G26" s="2"/>
      <c r="H26" s="6">
        <v>3223.92</v>
      </c>
      <c r="I26" s="2"/>
      <c r="J26" s="7">
        <f t="shared" si="13"/>
        <v>9.8952125012783682E-3</v>
      </c>
      <c r="K26" s="2"/>
      <c r="L26" s="6">
        <f t="shared" si="14"/>
        <v>820.46</v>
      </c>
      <c r="M26" s="2"/>
      <c r="N26" s="7">
        <f t="shared" si="15"/>
        <v>0.25449142658626767</v>
      </c>
      <c r="O26" s="11"/>
      <c r="P26" s="6">
        <v>12522.69</v>
      </c>
      <c r="Q26" s="2"/>
      <c r="R26" s="7">
        <f t="shared" si="16"/>
        <v>6.2704329579511119E-3</v>
      </c>
      <c r="S26" s="2"/>
      <c r="T26" s="6">
        <v>16071.52</v>
      </c>
      <c r="U26" s="2"/>
      <c r="V26" s="7">
        <f t="shared" si="17"/>
        <v>8.5140816611380433E-3</v>
      </c>
      <c r="W26" s="2"/>
      <c r="X26" s="6">
        <f t="shared" si="18"/>
        <v>-3548.83</v>
      </c>
      <c r="Y26" s="2"/>
      <c r="Z26" s="7">
        <f t="shared" si="19"/>
        <v>-0.22081483269784064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6">
        <v>17316.740000000002</v>
      </c>
      <c r="E27" s="2"/>
      <c r="F27" s="7">
        <f t="shared" si="12"/>
        <v>3.9722025600939709E-2</v>
      </c>
      <c r="G27" s="2"/>
      <c r="H27" s="6">
        <v>17882.009999999998</v>
      </c>
      <c r="I27" s="2"/>
      <c r="J27" s="7">
        <f t="shared" si="13"/>
        <v>5.4885446568148338E-2</v>
      </c>
      <c r="K27" s="2"/>
      <c r="L27" s="6">
        <f t="shared" si="14"/>
        <v>-565.2699999999968</v>
      </c>
      <c r="M27" s="2"/>
      <c r="N27" s="7">
        <f t="shared" si="15"/>
        <v>-3.1611099647075293E-2</v>
      </c>
      <c r="O27" s="11"/>
      <c r="P27" s="6">
        <v>84062.66</v>
      </c>
      <c r="Q27" s="2"/>
      <c r="R27" s="7">
        <f t="shared" si="16"/>
        <v>4.2092335895645316E-2</v>
      </c>
      <c r="S27" s="2"/>
      <c r="T27" s="6">
        <v>76406.78</v>
      </c>
      <c r="U27" s="2"/>
      <c r="V27" s="7">
        <f t="shared" si="17"/>
        <v>4.0477413734644203E-2</v>
      </c>
      <c r="W27" s="2"/>
      <c r="X27" s="6">
        <f t="shared" si="18"/>
        <v>7655.8800000000047</v>
      </c>
      <c r="Y27" s="2"/>
      <c r="Z27" s="7">
        <f t="shared" si="19"/>
        <v>0.10019896140106944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6">
        <v>271.41000000000003</v>
      </c>
      <c r="E28" s="2"/>
      <c r="F28" s="7">
        <f t="shared" si="12"/>
        <v>6.2257416628944291E-4</v>
      </c>
      <c r="G28" s="2"/>
      <c r="H28" s="6">
        <v>239.49</v>
      </c>
      <c r="I28" s="2"/>
      <c r="J28" s="7">
        <f t="shared" si="13"/>
        <v>7.3506924549342309E-4</v>
      </c>
      <c r="K28" s="2"/>
      <c r="L28" s="6">
        <f t="shared" si="14"/>
        <v>31.920000000000016</v>
      </c>
      <c r="M28" s="2"/>
      <c r="N28" s="7">
        <f t="shared" si="15"/>
        <v>0.13328322685707134</v>
      </c>
      <c r="O28" s="11"/>
      <c r="P28" s="6">
        <v>1215.7</v>
      </c>
      <c r="Q28" s="2"/>
      <c r="R28" s="7">
        <f t="shared" si="16"/>
        <v>6.0873225696564935E-4</v>
      </c>
      <c r="S28" s="2"/>
      <c r="T28" s="6">
        <v>1193.8399999999999</v>
      </c>
      <c r="U28" s="2"/>
      <c r="V28" s="7">
        <f t="shared" si="17"/>
        <v>6.3245114652086675E-4</v>
      </c>
      <c r="W28" s="2"/>
      <c r="X28" s="6">
        <f t="shared" si="18"/>
        <v>21.860000000000127</v>
      </c>
      <c r="Y28" s="2"/>
      <c r="Z28" s="7">
        <f t="shared" si="19"/>
        <v>1.831066139516194E-2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6">
        <v>1216.6600000000001</v>
      </c>
      <c r="E29" s="2"/>
      <c r="F29" s="7">
        <f t="shared" si="12"/>
        <v>2.7908370552216706E-3</v>
      </c>
      <c r="G29" s="2"/>
      <c r="H29" s="6">
        <v>1114.74</v>
      </c>
      <c r="I29" s="2"/>
      <c r="J29" s="7">
        <f t="shared" si="13"/>
        <v>3.4214835305079062E-3</v>
      </c>
      <c r="K29" s="2"/>
      <c r="L29" s="6">
        <f t="shared" si="14"/>
        <v>101.92000000000007</v>
      </c>
      <c r="M29" s="2"/>
      <c r="N29" s="7">
        <f t="shared" si="15"/>
        <v>9.1429391607011565E-2</v>
      </c>
      <c r="O29" s="11"/>
      <c r="P29" s="6">
        <v>6644.21</v>
      </c>
      <c r="Q29" s="2"/>
      <c r="R29" s="7">
        <f t="shared" si="16"/>
        <v>3.3269268314993308E-3</v>
      </c>
      <c r="S29" s="2"/>
      <c r="T29" s="6">
        <v>6204.02</v>
      </c>
      <c r="U29" s="2"/>
      <c r="V29" s="7">
        <f t="shared" si="17"/>
        <v>3.2866544612664915E-3</v>
      </c>
      <c r="W29" s="2"/>
      <c r="X29" s="6">
        <f t="shared" si="18"/>
        <v>440.1899999999996</v>
      </c>
      <c r="Y29" s="2"/>
      <c r="Z29" s="7">
        <f t="shared" si="19"/>
        <v>7.0952382487483853E-2</v>
      </c>
    </row>
    <row r="30" spans="1:26" s="24" customFormat="1" hidden="1" outlineLevel="2" x14ac:dyDescent="0.25">
      <c r="A30" s="26"/>
      <c r="B30" s="11" t="str">
        <f>CONCATENATE("          ", "6117", " - ", "RETIREMENT STAFF HOURLY")</f>
        <v xml:space="preserve">          6117 - RETIREMENT STAFF HOURLY</v>
      </c>
      <c r="C30" s="11"/>
      <c r="D30" s="6">
        <v>694.87</v>
      </c>
      <c r="E30" s="2"/>
      <c r="F30" s="7">
        <f t="shared" si="12"/>
        <v>1.5939284143161459E-3</v>
      </c>
      <c r="G30" s="2"/>
      <c r="H30" s="6">
        <v>685.33</v>
      </c>
      <c r="I30" s="2"/>
      <c r="J30" s="7">
        <f t="shared" si="13"/>
        <v>2.1034907762913176E-3</v>
      </c>
      <c r="K30" s="2"/>
      <c r="L30" s="6">
        <f t="shared" si="14"/>
        <v>9.5399999999999636</v>
      </c>
      <c r="M30" s="2"/>
      <c r="N30" s="7">
        <f t="shared" si="15"/>
        <v>1.392030116877995E-2</v>
      </c>
      <c r="O30" s="11"/>
      <c r="P30" s="6">
        <v>3688.96</v>
      </c>
      <c r="Q30" s="2"/>
      <c r="R30" s="7">
        <f t="shared" si="16"/>
        <v>1.847157149507281E-3</v>
      </c>
      <c r="S30" s="2"/>
      <c r="T30" s="6">
        <v>3681.53</v>
      </c>
      <c r="U30" s="2"/>
      <c r="V30" s="7">
        <f t="shared" si="17"/>
        <v>1.9503349439212682E-3</v>
      </c>
      <c r="W30" s="2"/>
      <c r="X30" s="6">
        <f t="shared" si="18"/>
        <v>7.4299999999998363</v>
      </c>
      <c r="Y30" s="2"/>
      <c r="Z30" s="7">
        <f t="shared" si="19"/>
        <v>2.0181826577536609E-3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6">
        <v>2637.87</v>
      </c>
      <c r="E31" s="2"/>
      <c r="F31" s="7">
        <f t="shared" si="12"/>
        <v>6.0508813825206603E-3</v>
      </c>
      <c r="G31" s="2"/>
      <c r="H31" s="6">
        <v>2548.98</v>
      </c>
      <c r="I31" s="2"/>
      <c r="J31" s="7">
        <f t="shared" si="13"/>
        <v>7.8236118642858801E-3</v>
      </c>
      <c r="K31" s="2"/>
      <c r="L31" s="6">
        <f t="shared" si="14"/>
        <v>88.889999999999873</v>
      </c>
      <c r="M31" s="2"/>
      <c r="N31" s="7">
        <f t="shared" si="15"/>
        <v>3.4872772638467102E-2</v>
      </c>
      <c r="O31" s="11"/>
      <c r="P31" s="6">
        <v>15325.79</v>
      </c>
      <c r="Q31" s="2"/>
      <c r="R31" s="7">
        <f t="shared" si="16"/>
        <v>7.6740172217500853E-3</v>
      </c>
      <c r="S31" s="2"/>
      <c r="T31" s="6">
        <v>14624.77</v>
      </c>
      <c r="U31" s="2"/>
      <c r="V31" s="7">
        <f t="shared" si="17"/>
        <v>7.747648390156116E-3</v>
      </c>
      <c r="W31" s="2"/>
      <c r="X31" s="6">
        <f t="shared" si="18"/>
        <v>701.02000000000044</v>
      </c>
      <c r="Y31" s="2"/>
      <c r="Z31" s="7">
        <f t="shared" si="19"/>
        <v>4.7933745282831827E-2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6">
        <v>1637.04</v>
      </c>
      <c r="E32" s="2"/>
      <c r="F32" s="7">
        <f t="shared" si="12"/>
        <v>3.7551262414150894E-3</v>
      </c>
      <c r="G32" s="2"/>
      <c r="H32" s="6">
        <v>1581.95</v>
      </c>
      <c r="I32" s="2"/>
      <c r="J32" s="7">
        <f t="shared" si="13"/>
        <v>4.8554962332803906E-3</v>
      </c>
      <c r="K32" s="2"/>
      <c r="L32" s="6">
        <f t="shared" si="14"/>
        <v>55.089999999999918</v>
      </c>
      <c r="M32" s="2"/>
      <c r="N32" s="7">
        <f t="shared" si="15"/>
        <v>3.4824109485129061E-2</v>
      </c>
      <c r="O32" s="11"/>
      <c r="P32" s="6">
        <v>11095.97</v>
      </c>
      <c r="Q32" s="2"/>
      <c r="R32" s="7">
        <f t="shared" si="16"/>
        <v>5.5560375596965823E-3</v>
      </c>
      <c r="S32" s="2"/>
      <c r="T32" s="6">
        <v>10468.19</v>
      </c>
      <c r="U32" s="2"/>
      <c r="V32" s="7">
        <f t="shared" si="17"/>
        <v>5.5456499761260079E-3</v>
      </c>
      <c r="W32" s="2"/>
      <c r="X32" s="6">
        <f t="shared" si="18"/>
        <v>627.77999999999884</v>
      </c>
      <c r="Y32" s="2"/>
      <c r="Z32" s="7">
        <f t="shared" si="19"/>
        <v>5.9970252737101527E-2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6">
        <v>1355.86</v>
      </c>
      <c r="E33" s="2"/>
      <c r="F33" s="7">
        <f t="shared" si="12"/>
        <v>3.1101411484661724E-3</v>
      </c>
      <c r="G33" s="2"/>
      <c r="H33" s="6">
        <v>1344.99</v>
      </c>
      <c r="I33" s="2"/>
      <c r="J33" s="7">
        <f t="shared" si="13"/>
        <v>4.1281923441321101E-3</v>
      </c>
      <c r="K33" s="2"/>
      <c r="L33" s="6">
        <f t="shared" si="14"/>
        <v>10.869999999999891</v>
      </c>
      <c r="M33" s="2"/>
      <c r="N33" s="7">
        <f t="shared" si="15"/>
        <v>8.0818444746800274E-3</v>
      </c>
      <c r="O33" s="11"/>
      <c r="P33" s="6">
        <v>6651.89</v>
      </c>
      <c r="Q33" s="2"/>
      <c r="R33" s="7">
        <f t="shared" si="16"/>
        <v>3.3307724050236349E-3</v>
      </c>
      <c r="S33" s="2"/>
      <c r="T33" s="6">
        <v>6604.39</v>
      </c>
      <c r="U33" s="2"/>
      <c r="V33" s="7">
        <f t="shared" si="17"/>
        <v>3.4987553001833978E-3</v>
      </c>
      <c r="W33" s="2"/>
      <c r="X33" s="6">
        <f t="shared" si="18"/>
        <v>47.5</v>
      </c>
      <c r="Y33" s="2"/>
      <c r="Z33" s="7">
        <f t="shared" si="19"/>
        <v>7.1921858036851239E-3</v>
      </c>
    </row>
    <row r="34" spans="1:26" s="25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90142.56</v>
      </c>
      <c r="E34" s="1"/>
      <c r="F34" s="5">
        <f t="shared" ref="F34:F40" si="20">IF(D$12=0,0,D34/D$12)</f>
        <v>0.20677362344495809</v>
      </c>
      <c r="G34" s="1"/>
      <c r="H34" s="1">
        <f>SUM(OSRRefH22_1x_0)</f>
        <v>73866.63</v>
      </c>
      <c r="I34" s="1"/>
      <c r="J34" s="5">
        <f t="shared" ref="J34:J40" si="21">IF(H$12=0,0,H34/H$12)</f>
        <v>0.22671964583590903</v>
      </c>
      <c r="K34" s="1"/>
      <c r="L34" s="1">
        <f t="shared" ref="L34:L40" si="22">+D34-H34</f>
        <v>16275.929999999993</v>
      </c>
      <c r="M34" s="1"/>
      <c r="N34" s="5">
        <f t="shared" ref="N34:N40" si="23">IF(H34=0,0,L34/H34)</f>
        <v>0.22034212201098102</v>
      </c>
      <c r="O34" s="13"/>
      <c r="P34" s="1">
        <f>SUM(OSRRefP22_1x_0)</f>
        <v>484999.16999999993</v>
      </c>
      <c r="Q34" s="1"/>
      <c r="R34" s="5">
        <f t="shared" ref="R34:R40" si="24">IF(P$12=0,0,P34/P$12)</f>
        <v>0.24285155826319535</v>
      </c>
      <c r="S34" s="1"/>
      <c r="T34" s="1">
        <f>SUM(OSRRefT22_1x_0)</f>
        <v>447537.08</v>
      </c>
      <c r="U34" s="1"/>
      <c r="V34" s="5">
        <f t="shared" ref="V34:V40" si="25">IF(T$12=0,0,T34/T$12)</f>
        <v>0.23708816872998131</v>
      </c>
      <c r="W34" s="1"/>
      <c r="X34" s="1">
        <f t="shared" ref="X34:X40" si="26">+P34-T34</f>
        <v>37462.089999999909</v>
      </c>
      <c r="Y34" s="1"/>
      <c r="Z34" s="5">
        <f t="shared" ref="Z34:Z40" si="27">IF(T34=0,0,X34/T34)</f>
        <v>8.3707231588497438E-2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6">
        <v>13591.67</v>
      </c>
      <c r="E35" s="2"/>
      <c r="F35" s="7">
        <f t="shared" si="20"/>
        <v>3.1177269145319743E-2</v>
      </c>
      <c r="G35" s="2"/>
      <c r="H35" s="6">
        <v>12150.32</v>
      </c>
      <c r="I35" s="2"/>
      <c r="J35" s="7">
        <f t="shared" si="21"/>
        <v>3.7293108500996486E-2</v>
      </c>
      <c r="K35" s="2"/>
      <c r="L35" s="6">
        <f t="shared" si="22"/>
        <v>1441.3500000000004</v>
      </c>
      <c r="M35" s="2"/>
      <c r="N35" s="7">
        <f t="shared" si="23"/>
        <v>0.11862650531014825</v>
      </c>
      <c r="O35" s="11"/>
      <c r="P35" s="6">
        <v>76221.319999999992</v>
      </c>
      <c r="Q35" s="2"/>
      <c r="R35" s="7">
        <f t="shared" si="24"/>
        <v>3.8165975283787922E-2</v>
      </c>
      <c r="S35" s="2"/>
      <c r="T35" s="6">
        <v>69725.759999999995</v>
      </c>
      <c r="U35" s="2"/>
      <c r="V35" s="7">
        <f t="shared" si="25"/>
        <v>3.6938062767237476E-2</v>
      </c>
      <c r="W35" s="2"/>
      <c r="X35" s="6">
        <f t="shared" si="26"/>
        <v>6495.5599999999977</v>
      </c>
      <c r="Y35" s="2"/>
      <c r="Z35" s="7">
        <f t="shared" si="27"/>
        <v>9.3158683390471439E-2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>
        <v>20471.449999999997</v>
      </c>
      <c r="E36" s="2"/>
      <c r="F36" s="7">
        <f t="shared" si="20"/>
        <v>4.6958461060705253E-2</v>
      </c>
      <c r="G36" s="2"/>
      <c r="H36" s="6">
        <v>18157.060000000001</v>
      </c>
      <c r="I36" s="2"/>
      <c r="J36" s="7">
        <f t="shared" si="21"/>
        <v>5.5729660505986947E-2</v>
      </c>
      <c r="K36" s="2"/>
      <c r="L36" s="6">
        <f t="shared" si="22"/>
        <v>2314.3899999999958</v>
      </c>
      <c r="M36" s="2"/>
      <c r="N36" s="7">
        <f t="shared" si="23"/>
        <v>0.12746501911653074</v>
      </c>
      <c r="O36" s="11"/>
      <c r="P36" s="6">
        <v>105377.62999999999</v>
      </c>
      <c r="Q36" s="2"/>
      <c r="R36" s="7">
        <f t="shared" si="24"/>
        <v>5.2765289580974838E-2</v>
      </c>
      <c r="S36" s="2"/>
      <c r="T36" s="6">
        <v>105412.5</v>
      </c>
      <c r="U36" s="2"/>
      <c r="V36" s="7">
        <f t="shared" si="25"/>
        <v>5.5843543927687853E-2</v>
      </c>
      <c r="W36" s="2"/>
      <c r="X36" s="6">
        <f t="shared" si="26"/>
        <v>-34.870000000009895</v>
      </c>
      <c r="Y36" s="2"/>
      <c r="Z36" s="7">
        <f t="shared" si="27"/>
        <v>-3.3079568362395252E-4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>
        <v>14473.38</v>
      </c>
      <c r="E37" s="2"/>
      <c r="F37" s="7">
        <f t="shared" si="20"/>
        <v>3.3199780726171829E-2</v>
      </c>
      <c r="G37" s="2"/>
      <c r="H37" s="6">
        <v>15848.609999999999</v>
      </c>
      <c r="I37" s="2"/>
      <c r="J37" s="7">
        <f t="shared" si="21"/>
        <v>4.8644309970435173E-2</v>
      </c>
      <c r="K37" s="2"/>
      <c r="L37" s="6">
        <f t="shared" si="22"/>
        <v>-1375.2299999999996</v>
      </c>
      <c r="M37" s="2"/>
      <c r="N37" s="7">
        <f t="shared" si="23"/>
        <v>-8.6772909422340491E-2</v>
      </c>
      <c r="O37" s="11"/>
      <c r="P37" s="6">
        <v>97116.25</v>
      </c>
      <c r="Q37" s="2"/>
      <c r="R37" s="7">
        <f t="shared" si="24"/>
        <v>4.8628604137978315E-2</v>
      </c>
      <c r="S37" s="2"/>
      <c r="T37" s="6">
        <v>98320.13</v>
      </c>
      <c r="U37" s="2"/>
      <c r="V37" s="7">
        <f t="shared" si="25"/>
        <v>5.2086275333864396E-2</v>
      </c>
      <c r="W37" s="2"/>
      <c r="X37" s="6">
        <f t="shared" si="26"/>
        <v>-1203.8800000000047</v>
      </c>
      <c r="Y37" s="2"/>
      <c r="Z37" s="7">
        <f t="shared" si="27"/>
        <v>-1.2244491540033608E-2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>
        <v>858</v>
      </c>
      <c r="E38" s="2"/>
      <c r="F38" s="7">
        <f t="shared" si="20"/>
        <v>1.9681243678432701E-3</v>
      </c>
      <c r="G38" s="2"/>
      <c r="H38" s="6">
        <v>352.5</v>
      </c>
      <c r="I38" s="2"/>
      <c r="J38" s="7">
        <f t="shared" si="21"/>
        <v>1.08193205994585E-3</v>
      </c>
      <c r="K38" s="2"/>
      <c r="L38" s="6">
        <f t="shared" si="22"/>
        <v>505.5</v>
      </c>
      <c r="M38" s="2"/>
      <c r="N38" s="7">
        <f t="shared" si="23"/>
        <v>1.4340425531914893</v>
      </c>
      <c r="O38" s="11"/>
      <c r="P38" s="6">
        <v>8067</v>
      </c>
      <c r="Q38" s="2"/>
      <c r="R38" s="7">
        <f t="shared" si="24"/>
        <v>4.0393543776769706E-3</v>
      </c>
      <c r="S38" s="2"/>
      <c r="T38" s="6">
        <v>6291.07</v>
      </c>
      <c r="U38" s="2"/>
      <c r="V38" s="7">
        <f t="shared" si="25"/>
        <v>3.3327702492319147E-3</v>
      </c>
      <c r="W38" s="2"/>
      <c r="X38" s="6">
        <f t="shared" si="26"/>
        <v>1775.9300000000003</v>
      </c>
      <c r="Y38" s="2"/>
      <c r="Z38" s="7">
        <f t="shared" si="27"/>
        <v>0.28229379104031593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>
        <v>30944.060000000005</v>
      </c>
      <c r="E39" s="2"/>
      <c r="F39" s="7">
        <f t="shared" si="20"/>
        <v>7.098107054312848E-2</v>
      </c>
      <c r="G39" s="2"/>
      <c r="H39" s="6">
        <v>17975.14</v>
      </c>
      <c r="I39" s="2"/>
      <c r="J39" s="7">
        <f t="shared" si="21"/>
        <v>5.5171291483730629E-2</v>
      </c>
      <c r="K39" s="2"/>
      <c r="L39" s="6">
        <f t="shared" si="22"/>
        <v>12968.920000000006</v>
      </c>
      <c r="M39" s="2"/>
      <c r="N39" s="7">
        <f t="shared" si="23"/>
        <v>0.72149201619570169</v>
      </c>
      <c r="O39" s="11"/>
      <c r="P39" s="6">
        <v>147153.97</v>
      </c>
      <c r="Q39" s="2"/>
      <c r="R39" s="7">
        <f t="shared" si="24"/>
        <v>7.3683777477630538E-2</v>
      </c>
      <c r="S39" s="2"/>
      <c r="T39" s="6">
        <v>122662.87</v>
      </c>
      <c r="U39" s="2"/>
      <c r="V39" s="7">
        <f t="shared" si="25"/>
        <v>6.4982135601956731E-2</v>
      </c>
      <c r="W39" s="2"/>
      <c r="X39" s="6">
        <f t="shared" si="26"/>
        <v>24491.100000000006</v>
      </c>
      <c r="Y39" s="2"/>
      <c r="Z39" s="7">
        <f t="shared" si="27"/>
        <v>0.19966188627414316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>
        <v>9804</v>
      </c>
      <c r="E40" s="2"/>
      <c r="F40" s="7">
        <f t="shared" si="20"/>
        <v>2.2488917601789535E-2</v>
      </c>
      <c r="G40" s="2"/>
      <c r="H40" s="6">
        <v>9383</v>
      </c>
      <c r="I40" s="2"/>
      <c r="J40" s="7">
        <f t="shared" si="21"/>
        <v>2.8799343314813933E-2</v>
      </c>
      <c r="K40" s="2"/>
      <c r="L40" s="6">
        <f t="shared" si="22"/>
        <v>421</v>
      </c>
      <c r="M40" s="2"/>
      <c r="N40" s="7">
        <f t="shared" si="23"/>
        <v>4.4868378983267614E-2</v>
      </c>
      <c r="O40" s="11"/>
      <c r="P40" s="6">
        <v>51063</v>
      </c>
      <c r="Q40" s="2"/>
      <c r="R40" s="7">
        <f t="shared" si="24"/>
        <v>2.5568557405146786E-2</v>
      </c>
      <c r="S40" s="2"/>
      <c r="T40" s="6">
        <v>45124.75</v>
      </c>
      <c r="U40" s="2"/>
      <c r="V40" s="7">
        <f t="shared" si="25"/>
        <v>2.3905380850002919E-2</v>
      </c>
      <c r="W40" s="2"/>
      <c r="X40" s="6">
        <f t="shared" si="26"/>
        <v>5938.25</v>
      </c>
      <c r="Y40" s="2"/>
      <c r="Z40" s="7">
        <f t="shared" si="27"/>
        <v>0.13159629693239297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73.47</v>
      </c>
      <c r="E41" s="1"/>
      <c r="F41" s="5">
        <f t="shared" ref="F41:F62" si="28">IF(D$12=0,0,D41/D$12)</f>
        <v>1.6852925093874716E-4</v>
      </c>
      <c r="G41" s="1"/>
      <c r="H41" s="1">
        <f>SUM(OSRRefH22_2x_0)</f>
        <v>74.28</v>
      </c>
      <c r="I41" s="1"/>
      <c r="J41" s="5">
        <f t="shared" ref="J41:J62" si="29">IF(H$12=0,0,H41/H$12)</f>
        <v>2.2798840684475956E-4</v>
      </c>
      <c r="K41" s="1"/>
      <c r="L41" s="1">
        <f t="shared" ref="L41:L62" si="30">+D41-H41</f>
        <v>-0.81000000000000227</v>
      </c>
      <c r="M41" s="1"/>
      <c r="N41" s="5">
        <f t="shared" ref="N41:N62" si="31">IF(H41=0,0,L41/H41)</f>
        <v>-1.0904684975767397E-2</v>
      </c>
      <c r="O41" s="13"/>
      <c r="P41" s="1">
        <f>SUM(OSRRefP22_2x_0)</f>
        <v>2435.9499999999998</v>
      </c>
      <c r="Q41" s="1"/>
      <c r="R41" s="5">
        <f t="shared" ref="R41:R62" si="32">IF(P$12=0,0,P41/P$12)</f>
        <v>1.2197428159541608E-3</v>
      </c>
      <c r="S41" s="1"/>
      <c r="T41" s="1">
        <f>SUM(OSRRefT22_2x_0)</f>
        <v>2805.47</v>
      </c>
      <c r="U41" s="1"/>
      <c r="V41" s="5">
        <f t="shared" ref="V41:V62" si="33">IF(T$12=0,0,T41/T$12)</f>
        <v>1.4862315871723983E-3</v>
      </c>
      <c r="W41" s="1"/>
      <c r="X41" s="1">
        <f t="shared" ref="X41:X62" si="34">+P41-T41</f>
        <v>-369.52</v>
      </c>
      <c r="Y41" s="1"/>
      <c r="Z41" s="5">
        <f t="shared" ref="Z41:Z62" si="35">IF(T41=0,0,X41/T41)</f>
        <v>-0.1317141156383779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>
        <v>73.47</v>
      </c>
      <c r="E42" s="2"/>
      <c r="F42" s="7">
        <f t="shared" si="28"/>
        <v>1.6852925093874716E-4</v>
      </c>
      <c r="G42" s="2"/>
      <c r="H42" s="6">
        <v>74.28</v>
      </c>
      <c r="I42" s="2"/>
      <c r="J42" s="7">
        <f t="shared" si="29"/>
        <v>2.2798840684475956E-4</v>
      </c>
      <c r="K42" s="2"/>
      <c r="L42" s="6">
        <f t="shared" si="30"/>
        <v>-0.81000000000000227</v>
      </c>
      <c r="M42" s="2"/>
      <c r="N42" s="7">
        <f t="shared" si="31"/>
        <v>-1.0904684975767397E-2</v>
      </c>
      <c r="O42" s="11"/>
      <c r="P42" s="6">
        <v>2435.9499999999998</v>
      </c>
      <c r="Q42" s="2"/>
      <c r="R42" s="7">
        <f t="shared" si="32"/>
        <v>1.2197428159541608E-3</v>
      </c>
      <c r="S42" s="2"/>
      <c r="T42" s="6">
        <v>2805.47</v>
      </c>
      <c r="U42" s="2"/>
      <c r="V42" s="7">
        <f t="shared" si="33"/>
        <v>1.4862315871723983E-3</v>
      </c>
      <c r="W42" s="2"/>
      <c r="X42" s="6">
        <f t="shared" si="34"/>
        <v>-369.52</v>
      </c>
      <c r="Y42" s="2"/>
      <c r="Z42" s="7">
        <f t="shared" si="35"/>
        <v>-0.1317141156383779</v>
      </c>
    </row>
    <row r="43" spans="1:26" s="25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-0.01</v>
      </c>
      <c r="I43" s="1"/>
      <c r="J43" s="5">
        <f t="shared" si="29"/>
        <v>-3.0693108083570213E-8</v>
      </c>
      <c r="K43" s="1"/>
      <c r="L43" s="1">
        <f t="shared" si="30"/>
        <v>0.01</v>
      </c>
      <c r="M43" s="1"/>
      <c r="N43" s="5">
        <f t="shared" si="31"/>
        <v>-1</v>
      </c>
      <c r="O43" s="13"/>
      <c r="P43" s="1">
        <f>SUM(OSRRefP22_3x_0)</f>
        <v>16.239999999999998</v>
      </c>
      <c r="Q43" s="1"/>
      <c r="R43" s="5">
        <f t="shared" si="32"/>
        <v>8.1317856816008427E-6</v>
      </c>
      <c r="S43" s="1"/>
      <c r="T43" s="1">
        <f>SUM(OSRRefT22_3x_0)</f>
        <v>-18.88</v>
      </c>
      <c r="U43" s="1"/>
      <c r="V43" s="5">
        <f t="shared" si="33"/>
        <v>-1.0001907832133254E-5</v>
      </c>
      <c r="W43" s="1"/>
      <c r="X43" s="1">
        <f t="shared" si="34"/>
        <v>35.119999999999997</v>
      </c>
      <c r="Y43" s="1"/>
      <c r="Z43" s="5">
        <f t="shared" si="35"/>
        <v>-1.8601694915254237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6"/>
      <c r="E44" s="2"/>
      <c r="F44" s="7">
        <f t="shared" si="28"/>
        <v>0</v>
      </c>
      <c r="G44" s="2"/>
      <c r="H44" s="6">
        <v>-0.01</v>
      </c>
      <c r="I44" s="2"/>
      <c r="J44" s="7">
        <f t="shared" si="29"/>
        <v>-3.0693108083570213E-8</v>
      </c>
      <c r="K44" s="2"/>
      <c r="L44" s="6">
        <f t="shared" si="30"/>
        <v>0.01</v>
      </c>
      <c r="M44" s="2"/>
      <c r="N44" s="7">
        <f t="shared" si="31"/>
        <v>-1</v>
      </c>
      <c r="O44" s="11"/>
      <c r="P44" s="6">
        <v>16.239999999999998</v>
      </c>
      <c r="Q44" s="2"/>
      <c r="R44" s="7">
        <f t="shared" si="32"/>
        <v>8.1317856816008427E-6</v>
      </c>
      <c r="S44" s="2"/>
      <c r="T44" s="6">
        <v>-18.88</v>
      </c>
      <c r="U44" s="2"/>
      <c r="V44" s="7">
        <f t="shared" si="33"/>
        <v>-1.0001907832133254E-5</v>
      </c>
      <c r="W44" s="2"/>
      <c r="X44" s="6">
        <f t="shared" si="34"/>
        <v>35.119999999999997</v>
      </c>
      <c r="Y44" s="2"/>
      <c r="Z44" s="7">
        <f t="shared" si="35"/>
        <v>-1.8601694915254237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133.75</v>
      </c>
      <c r="E45" s="1"/>
      <c r="F45" s="5">
        <f t="shared" si="28"/>
        <v>3.0680260396158203E-4</v>
      </c>
      <c r="G45" s="1"/>
      <c r="H45" s="1">
        <f>SUM(OSRRefH22_4x_0)</f>
        <v>121.57</v>
      </c>
      <c r="I45" s="1"/>
      <c r="J45" s="5">
        <f t="shared" si="29"/>
        <v>3.7313611497196309E-4</v>
      </c>
      <c r="K45" s="1"/>
      <c r="L45" s="1">
        <f t="shared" si="30"/>
        <v>12.180000000000007</v>
      </c>
      <c r="M45" s="1"/>
      <c r="N45" s="5">
        <f t="shared" si="31"/>
        <v>0.10018919141235508</v>
      </c>
      <c r="O45" s="13"/>
      <c r="P45" s="1">
        <f>SUM(OSRRefP22_4x_0)</f>
        <v>844.08</v>
      </c>
      <c r="Q45" s="1"/>
      <c r="R45" s="5">
        <f t="shared" si="32"/>
        <v>4.2265256515551969E-4</v>
      </c>
      <c r="S45" s="1"/>
      <c r="T45" s="1">
        <f>SUM(OSRRefT22_4x_0)</f>
        <v>889.46</v>
      </c>
      <c r="U45" s="1"/>
      <c r="V45" s="5">
        <f t="shared" si="33"/>
        <v>4.7120216845176089E-4</v>
      </c>
      <c r="W45" s="1"/>
      <c r="X45" s="1">
        <f t="shared" si="34"/>
        <v>-45.379999999999995</v>
      </c>
      <c r="Y45" s="1"/>
      <c r="Z45" s="5">
        <f t="shared" si="35"/>
        <v>-5.1019719830009212E-2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>
        <v>133.75</v>
      </c>
      <c r="E46" s="2"/>
      <c r="F46" s="7">
        <f t="shared" si="28"/>
        <v>3.0680260396158203E-4</v>
      </c>
      <c r="G46" s="2"/>
      <c r="H46" s="6">
        <v>121.57</v>
      </c>
      <c r="I46" s="2"/>
      <c r="J46" s="7">
        <f t="shared" si="29"/>
        <v>3.7313611497196309E-4</v>
      </c>
      <c r="K46" s="2"/>
      <c r="L46" s="6">
        <f t="shared" si="30"/>
        <v>12.180000000000007</v>
      </c>
      <c r="M46" s="2"/>
      <c r="N46" s="7">
        <f t="shared" si="31"/>
        <v>0.10018919141235508</v>
      </c>
      <c r="O46" s="11"/>
      <c r="P46" s="6">
        <v>844.08</v>
      </c>
      <c r="Q46" s="2"/>
      <c r="R46" s="7">
        <f t="shared" si="32"/>
        <v>4.2265256515551969E-4</v>
      </c>
      <c r="S46" s="2"/>
      <c r="T46" s="6">
        <v>889.46</v>
      </c>
      <c r="U46" s="2"/>
      <c r="V46" s="7">
        <f t="shared" si="33"/>
        <v>4.7120216845176089E-4</v>
      </c>
      <c r="W46" s="2"/>
      <c r="X46" s="6">
        <f t="shared" si="34"/>
        <v>-45.379999999999995</v>
      </c>
      <c r="Y46" s="2"/>
      <c r="Z46" s="7">
        <f t="shared" si="35"/>
        <v>-5.1019719830009212E-2</v>
      </c>
    </row>
    <row r="47" spans="1:26" s="25" customFormat="1" outlineLevel="1" collapsed="1" x14ac:dyDescent="0.25">
      <c r="A47" s="27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SUM(OSRRefD22_5x_0)</f>
        <v>3538.59</v>
      </c>
      <c r="E47" s="1"/>
      <c r="F47" s="5">
        <f t="shared" si="28"/>
        <v>8.1169990755320717E-3</v>
      </c>
      <c r="G47" s="1"/>
      <c r="H47" s="1">
        <f>SUM(OSRRefH22_5x_0)</f>
        <v>2503.0700000000002</v>
      </c>
      <c r="I47" s="1"/>
      <c r="J47" s="5">
        <f t="shared" si="29"/>
        <v>7.6826998050742099E-3</v>
      </c>
      <c r="K47" s="1"/>
      <c r="L47" s="1">
        <f t="shared" si="30"/>
        <v>1035.52</v>
      </c>
      <c r="M47" s="1"/>
      <c r="N47" s="5">
        <f t="shared" si="31"/>
        <v>0.41369997642894524</v>
      </c>
      <c r="O47" s="13"/>
      <c r="P47" s="1">
        <f>SUM(OSRRefP22_5x_0)</f>
        <v>14885.070000000002</v>
      </c>
      <c r="Q47" s="1"/>
      <c r="R47" s="5">
        <f t="shared" si="32"/>
        <v>7.4533373827356079E-3</v>
      </c>
      <c r="S47" s="1"/>
      <c r="T47" s="1">
        <f>SUM(OSRRefT22_5x_0)</f>
        <v>11834.49</v>
      </c>
      <c r="U47" s="1"/>
      <c r="V47" s="5">
        <f t="shared" si="33"/>
        <v>6.2694638887872186E-3</v>
      </c>
      <c r="W47" s="1"/>
      <c r="X47" s="1">
        <f t="shared" si="34"/>
        <v>3050.5800000000017</v>
      </c>
      <c r="Y47" s="1"/>
      <c r="Z47" s="5">
        <f t="shared" si="35"/>
        <v>0.25777029681887448</v>
      </c>
    </row>
    <row r="48" spans="1:26" s="24" customFormat="1" hidden="1" outlineLevel="2" x14ac:dyDescent="0.25">
      <c r="A48" s="26"/>
      <c r="B48" s="11" t="str">
        <f>CONCATENATE("          ", "6399", " - ", "DONATION-ON CAMPUS")</f>
        <v xml:space="preserve">          6399 - DONATION-ON CAMPUS</v>
      </c>
      <c r="C48" s="11"/>
      <c r="D48" s="6">
        <v>3538.59</v>
      </c>
      <c r="E48" s="2"/>
      <c r="F48" s="7">
        <f t="shared" si="28"/>
        <v>8.1169990755320717E-3</v>
      </c>
      <c r="G48" s="2"/>
      <c r="H48" s="6">
        <v>2503.0700000000002</v>
      </c>
      <c r="I48" s="2"/>
      <c r="J48" s="7">
        <f t="shared" si="29"/>
        <v>7.6826998050742099E-3</v>
      </c>
      <c r="K48" s="2"/>
      <c r="L48" s="6">
        <f t="shared" si="30"/>
        <v>1035.52</v>
      </c>
      <c r="M48" s="2"/>
      <c r="N48" s="7">
        <f t="shared" si="31"/>
        <v>0.41369997642894524</v>
      </c>
      <c r="O48" s="11"/>
      <c r="P48" s="6">
        <v>14885.070000000002</v>
      </c>
      <c r="Q48" s="2"/>
      <c r="R48" s="7">
        <f t="shared" si="32"/>
        <v>7.4533373827356079E-3</v>
      </c>
      <c r="S48" s="2"/>
      <c r="T48" s="6">
        <v>11834.49</v>
      </c>
      <c r="U48" s="2"/>
      <c r="V48" s="7">
        <f t="shared" si="33"/>
        <v>6.2694638887872186E-3</v>
      </c>
      <c r="W48" s="2"/>
      <c r="X48" s="6">
        <f t="shared" si="34"/>
        <v>3050.5800000000017</v>
      </c>
      <c r="Y48" s="2"/>
      <c r="Z48" s="7">
        <f t="shared" si="35"/>
        <v>0.25777029681887448</v>
      </c>
    </row>
    <row r="49" spans="1:26" s="25" customFormat="1" outlineLevel="1" collapsed="1" x14ac:dyDescent="0.25">
      <c r="A49" s="27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172.19</v>
      </c>
      <c r="E49" s="1"/>
      <c r="F49" s="5">
        <f t="shared" si="28"/>
        <v>3.9497824580295187E-4</v>
      </c>
      <c r="G49" s="1"/>
      <c r="H49" s="1">
        <f>SUM(OSRRefH22_6x_0)</f>
        <v>189.68</v>
      </c>
      <c r="I49" s="1"/>
      <c r="J49" s="5">
        <f t="shared" si="29"/>
        <v>5.8218687412915984E-4</v>
      </c>
      <c r="K49" s="1"/>
      <c r="L49" s="1">
        <f t="shared" si="30"/>
        <v>-17.490000000000009</v>
      </c>
      <c r="M49" s="1"/>
      <c r="N49" s="5">
        <f t="shared" si="31"/>
        <v>-9.2207929143821213E-2</v>
      </c>
      <c r="O49" s="13"/>
      <c r="P49" s="1">
        <f>SUM(OSRRefP22_6x_0)</f>
        <v>1012.18</v>
      </c>
      <c r="Q49" s="1"/>
      <c r="R49" s="5">
        <f t="shared" si="32"/>
        <v>5.068245585715973E-4</v>
      </c>
      <c r="S49" s="1"/>
      <c r="T49" s="1">
        <f>SUM(OSRRefT22_6x_0)</f>
        <v>254.68</v>
      </c>
      <c r="U49" s="1"/>
      <c r="V49" s="5">
        <f t="shared" si="33"/>
        <v>1.3491980332032297E-4</v>
      </c>
      <c r="W49" s="1"/>
      <c r="X49" s="1">
        <f t="shared" si="34"/>
        <v>757.5</v>
      </c>
      <c r="Y49" s="1"/>
      <c r="Z49" s="5">
        <f t="shared" si="35"/>
        <v>2.9743207161928695</v>
      </c>
    </row>
    <row r="50" spans="1:26" s="24" customFormat="1" hidden="1" outlineLevel="2" x14ac:dyDescent="0.25">
      <c r="A50" s="26"/>
      <c r="B50" s="11" t="str">
        <f>CONCATENATE("          ", "6277", " - ", "EMPLOYEE APPRECIATION")</f>
        <v xml:space="preserve">          6277 - EMPLOYEE APPRECIATION</v>
      </c>
      <c r="C50" s="11"/>
      <c r="D50" s="6">
        <v>172.19</v>
      </c>
      <c r="E50" s="2"/>
      <c r="F50" s="7">
        <f t="shared" si="28"/>
        <v>3.9497824580295187E-4</v>
      </c>
      <c r="G50" s="2"/>
      <c r="H50" s="6">
        <v>189.68</v>
      </c>
      <c r="I50" s="2"/>
      <c r="J50" s="7">
        <f t="shared" si="29"/>
        <v>5.8218687412915984E-4</v>
      </c>
      <c r="K50" s="2"/>
      <c r="L50" s="6">
        <f t="shared" si="30"/>
        <v>-17.490000000000009</v>
      </c>
      <c r="M50" s="2"/>
      <c r="N50" s="7">
        <f t="shared" si="31"/>
        <v>-9.2207929143821213E-2</v>
      </c>
      <c r="O50" s="11"/>
      <c r="P50" s="6">
        <v>1012.18</v>
      </c>
      <c r="Q50" s="2"/>
      <c r="R50" s="7">
        <f t="shared" si="32"/>
        <v>5.068245585715973E-4</v>
      </c>
      <c r="S50" s="2"/>
      <c r="T50" s="6">
        <v>254.68</v>
      </c>
      <c r="U50" s="2"/>
      <c r="V50" s="7">
        <f t="shared" si="33"/>
        <v>1.3491980332032297E-4</v>
      </c>
      <c r="W50" s="2"/>
      <c r="X50" s="6">
        <f t="shared" si="34"/>
        <v>757.5</v>
      </c>
      <c r="Y50" s="2"/>
      <c r="Z50" s="7">
        <f t="shared" si="35"/>
        <v>2.9743207161928695</v>
      </c>
    </row>
    <row r="51" spans="1:26" s="25" customFormat="1" outlineLevel="1" collapsed="1" x14ac:dyDescent="0.25">
      <c r="A51" s="27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-2817.31</v>
      </c>
      <c r="E51" s="1"/>
      <c r="F51" s="5">
        <f t="shared" si="28"/>
        <v>-6.4624900498467634E-3</v>
      </c>
      <c r="G51" s="1"/>
      <c r="H51" s="1">
        <f>SUM(OSRRefH22_7x_0)</f>
        <v>233.16</v>
      </c>
      <c r="I51" s="1"/>
      <c r="J51" s="5">
        <f t="shared" si="29"/>
        <v>7.1564050807652315E-4</v>
      </c>
      <c r="K51" s="1"/>
      <c r="L51" s="1">
        <f t="shared" si="30"/>
        <v>-3050.47</v>
      </c>
      <c r="M51" s="1"/>
      <c r="N51" s="5">
        <f t="shared" si="31"/>
        <v>-13.083161777320294</v>
      </c>
      <c r="O51" s="13"/>
      <c r="P51" s="1">
        <f>SUM(OSRRefP22_7x_0)</f>
        <v>1392.89</v>
      </c>
      <c r="Q51" s="1"/>
      <c r="R51" s="5">
        <f t="shared" si="32"/>
        <v>6.9745584717025857E-4</v>
      </c>
      <c r="S51" s="1"/>
      <c r="T51" s="1">
        <f>SUM(OSRRefT22_7x_0)</f>
        <v>1317.48</v>
      </c>
      <c r="U51" s="1"/>
      <c r="V51" s="5">
        <f t="shared" si="33"/>
        <v>6.9795092853172246E-4</v>
      </c>
      <c r="W51" s="1"/>
      <c r="X51" s="1">
        <f t="shared" si="34"/>
        <v>75.410000000000082</v>
      </c>
      <c r="Y51" s="1"/>
      <c r="Z51" s="5">
        <f t="shared" si="35"/>
        <v>5.7238060539818503E-2</v>
      </c>
    </row>
    <row r="52" spans="1:26" s="24" customFormat="1" hidden="1" outlineLevel="2" x14ac:dyDescent="0.25">
      <c r="A52" s="26"/>
      <c r="B52" s="11" t="str">
        <f>CONCATENATE("          ", "6351", " - ", "EQUIPMENT RENTAL")</f>
        <v xml:space="preserve">          6351 - EQUIPMENT RENTAL</v>
      </c>
      <c r="C52" s="11"/>
      <c r="D52" s="6">
        <v>-2817.31</v>
      </c>
      <c r="E52" s="2"/>
      <c r="F52" s="7">
        <f t="shared" si="28"/>
        <v>-6.4624900498467634E-3</v>
      </c>
      <c r="G52" s="2"/>
      <c r="H52" s="6">
        <v>233.16</v>
      </c>
      <c r="I52" s="2"/>
      <c r="J52" s="7">
        <f t="shared" si="29"/>
        <v>7.1564050807652315E-4</v>
      </c>
      <c r="K52" s="2"/>
      <c r="L52" s="6">
        <f t="shared" si="30"/>
        <v>-3050.47</v>
      </c>
      <c r="M52" s="2"/>
      <c r="N52" s="7">
        <f t="shared" si="31"/>
        <v>-13.083161777320294</v>
      </c>
      <c r="O52" s="11"/>
      <c r="P52" s="6">
        <v>1392.89</v>
      </c>
      <c r="Q52" s="2"/>
      <c r="R52" s="7">
        <f t="shared" si="32"/>
        <v>6.9745584717025857E-4</v>
      </c>
      <c r="S52" s="2"/>
      <c r="T52" s="6">
        <v>1317.48</v>
      </c>
      <c r="U52" s="2"/>
      <c r="V52" s="7">
        <f t="shared" si="33"/>
        <v>6.9795092853172246E-4</v>
      </c>
      <c r="W52" s="2"/>
      <c r="X52" s="6">
        <f t="shared" si="34"/>
        <v>75.410000000000082</v>
      </c>
      <c r="Y52" s="2"/>
      <c r="Z52" s="7">
        <f t="shared" si="35"/>
        <v>5.7238060539818503E-2</v>
      </c>
    </row>
    <row r="53" spans="1:26" s="25" customFormat="1" outlineLevel="1" collapsed="1" x14ac:dyDescent="0.25">
      <c r="A53" s="27"/>
      <c r="B53" s="13" t="str">
        <f>CONCATENATE("     ","Freight out/Postage                               ")</f>
        <v xml:space="preserve">     Freight out/Postage                               </v>
      </c>
      <c r="C53" s="13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SUM(OSRRefP22_8x_0)</f>
        <v>0</v>
      </c>
      <c r="Q53" s="1"/>
      <c r="R53" s="5">
        <f t="shared" si="32"/>
        <v>0</v>
      </c>
      <c r="S53" s="1"/>
      <c r="T53" s="1">
        <f>SUM(OSRRefT22_8x_0)</f>
        <v>3.7</v>
      </c>
      <c r="U53" s="1"/>
      <c r="V53" s="5">
        <f t="shared" si="33"/>
        <v>1.9601196493057756E-6</v>
      </c>
      <c r="W53" s="1"/>
      <c r="X53" s="1">
        <f t="shared" si="34"/>
        <v>-3.7</v>
      </c>
      <c r="Y53" s="1"/>
      <c r="Z53" s="5">
        <f t="shared" si="35"/>
        <v>-1</v>
      </c>
    </row>
    <row r="54" spans="1:26" s="24" customFormat="1" hidden="1" outlineLevel="2" x14ac:dyDescent="0.25">
      <c r="A54" s="26"/>
      <c r="B54" s="11" t="str">
        <f>CONCATENATE("          ", "6307", " - ", "POSTAGE")</f>
        <v xml:space="preserve">          6307 - POSTAGE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/>
      <c r="Q54" s="2"/>
      <c r="R54" s="7">
        <f t="shared" si="32"/>
        <v>0</v>
      </c>
      <c r="S54" s="2"/>
      <c r="T54" s="6">
        <v>3.7</v>
      </c>
      <c r="U54" s="2"/>
      <c r="V54" s="7">
        <f t="shared" si="33"/>
        <v>1.9601196493057756E-6</v>
      </c>
      <c r="W54" s="2"/>
      <c r="X54" s="6">
        <f t="shared" si="34"/>
        <v>-3.7</v>
      </c>
      <c r="Y54" s="2"/>
      <c r="Z54" s="7">
        <f t="shared" si="35"/>
        <v>-1</v>
      </c>
    </row>
    <row r="55" spans="1:26" s="25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25</v>
      </c>
      <c r="I55" s="1"/>
      <c r="J55" s="5">
        <f t="shared" si="29"/>
        <v>7.6732770208925538E-5</v>
      </c>
      <c r="K55" s="1"/>
      <c r="L55" s="1">
        <f t="shared" si="30"/>
        <v>-25</v>
      </c>
      <c r="M55" s="1"/>
      <c r="N55" s="5">
        <f t="shared" si="31"/>
        <v>-1</v>
      </c>
      <c r="O55" s="13"/>
      <c r="P55" s="1">
        <f>SUM(OSRRefP22_9x_0)</f>
        <v>2539.62</v>
      </c>
      <c r="Q55" s="1"/>
      <c r="R55" s="5">
        <f t="shared" si="32"/>
        <v>1.2716530512750697E-3</v>
      </c>
      <c r="S55" s="1"/>
      <c r="T55" s="1">
        <f>SUM(OSRRefT22_9x_0)</f>
        <v>2112.09</v>
      </c>
      <c r="U55" s="1"/>
      <c r="V55" s="5">
        <f t="shared" si="33"/>
        <v>1.1189051648924963E-3</v>
      </c>
      <c r="W55" s="1"/>
      <c r="X55" s="1">
        <f t="shared" si="34"/>
        <v>427.52999999999975</v>
      </c>
      <c r="Y55" s="1"/>
      <c r="Z55" s="5">
        <f t="shared" si="35"/>
        <v>0.20242035140547976</v>
      </c>
    </row>
    <row r="56" spans="1:26" s="24" customFormat="1" hidden="1" outlineLevel="2" x14ac:dyDescent="0.25">
      <c r="A56" s="26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8"/>
        <v>0</v>
      </c>
      <c r="G56" s="2"/>
      <c r="H56" s="6">
        <v>25</v>
      </c>
      <c r="I56" s="2"/>
      <c r="J56" s="7">
        <f t="shared" si="29"/>
        <v>7.6732770208925538E-5</v>
      </c>
      <c r="K56" s="2"/>
      <c r="L56" s="6">
        <f t="shared" si="30"/>
        <v>-25</v>
      </c>
      <c r="M56" s="2"/>
      <c r="N56" s="7">
        <f t="shared" si="31"/>
        <v>-1</v>
      </c>
      <c r="O56" s="11"/>
      <c r="P56" s="6">
        <v>2539.62</v>
      </c>
      <c r="Q56" s="2"/>
      <c r="R56" s="7">
        <f t="shared" si="32"/>
        <v>1.2716530512750697E-3</v>
      </c>
      <c r="S56" s="2"/>
      <c r="T56" s="6">
        <v>2112.09</v>
      </c>
      <c r="U56" s="2"/>
      <c r="V56" s="7">
        <f t="shared" si="33"/>
        <v>1.1189051648924963E-3</v>
      </c>
      <c r="W56" s="2"/>
      <c r="X56" s="6">
        <f t="shared" si="34"/>
        <v>427.52999999999975</v>
      </c>
      <c r="Y56" s="2"/>
      <c r="Z56" s="7">
        <f t="shared" si="35"/>
        <v>0.20242035140547976</v>
      </c>
    </row>
    <row r="57" spans="1:26" s="25" customFormat="1" outlineLevel="1" collapsed="1" x14ac:dyDescent="0.25">
      <c r="A57" s="27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34460.519999999997</v>
      </c>
      <c r="E57" s="1"/>
      <c r="F57" s="5">
        <f t="shared" si="28"/>
        <v>7.9047306690618144E-2</v>
      </c>
      <c r="G57" s="1"/>
      <c r="H57" s="1">
        <f>SUM(OSRRefH22_10x_0)</f>
        <v>25198.3</v>
      </c>
      <c r="I57" s="1"/>
      <c r="J57" s="5">
        <f t="shared" si="29"/>
        <v>7.7341414542222736E-2</v>
      </c>
      <c r="K57" s="1"/>
      <c r="L57" s="1">
        <f t="shared" si="30"/>
        <v>9262.2199999999975</v>
      </c>
      <c r="M57" s="1"/>
      <c r="N57" s="5">
        <f t="shared" si="31"/>
        <v>0.36757320930380216</v>
      </c>
      <c r="O57" s="13"/>
      <c r="P57" s="1">
        <f>SUM(OSRRefP22_10x_0)</f>
        <v>154819.35999999999</v>
      </c>
      <c r="Q57" s="1"/>
      <c r="R57" s="5">
        <f t="shared" si="32"/>
        <v>7.7522035399175251E-2</v>
      </c>
      <c r="S57" s="1"/>
      <c r="T57" s="1">
        <f>SUM(OSRRefT22_10x_0)</f>
        <v>144278.51</v>
      </c>
      <c r="U57" s="1"/>
      <c r="V57" s="5">
        <f t="shared" si="33"/>
        <v>7.6433281736097258E-2</v>
      </c>
      <c r="W57" s="1"/>
      <c r="X57" s="1">
        <f t="shared" si="34"/>
        <v>10540.849999999977</v>
      </c>
      <c r="Y57" s="1"/>
      <c r="Z57" s="5">
        <f t="shared" si="35"/>
        <v>7.305904392830212E-2</v>
      </c>
    </row>
    <row r="58" spans="1:26" s="24" customFormat="1" hidden="1" outlineLevel="2" x14ac:dyDescent="0.25">
      <c r="A58" s="26"/>
      <c r="B58" s="11" t="str">
        <f>CONCATENATE("          ", "6387", " - ", "COMMISSION DUE HOUSING")</f>
        <v xml:space="preserve">          6387 - COMMISSION DUE HOUSING</v>
      </c>
      <c r="C58" s="11"/>
      <c r="D58" s="6">
        <v>34460.519999999997</v>
      </c>
      <c r="E58" s="2"/>
      <c r="F58" s="7">
        <f t="shared" si="28"/>
        <v>7.9047306690618144E-2</v>
      </c>
      <c r="G58" s="2"/>
      <c r="H58" s="6">
        <v>25198.3</v>
      </c>
      <c r="I58" s="2"/>
      <c r="J58" s="7">
        <f t="shared" si="29"/>
        <v>7.7341414542222736E-2</v>
      </c>
      <c r="K58" s="2"/>
      <c r="L58" s="6">
        <f t="shared" si="30"/>
        <v>9262.2199999999975</v>
      </c>
      <c r="M58" s="2"/>
      <c r="N58" s="7">
        <f t="shared" si="31"/>
        <v>0.36757320930380216</v>
      </c>
      <c r="O58" s="11"/>
      <c r="P58" s="6">
        <v>154819.35999999999</v>
      </c>
      <c r="Q58" s="2"/>
      <c r="R58" s="7">
        <f t="shared" si="32"/>
        <v>7.7522035399175251E-2</v>
      </c>
      <c r="S58" s="2"/>
      <c r="T58" s="6">
        <v>144278.51</v>
      </c>
      <c r="U58" s="2"/>
      <c r="V58" s="7">
        <f t="shared" si="33"/>
        <v>7.6433281736097258E-2</v>
      </c>
      <c r="W58" s="2"/>
      <c r="X58" s="6">
        <f t="shared" si="34"/>
        <v>10540.849999999977</v>
      </c>
      <c r="Y58" s="2"/>
      <c r="Z58" s="7">
        <f t="shared" si="35"/>
        <v>7.305904392830212E-2</v>
      </c>
    </row>
    <row r="59" spans="1:26" s="25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8311.6099999999988</v>
      </c>
      <c r="E59" s="1"/>
      <c r="F59" s="5">
        <f t="shared" si="28"/>
        <v>1.9065596942901865E-2</v>
      </c>
      <c r="G59" s="1"/>
      <c r="H59" s="1">
        <f>SUM(OSRRefH22_11x_0)</f>
        <v>8449.7199999999993</v>
      </c>
      <c r="I59" s="1"/>
      <c r="J59" s="5">
        <f t="shared" si="29"/>
        <v>2.5934816923590488E-2</v>
      </c>
      <c r="K59" s="1"/>
      <c r="L59" s="1">
        <f t="shared" si="30"/>
        <v>-138.11000000000058</v>
      </c>
      <c r="M59" s="1"/>
      <c r="N59" s="5">
        <f t="shared" si="31"/>
        <v>-1.6344920305051597E-2</v>
      </c>
      <c r="O59" s="13"/>
      <c r="P59" s="1">
        <f>SUM(OSRRefP22_11x_0)</f>
        <v>8530.8000000000011</v>
      </c>
      <c r="Q59" s="1"/>
      <c r="R59" s="5">
        <f t="shared" si="32"/>
        <v>4.2715909662931328E-3</v>
      </c>
      <c r="S59" s="1"/>
      <c r="T59" s="1">
        <f>SUM(OSRRefT22_11x_0)</f>
        <v>10918.56</v>
      </c>
      <c r="U59" s="1"/>
      <c r="V59" s="5">
        <f t="shared" si="33"/>
        <v>5.7842389184119105E-3</v>
      </c>
      <c r="W59" s="1"/>
      <c r="X59" s="1">
        <f t="shared" si="34"/>
        <v>-2387.7599999999984</v>
      </c>
      <c r="Y59" s="1"/>
      <c r="Z59" s="5">
        <f t="shared" si="35"/>
        <v>-0.21868817866092219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6">
        <v>8238.75</v>
      </c>
      <c r="E60" s="2"/>
      <c r="F60" s="7">
        <f t="shared" si="28"/>
        <v>1.8898466941222311E-2</v>
      </c>
      <c r="G60" s="2"/>
      <c r="H60" s="6">
        <v>8238.75</v>
      </c>
      <c r="I60" s="2"/>
      <c r="J60" s="7">
        <f t="shared" si="29"/>
        <v>2.5287284422351411E-2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8238.75</v>
      </c>
      <c r="Q60" s="2"/>
      <c r="R60" s="7">
        <f t="shared" si="32"/>
        <v>4.1253540199685306E-3</v>
      </c>
      <c r="S60" s="2"/>
      <c r="T60" s="6">
        <v>8778.98</v>
      </c>
      <c r="U60" s="2"/>
      <c r="V60" s="7">
        <f t="shared" si="33"/>
        <v>4.6507705942871397E-3</v>
      </c>
      <c r="W60" s="2"/>
      <c r="X60" s="6">
        <f t="shared" si="34"/>
        <v>-540.22999999999956</v>
      </c>
      <c r="Y60" s="2"/>
      <c r="Z60" s="7">
        <f t="shared" si="35"/>
        <v>-6.1536761673907397E-2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>
        <v>9.73</v>
      </c>
      <c r="E61" s="2"/>
      <c r="F61" s="7">
        <f t="shared" si="28"/>
        <v>2.2319172609691166E-5</v>
      </c>
      <c r="G61" s="2"/>
      <c r="H61" s="6">
        <v>6.64</v>
      </c>
      <c r="I61" s="2"/>
      <c r="J61" s="7">
        <f t="shared" si="29"/>
        <v>2.0380223767490622E-5</v>
      </c>
      <c r="K61" s="2"/>
      <c r="L61" s="6">
        <f t="shared" si="30"/>
        <v>3.0900000000000007</v>
      </c>
      <c r="M61" s="2"/>
      <c r="N61" s="7">
        <f t="shared" si="31"/>
        <v>0.46536144578313265</v>
      </c>
      <c r="O61" s="11"/>
      <c r="P61" s="6">
        <v>123.43</v>
      </c>
      <c r="Q61" s="2"/>
      <c r="R61" s="7">
        <f t="shared" si="32"/>
        <v>6.1804575534482275E-5</v>
      </c>
      <c r="S61" s="2"/>
      <c r="T61" s="6">
        <v>126.65</v>
      </c>
      <c r="U61" s="2"/>
      <c r="V61" s="7">
        <f t="shared" si="33"/>
        <v>6.7094365833669326E-5</v>
      </c>
      <c r="W61" s="2"/>
      <c r="X61" s="6">
        <f t="shared" si="34"/>
        <v>-3.2199999999999989</v>
      </c>
      <c r="Y61" s="2"/>
      <c r="Z61" s="7">
        <f t="shared" si="35"/>
        <v>-2.5424397947098294E-2</v>
      </c>
    </row>
    <row r="62" spans="1:26" s="24" customFormat="1" hidden="1" outlineLevel="2" x14ac:dyDescent="0.25">
      <c r="A62" s="26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63.13</v>
      </c>
      <c r="E62" s="2"/>
      <c r="F62" s="7">
        <f t="shared" si="28"/>
        <v>1.4481082906986673E-4</v>
      </c>
      <c r="G62" s="2"/>
      <c r="H62" s="6">
        <v>204.33</v>
      </c>
      <c r="I62" s="2"/>
      <c r="J62" s="7">
        <f t="shared" si="29"/>
        <v>6.2715227747159026E-4</v>
      </c>
      <c r="K62" s="2"/>
      <c r="L62" s="6">
        <f t="shared" si="30"/>
        <v>-141.20000000000002</v>
      </c>
      <c r="M62" s="2"/>
      <c r="N62" s="7">
        <f t="shared" si="31"/>
        <v>-0.69103900553026976</v>
      </c>
      <c r="O62" s="11"/>
      <c r="P62" s="6">
        <v>168.62</v>
      </c>
      <c r="Q62" s="2"/>
      <c r="R62" s="7">
        <f t="shared" si="32"/>
        <v>8.4432370790119102E-5</v>
      </c>
      <c r="S62" s="2"/>
      <c r="T62" s="6">
        <v>2012.93</v>
      </c>
      <c r="U62" s="2"/>
      <c r="V62" s="7">
        <f t="shared" si="33"/>
        <v>1.0663739582911014E-3</v>
      </c>
      <c r="W62" s="2"/>
      <c r="X62" s="6">
        <f t="shared" si="34"/>
        <v>-1844.31</v>
      </c>
      <c r="Y62" s="2"/>
      <c r="Z62" s="7">
        <f t="shared" si="35"/>
        <v>-0.91623156294555697</v>
      </c>
    </row>
    <row r="63" spans="1:26" s="25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5601.8</v>
      </c>
      <c r="E63" s="1"/>
      <c r="F63" s="5">
        <f t="shared" ref="F63:F66" si="36">IF(D$12=0,0,D63/D$12)</f>
        <v>1.2849695901846656E-2</v>
      </c>
      <c r="G63" s="1"/>
      <c r="H63" s="1">
        <f>SUM(OSRRefH22_12x_0)</f>
        <v>5071.9799999999996</v>
      </c>
      <c r="I63" s="1"/>
      <c r="J63" s="5">
        <f t="shared" ref="J63:J66" si="37">IF(H$12=0,0,H63/H$12)</f>
        <v>1.5567483033770644E-2</v>
      </c>
      <c r="K63" s="1"/>
      <c r="L63" s="1">
        <f t="shared" ref="L63:L66" si="38">+D63-H63</f>
        <v>529.82000000000062</v>
      </c>
      <c r="M63" s="1"/>
      <c r="N63" s="5">
        <f t="shared" ref="N63:N66" si="39">IF(H63=0,0,L63/H63)</f>
        <v>0.10446019108908171</v>
      </c>
      <c r="O63" s="13"/>
      <c r="P63" s="1">
        <f>SUM(OSRRefP22_12x_0)</f>
        <v>31511.1</v>
      </c>
      <c r="Q63" s="1"/>
      <c r="R63" s="5">
        <f t="shared" ref="R63:R66" si="40">IF(P$12=0,0,P63/P$12)</f>
        <v>1.577841821376184E-2</v>
      </c>
      <c r="S63" s="1"/>
      <c r="T63" s="1">
        <f>SUM(OSRRefT22_12x_0)</f>
        <v>26182.67</v>
      </c>
      <c r="U63" s="1"/>
      <c r="V63" s="5">
        <f t="shared" ref="V63:V66" si="41">IF(T$12=0,0,T63/T$12)</f>
        <v>1.3870585388726715E-2</v>
      </c>
      <c r="W63" s="1"/>
      <c r="X63" s="1">
        <f t="shared" ref="X63:X66" si="42">+P63-T63</f>
        <v>5328.43</v>
      </c>
      <c r="Y63" s="1"/>
      <c r="Z63" s="5">
        <f t="shared" ref="Z63:Z66" si="43">IF(T63=0,0,X63/T63)</f>
        <v>0.20350980247621808</v>
      </c>
    </row>
    <row r="64" spans="1:26" s="24" customFormat="1" hidden="1" outlineLevel="2" x14ac:dyDescent="0.25">
      <c r="A64" s="26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421.34</v>
      </c>
      <c r="E64" s="2"/>
      <c r="F64" s="7">
        <f t="shared" si="36"/>
        <v>9.6649128338820904E-4</v>
      </c>
      <c r="G64" s="2"/>
      <c r="H64" s="6">
        <v>435.46</v>
      </c>
      <c r="I64" s="2"/>
      <c r="J64" s="7">
        <f t="shared" si="37"/>
        <v>1.3365620846071485E-3</v>
      </c>
      <c r="K64" s="2"/>
      <c r="L64" s="6">
        <f t="shared" si="38"/>
        <v>-14.120000000000005</v>
      </c>
      <c r="M64" s="2"/>
      <c r="N64" s="7">
        <f t="shared" si="39"/>
        <v>-3.2425481100445519E-2</v>
      </c>
      <c r="O64" s="11"/>
      <c r="P64" s="6">
        <v>2106.6999999999998</v>
      </c>
      <c r="Q64" s="2"/>
      <c r="R64" s="7">
        <f t="shared" si="40"/>
        <v>1.0548788728712126E-3</v>
      </c>
      <c r="S64" s="2"/>
      <c r="T64" s="6">
        <v>2120.8200000000002</v>
      </c>
      <c r="U64" s="2"/>
      <c r="V64" s="7">
        <f t="shared" si="41"/>
        <v>1.123529987740723E-3</v>
      </c>
      <c r="W64" s="2"/>
      <c r="X64" s="6">
        <f t="shared" si="42"/>
        <v>-14.120000000000346</v>
      </c>
      <c r="Y64" s="2"/>
      <c r="Z64" s="7">
        <f t="shared" si="43"/>
        <v>-6.6578021708586042E-3</v>
      </c>
    </row>
    <row r="65" spans="1:26" s="24" customFormat="1" hidden="1" outlineLevel="2" x14ac:dyDescent="0.25">
      <c r="A65" s="26"/>
      <c r="B65" s="11" t="str">
        <f>CONCATENATE("          ", "6285", " - ", "JANITORIAL SERVICES")</f>
        <v xml:space="preserve">          6285 - JANITORIAL SERVICES</v>
      </c>
      <c r="C65" s="11"/>
      <c r="D65" s="6">
        <v>3916.67</v>
      </c>
      <c r="E65" s="2"/>
      <c r="F65" s="7">
        <f t="shared" si="36"/>
        <v>8.984258354080071E-3</v>
      </c>
      <c r="G65" s="2"/>
      <c r="H65" s="6">
        <v>3635.73</v>
      </c>
      <c r="I65" s="2"/>
      <c r="J65" s="7">
        <f t="shared" si="37"/>
        <v>1.1159185385267873E-2</v>
      </c>
      <c r="K65" s="2"/>
      <c r="L65" s="6">
        <f t="shared" si="38"/>
        <v>280.94000000000005</v>
      </c>
      <c r="M65" s="2"/>
      <c r="N65" s="7">
        <f t="shared" si="39"/>
        <v>7.72719646398385E-2</v>
      </c>
      <c r="O65" s="11"/>
      <c r="P65" s="6">
        <v>22237.85</v>
      </c>
      <c r="Q65" s="2"/>
      <c r="R65" s="7">
        <f t="shared" si="40"/>
        <v>1.1135063437166704E-2</v>
      </c>
      <c r="S65" s="2"/>
      <c r="T65" s="6">
        <v>18178.649999999998</v>
      </c>
      <c r="U65" s="2"/>
      <c r="V65" s="7">
        <f t="shared" si="41"/>
        <v>9.6303592061763327E-3</v>
      </c>
      <c r="W65" s="2"/>
      <c r="X65" s="6">
        <f t="shared" si="42"/>
        <v>4059.2000000000007</v>
      </c>
      <c r="Y65" s="2"/>
      <c r="Z65" s="7">
        <f t="shared" si="43"/>
        <v>0.22329490913791736</v>
      </c>
    </row>
    <row r="66" spans="1:26" s="24" customFormat="1" hidden="1" outlineLevel="2" x14ac:dyDescent="0.25">
      <c r="A66" s="26"/>
      <c r="B66" s="11" t="str">
        <f>CONCATENATE("          ", "6286", " - ", "LAUNDRY EXPENSE")</f>
        <v xml:space="preserve">          6286 - LAUNDRY EXPENSE</v>
      </c>
      <c r="C66" s="11"/>
      <c r="D66" s="6">
        <v>1263.79</v>
      </c>
      <c r="E66" s="2"/>
      <c r="F66" s="7">
        <f t="shared" si="36"/>
        <v>2.8989462643783759E-3</v>
      </c>
      <c r="G66" s="2"/>
      <c r="H66" s="6">
        <v>1000.79</v>
      </c>
      <c r="I66" s="2"/>
      <c r="J66" s="7">
        <f t="shared" si="37"/>
        <v>3.0717355638956233E-3</v>
      </c>
      <c r="K66" s="2"/>
      <c r="L66" s="6">
        <f t="shared" si="38"/>
        <v>263</v>
      </c>
      <c r="M66" s="2"/>
      <c r="N66" s="7">
        <f t="shared" si="39"/>
        <v>0.26279239400873311</v>
      </c>
      <c r="O66" s="11"/>
      <c r="P66" s="6">
        <v>7166.55</v>
      </c>
      <c r="Q66" s="2"/>
      <c r="R66" s="7">
        <f t="shared" si="40"/>
        <v>3.5884759037239236E-3</v>
      </c>
      <c r="S66" s="2"/>
      <c r="T66" s="6">
        <v>5883.2</v>
      </c>
      <c r="U66" s="2"/>
      <c r="V66" s="7">
        <f t="shared" si="41"/>
        <v>3.1166961948096593E-3</v>
      </c>
      <c r="W66" s="2"/>
      <c r="X66" s="6">
        <f t="shared" si="42"/>
        <v>1283.3500000000004</v>
      </c>
      <c r="Y66" s="2"/>
      <c r="Z66" s="7">
        <f t="shared" si="43"/>
        <v>0.21813808811531146</v>
      </c>
    </row>
    <row r="67" spans="1:26" s="25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8857.59</v>
      </c>
      <c r="E67" s="1"/>
      <c r="F67" s="5">
        <f t="shared" ref="F67:F75" si="44">IF(D$12=0,0,D67/D$12)</f>
        <v>2.0317993845413603E-2</v>
      </c>
      <c r="G67" s="1"/>
      <c r="H67" s="1">
        <f>SUM(OSRRefH22_13x_0)</f>
        <v>6762.46</v>
      </c>
      <c r="I67" s="1"/>
      <c r="J67" s="5">
        <f t="shared" ref="J67:J75" si="45">IF(H$12=0,0,H67/H$12)</f>
        <v>2.0756091569082022E-2</v>
      </c>
      <c r="K67" s="1"/>
      <c r="L67" s="1">
        <f t="shared" ref="L67:L75" si="46">+D67-H67</f>
        <v>2095.13</v>
      </c>
      <c r="M67" s="1"/>
      <c r="N67" s="5">
        <f t="shared" ref="N67:N75" si="47">IF(H67=0,0,L67/H67)</f>
        <v>0.30981772905126242</v>
      </c>
      <c r="O67" s="13"/>
      <c r="P67" s="1">
        <f>SUM(OSRRefP22_13x_0)</f>
        <v>53922.07</v>
      </c>
      <c r="Q67" s="1"/>
      <c r="R67" s="5">
        <f t="shared" ref="R67:R75" si="48">IF(P$12=0,0,P67/P$12)</f>
        <v>2.7000167287455565E-2</v>
      </c>
      <c r="S67" s="1"/>
      <c r="T67" s="1">
        <f>SUM(OSRRefT22_13x_0)</f>
        <v>47014.929999999993</v>
      </c>
      <c r="U67" s="1"/>
      <c r="V67" s="5">
        <f t="shared" ref="V67:V75" si="49">IF(T$12=0,0,T67/T$12)</f>
        <v>2.490672651452313E-2</v>
      </c>
      <c r="W67" s="1"/>
      <c r="X67" s="1">
        <f t="shared" ref="X67:X75" si="50">+P67-T67</f>
        <v>6907.1400000000067</v>
      </c>
      <c r="Y67" s="1"/>
      <c r="Z67" s="5">
        <f t="shared" ref="Z67:Z75" si="51">IF(T67=0,0,X67/T67)</f>
        <v>0.14691375697039233</v>
      </c>
    </row>
    <row r="68" spans="1:26" s="24" customFormat="1" hidden="1" outlineLevel="2" x14ac:dyDescent="0.25">
      <c r="A68" s="26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4"/>
        <v>0</v>
      </c>
      <c r="G68" s="2"/>
      <c r="H68" s="6"/>
      <c r="I68" s="2"/>
      <c r="J68" s="7">
        <f t="shared" si="45"/>
        <v>0</v>
      </c>
      <c r="K68" s="2"/>
      <c r="L68" s="6">
        <f t="shared" si="46"/>
        <v>0</v>
      </c>
      <c r="M68" s="2"/>
      <c r="N68" s="7">
        <f t="shared" si="47"/>
        <v>0</v>
      </c>
      <c r="O68" s="11"/>
      <c r="P68" s="6">
        <v>100</v>
      </c>
      <c r="Q68" s="2"/>
      <c r="R68" s="7">
        <f t="shared" si="48"/>
        <v>5.0072571931039669E-5</v>
      </c>
      <c r="S68" s="2"/>
      <c r="T68" s="6"/>
      <c r="U68" s="2"/>
      <c r="V68" s="7">
        <f t="shared" si="49"/>
        <v>0</v>
      </c>
      <c r="W68" s="2"/>
      <c r="X68" s="6">
        <f t="shared" si="50"/>
        <v>100</v>
      </c>
      <c r="Y68" s="2"/>
      <c r="Z68" s="7">
        <f t="shared" si="51"/>
        <v>0</v>
      </c>
    </row>
    <row r="69" spans="1:26" s="24" customFormat="1" hidden="1" outlineLevel="2" x14ac:dyDescent="0.25">
      <c r="A69" s="26"/>
      <c r="B69" s="11" t="str">
        <f>CONCATENATE("          ", "6237", " - ", "JANITORIAL SUPPLIES")</f>
        <v xml:space="preserve">          6237 - JANITORIAL SUPPLIES</v>
      </c>
      <c r="C69" s="11"/>
      <c r="D69" s="6">
        <v>3485.61</v>
      </c>
      <c r="E69" s="2"/>
      <c r="F69" s="7">
        <f t="shared" si="44"/>
        <v>7.9954708365946158E-3</v>
      </c>
      <c r="G69" s="2"/>
      <c r="H69" s="6">
        <v>3217.27</v>
      </c>
      <c r="I69" s="2"/>
      <c r="J69" s="7">
        <f t="shared" si="45"/>
        <v>9.8748015844027943E-3</v>
      </c>
      <c r="K69" s="2"/>
      <c r="L69" s="6">
        <f t="shared" si="46"/>
        <v>268.34000000000015</v>
      </c>
      <c r="M69" s="2"/>
      <c r="N69" s="7">
        <f t="shared" si="47"/>
        <v>8.3406117609028815E-2</v>
      </c>
      <c r="O69" s="11"/>
      <c r="P69" s="6">
        <v>21001.4</v>
      </c>
      <c r="Q69" s="2"/>
      <c r="R69" s="7">
        <f t="shared" si="48"/>
        <v>1.0515941121525367E-2</v>
      </c>
      <c r="S69" s="2"/>
      <c r="T69" s="6">
        <v>19080.75</v>
      </c>
      <c r="U69" s="2"/>
      <c r="V69" s="7">
        <f t="shared" si="49"/>
        <v>1.0108257567159778E-2</v>
      </c>
      <c r="W69" s="2"/>
      <c r="X69" s="6">
        <f t="shared" si="50"/>
        <v>1920.6500000000015</v>
      </c>
      <c r="Y69" s="2"/>
      <c r="Z69" s="7">
        <f t="shared" si="51"/>
        <v>0.10065904118024718</v>
      </c>
    </row>
    <row r="70" spans="1:26" s="24" customFormat="1" hidden="1" outlineLevel="2" x14ac:dyDescent="0.25">
      <c r="A70" s="26"/>
      <c r="B70" s="11" t="str">
        <f>CONCATENATE("          ", "6239", " - ", "KITCHEN SUPPLIES")</f>
        <v xml:space="preserve">          6239 - KITCHEN SUPPLIES</v>
      </c>
      <c r="C70" s="11"/>
      <c r="D70" s="6">
        <v>1752.95</v>
      </c>
      <c r="E70" s="2"/>
      <c r="F70" s="7">
        <f t="shared" si="44"/>
        <v>4.0210065391734972E-3</v>
      </c>
      <c r="G70" s="2"/>
      <c r="H70" s="6">
        <v>688.73</v>
      </c>
      <c r="I70" s="2"/>
      <c r="J70" s="7">
        <f t="shared" si="45"/>
        <v>2.1139264330397316E-3</v>
      </c>
      <c r="K70" s="2"/>
      <c r="L70" s="6">
        <f t="shared" si="46"/>
        <v>1064.22</v>
      </c>
      <c r="M70" s="2"/>
      <c r="N70" s="7">
        <f t="shared" si="47"/>
        <v>1.5451918749001785</v>
      </c>
      <c r="O70" s="11"/>
      <c r="P70" s="6">
        <v>15652.969999999998</v>
      </c>
      <c r="Q70" s="2"/>
      <c r="R70" s="7">
        <f t="shared" si="48"/>
        <v>7.8378446625940595E-3</v>
      </c>
      <c r="S70" s="2"/>
      <c r="T70" s="6">
        <v>5799.1</v>
      </c>
      <c r="U70" s="2"/>
      <c r="V70" s="7">
        <f t="shared" si="49"/>
        <v>3.0721432049430064E-3</v>
      </c>
      <c r="W70" s="2"/>
      <c r="X70" s="6">
        <f t="shared" si="50"/>
        <v>9853.8699999999972</v>
      </c>
      <c r="Y70" s="2"/>
      <c r="Z70" s="7">
        <f t="shared" si="51"/>
        <v>1.6992067734648475</v>
      </c>
    </row>
    <row r="71" spans="1:26" s="24" customFormat="1" hidden="1" outlineLevel="2" x14ac:dyDescent="0.25">
      <c r="A71" s="26"/>
      <c r="B71" s="11" t="str">
        <f>CONCATENATE("          ", "6241", " - ", "OFFICE EXPENSE")</f>
        <v xml:space="preserve">          6241 - OFFICE EXPENSE</v>
      </c>
      <c r="C71" s="11"/>
      <c r="D71" s="6">
        <v>1130.3900000000001</v>
      </c>
      <c r="E71" s="2"/>
      <c r="F71" s="7">
        <f t="shared" si="44"/>
        <v>2.5929465083523945E-3</v>
      </c>
      <c r="G71" s="2"/>
      <c r="H71" s="6">
        <v>190.01</v>
      </c>
      <c r="I71" s="2"/>
      <c r="J71" s="7">
        <f t="shared" si="45"/>
        <v>5.8319974669591762E-4</v>
      </c>
      <c r="K71" s="2"/>
      <c r="L71" s="6">
        <f t="shared" si="46"/>
        <v>940.38000000000011</v>
      </c>
      <c r="M71" s="2"/>
      <c r="N71" s="7">
        <f t="shared" si="47"/>
        <v>4.9491079416872807</v>
      </c>
      <c r="O71" s="11"/>
      <c r="P71" s="6">
        <v>2439.85</v>
      </c>
      <c r="Q71" s="2"/>
      <c r="R71" s="7">
        <f t="shared" si="48"/>
        <v>1.2216956462594714E-3</v>
      </c>
      <c r="S71" s="2"/>
      <c r="T71" s="6">
        <v>2061.31</v>
      </c>
      <c r="U71" s="2"/>
      <c r="V71" s="7">
        <f t="shared" si="49"/>
        <v>1.0920038471109428E-3</v>
      </c>
      <c r="W71" s="2"/>
      <c r="X71" s="6">
        <f t="shared" si="50"/>
        <v>378.53999999999996</v>
      </c>
      <c r="Y71" s="2"/>
      <c r="Z71" s="7">
        <f t="shared" si="51"/>
        <v>0.18364050045844632</v>
      </c>
    </row>
    <row r="72" spans="1:26" s="24" customFormat="1" hidden="1" outlineLevel="2" x14ac:dyDescent="0.25">
      <c r="A72" s="26"/>
      <c r="B72" s="11" t="str">
        <f>CONCATENATE("          ", "6243", " - ", "PAPER SUPPLIES")</f>
        <v xml:space="preserve">          6243 - PAPER SUPPLIES</v>
      </c>
      <c r="C72" s="11"/>
      <c r="D72" s="6">
        <v>1918.24</v>
      </c>
      <c r="E72" s="2"/>
      <c r="F72" s="7">
        <f t="shared" si="44"/>
        <v>4.4001572113888977E-3</v>
      </c>
      <c r="G72" s="2"/>
      <c r="H72" s="6">
        <v>2666.45</v>
      </c>
      <c r="I72" s="2"/>
      <c r="J72" s="7">
        <f t="shared" si="45"/>
        <v>8.18416380494358E-3</v>
      </c>
      <c r="K72" s="2"/>
      <c r="L72" s="6">
        <f t="shared" si="46"/>
        <v>-748.20999999999981</v>
      </c>
      <c r="M72" s="2"/>
      <c r="N72" s="7">
        <f t="shared" si="47"/>
        <v>-0.2806015488758461</v>
      </c>
      <c r="O72" s="11"/>
      <c r="P72" s="6">
        <v>12294.73</v>
      </c>
      <c r="Q72" s="2"/>
      <c r="R72" s="7">
        <f t="shared" si="48"/>
        <v>6.1562875229771137E-3</v>
      </c>
      <c r="S72" s="2"/>
      <c r="T72" s="6">
        <v>17072.68</v>
      </c>
      <c r="U72" s="2"/>
      <c r="V72" s="7">
        <f t="shared" si="49"/>
        <v>9.0444582525161434E-3</v>
      </c>
      <c r="W72" s="2"/>
      <c r="X72" s="6">
        <f t="shared" si="50"/>
        <v>-4777.9500000000007</v>
      </c>
      <c r="Y72" s="2"/>
      <c r="Z72" s="7">
        <f t="shared" si="51"/>
        <v>-0.27985940110164315</v>
      </c>
    </row>
    <row r="73" spans="1:26" s="24" customFormat="1" hidden="1" outlineLevel="2" x14ac:dyDescent="0.25">
      <c r="A73" s="26"/>
      <c r="B73" s="11" t="str">
        <f>CONCATENATE("          ", "6245", " - ", "PRINTING")</f>
        <v xml:space="preserve">          6245 - PRINTING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441</v>
      </c>
      <c r="Q73" s="2"/>
      <c r="R73" s="7">
        <f t="shared" si="48"/>
        <v>2.2082004221588494E-4</v>
      </c>
      <c r="S73" s="2"/>
      <c r="T73" s="6"/>
      <c r="U73" s="2"/>
      <c r="V73" s="7">
        <f t="shared" si="49"/>
        <v>0</v>
      </c>
      <c r="W73" s="2"/>
      <c r="X73" s="6">
        <f t="shared" si="50"/>
        <v>441</v>
      </c>
      <c r="Y73" s="2"/>
      <c r="Z73" s="7">
        <f t="shared" si="51"/>
        <v>0</v>
      </c>
    </row>
    <row r="74" spans="1:26" s="24" customFormat="1" hidden="1" outlineLevel="2" x14ac:dyDescent="0.25">
      <c r="A74" s="26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1"/>
      <c r="P74" s="6">
        <v>153.87</v>
      </c>
      <c r="Q74" s="2"/>
      <c r="R74" s="7">
        <f t="shared" si="48"/>
        <v>7.7046666430290747E-5</v>
      </c>
      <c r="S74" s="2"/>
      <c r="T74" s="6"/>
      <c r="U74" s="2"/>
      <c r="V74" s="7">
        <f t="shared" si="49"/>
        <v>0</v>
      </c>
      <c r="W74" s="2"/>
      <c r="X74" s="6">
        <f t="shared" si="50"/>
        <v>153.87</v>
      </c>
      <c r="Y74" s="2"/>
      <c r="Z74" s="7">
        <f t="shared" si="51"/>
        <v>0</v>
      </c>
    </row>
    <row r="75" spans="1:26" s="24" customFormat="1" hidden="1" outlineLevel="2" x14ac:dyDescent="0.25">
      <c r="A75" s="26"/>
      <c r="B75" s="11" t="str">
        <f>CONCATENATE("          ", "6248", " - ", "UNIFORMS")</f>
        <v xml:space="preserve">          6248 - UNIFORMS</v>
      </c>
      <c r="C75" s="11"/>
      <c r="D75" s="6">
        <v>570.4</v>
      </c>
      <c r="E75" s="2"/>
      <c r="F75" s="7">
        <f t="shared" si="44"/>
        <v>1.3084127499041972E-3</v>
      </c>
      <c r="G75" s="2"/>
      <c r="H75" s="6"/>
      <c r="I75" s="2"/>
      <c r="J75" s="7">
        <f t="shared" si="45"/>
        <v>0</v>
      </c>
      <c r="K75" s="2"/>
      <c r="L75" s="6">
        <f t="shared" si="46"/>
        <v>570.4</v>
      </c>
      <c r="M75" s="2"/>
      <c r="N75" s="7">
        <f t="shared" si="47"/>
        <v>0</v>
      </c>
      <c r="O75" s="11"/>
      <c r="P75" s="6">
        <v>1838.25</v>
      </c>
      <c r="Q75" s="2"/>
      <c r="R75" s="7">
        <f t="shared" si="48"/>
        <v>9.2045905352233673E-4</v>
      </c>
      <c r="S75" s="2"/>
      <c r="T75" s="6">
        <v>3001.09</v>
      </c>
      <c r="U75" s="2"/>
      <c r="V75" s="7">
        <f t="shared" si="49"/>
        <v>1.5898636427932621E-3</v>
      </c>
      <c r="W75" s="2"/>
      <c r="X75" s="6">
        <f t="shared" si="50"/>
        <v>-1162.8400000000001</v>
      </c>
      <c r="Y75" s="2"/>
      <c r="Z75" s="7">
        <f t="shared" si="51"/>
        <v>-0.38747255163957101</v>
      </c>
    </row>
    <row r="76" spans="1:26" s="25" customFormat="1" outlineLevel="1" collapsed="1" x14ac:dyDescent="0.25">
      <c r="A76" s="27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SUM(OSRRefD22_14x_0)</f>
        <v>312</v>
      </c>
      <c r="E76" s="1"/>
      <c r="F76" s="5">
        <f t="shared" ref="F76:F81" si="52">IF(D$12=0,0,D76/D$12)</f>
        <v>7.1568158830664366E-4</v>
      </c>
      <c r="G76" s="1"/>
      <c r="H76" s="1">
        <f>SUM(OSRRefH22_14x_0)</f>
        <v>212.6</v>
      </c>
      <c r="I76" s="1"/>
      <c r="J76" s="5">
        <f t="shared" ref="J76:J81" si="53">IF(H$12=0,0,H76/H$12)</f>
        <v>6.5253547785670276E-4</v>
      </c>
      <c r="K76" s="1"/>
      <c r="L76" s="1">
        <f t="shared" ref="L76:L81" si="54">+D76-H76</f>
        <v>99.4</v>
      </c>
      <c r="M76" s="1"/>
      <c r="N76" s="5">
        <f t="shared" ref="N76:N81" si="55">IF(H76=0,0,L76/H76)</f>
        <v>0.46754468485418632</v>
      </c>
      <c r="O76" s="13"/>
      <c r="P76" s="1">
        <f>SUM(OSRRefP22_14x_0)</f>
        <v>1654.45</v>
      </c>
      <c r="Q76" s="1"/>
      <c r="R76" s="5">
        <f t="shared" ref="R76:R81" si="56">IF(P$12=0,0,P76/P$12)</f>
        <v>8.2842566631308591E-4</v>
      </c>
      <c r="S76" s="1"/>
      <c r="T76" s="1">
        <f>SUM(OSRRefT22_14x_0)</f>
        <v>1058.05</v>
      </c>
      <c r="U76" s="1"/>
      <c r="V76" s="5">
        <f t="shared" ref="V76:V81" si="57">IF(T$12=0,0,T76/T$12)</f>
        <v>5.6051475539134477E-4</v>
      </c>
      <c r="W76" s="1"/>
      <c r="X76" s="1">
        <f t="shared" ref="X76:X81" si="58">+P76-T76</f>
        <v>596.40000000000009</v>
      </c>
      <c r="Y76" s="1"/>
      <c r="Z76" s="5">
        <f t="shared" ref="Z76:Z81" si="59">IF(T76=0,0,X76/T76)</f>
        <v>0.56367846510089326</v>
      </c>
    </row>
    <row r="77" spans="1:26" s="24" customFormat="1" hidden="1" outlineLevel="2" x14ac:dyDescent="0.25">
      <c r="A77" s="26"/>
      <c r="B77" s="11" t="str">
        <f>CONCATENATE("          ", "6309", " - ", "TELEPHONE")</f>
        <v xml:space="preserve">          6309 - TELEPHONE</v>
      </c>
      <c r="C77" s="11"/>
      <c r="D77" s="6">
        <v>312</v>
      </c>
      <c r="E77" s="2"/>
      <c r="F77" s="7">
        <f t="shared" si="52"/>
        <v>7.1568158830664366E-4</v>
      </c>
      <c r="G77" s="2"/>
      <c r="H77" s="6">
        <v>212.6</v>
      </c>
      <c r="I77" s="2"/>
      <c r="J77" s="7">
        <f t="shared" si="53"/>
        <v>6.5253547785670276E-4</v>
      </c>
      <c r="K77" s="2"/>
      <c r="L77" s="6">
        <f t="shared" si="54"/>
        <v>99.4</v>
      </c>
      <c r="M77" s="2"/>
      <c r="N77" s="7">
        <f t="shared" si="55"/>
        <v>0.46754468485418632</v>
      </c>
      <c r="O77" s="11"/>
      <c r="P77" s="6">
        <v>1654.45</v>
      </c>
      <c r="Q77" s="2"/>
      <c r="R77" s="7">
        <f t="shared" si="56"/>
        <v>8.2842566631308591E-4</v>
      </c>
      <c r="S77" s="2"/>
      <c r="T77" s="6">
        <v>1058.05</v>
      </c>
      <c r="U77" s="2"/>
      <c r="V77" s="7">
        <f t="shared" si="57"/>
        <v>5.6051475539134477E-4</v>
      </c>
      <c r="W77" s="2"/>
      <c r="X77" s="6">
        <f t="shared" si="58"/>
        <v>596.40000000000009</v>
      </c>
      <c r="Y77" s="2"/>
      <c r="Z77" s="7">
        <f t="shared" si="59"/>
        <v>0.56367846510089326</v>
      </c>
    </row>
    <row r="78" spans="1:26" s="25" customFormat="1" outlineLevel="1" collapsed="1" x14ac:dyDescent="0.25">
      <c r="A78" s="27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SUM(OSRRefD22_15x_0)</f>
        <v>125</v>
      </c>
      <c r="E78" s="1"/>
      <c r="F78" s="5">
        <f t="shared" si="52"/>
        <v>2.8673140557157202E-4</v>
      </c>
      <c r="G78" s="1"/>
      <c r="H78" s="1">
        <f>SUM(OSRRefH22_15x_0)</f>
        <v>96</v>
      </c>
      <c r="I78" s="1"/>
      <c r="J78" s="5">
        <f t="shared" si="53"/>
        <v>2.9465383760227408E-4</v>
      </c>
      <c r="K78" s="1"/>
      <c r="L78" s="1">
        <f t="shared" si="54"/>
        <v>29</v>
      </c>
      <c r="M78" s="1"/>
      <c r="N78" s="5">
        <f t="shared" si="55"/>
        <v>0.30208333333333331</v>
      </c>
      <c r="O78" s="13"/>
      <c r="P78" s="1">
        <f>SUM(OSRRefP22_15x_0)</f>
        <v>763</v>
      </c>
      <c r="Q78" s="1"/>
      <c r="R78" s="5">
        <f t="shared" si="56"/>
        <v>3.820537238338327E-4</v>
      </c>
      <c r="S78" s="1"/>
      <c r="T78" s="1">
        <f>SUM(OSRRefT22_15x_0)</f>
        <v>611.80999999999995</v>
      </c>
      <c r="U78" s="1"/>
      <c r="V78" s="5">
        <f t="shared" si="57"/>
        <v>3.2411373044372065E-4</v>
      </c>
      <c r="W78" s="1"/>
      <c r="X78" s="1">
        <f t="shared" si="58"/>
        <v>151.19000000000005</v>
      </c>
      <c r="Y78" s="1"/>
      <c r="Z78" s="5">
        <f t="shared" si="59"/>
        <v>0.24711920367434345</v>
      </c>
    </row>
    <row r="79" spans="1:26" s="24" customFormat="1" hidden="1" outlineLevel="2" x14ac:dyDescent="0.25">
      <c r="A79" s="26"/>
      <c r="B79" s="11" t="str">
        <f>CONCATENATE("          ", "6376", " - ", "TRAINING")</f>
        <v xml:space="preserve">          6376 - TRAINING</v>
      </c>
      <c r="C79" s="11"/>
      <c r="D79" s="6">
        <v>125</v>
      </c>
      <c r="E79" s="2"/>
      <c r="F79" s="7">
        <f t="shared" si="52"/>
        <v>2.8673140557157202E-4</v>
      </c>
      <c r="G79" s="2"/>
      <c r="H79" s="6">
        <v>96</v>
      </c>
      <c r="I79" s="2"/>
      <c r="J79" s="7">
        <f t="shared" si="53"/>
        <v>2.9465383760227408E-4</v>
      </c>
      <c r="K79" s="2"/>
      <c r="L79" s="6">
        <f t="shared" si="54"/>
        <v>29</v>
      </c>
      <c r="M79" s="2"/>
      <c r="N79" s="7">
        <f t="shared" si="55"/>
        <v>0.30208333333333331</v>
      </c>
      <c r="O79" s="11"/>
      <c r="P79" s="6">
        <v>763</v>
      </c>
      <c r="Q79" s="2"/>
      <c r="R79" s="7">
        <f t="shared" si="56"/>
        <v>3.820537238338327E-4</v>
      </c>
      <c r="S79" s="2"/>
      <c r="T79" s="6">
        <v>611.80999999999995</v>
      </c>
      <c r="U79" s="2"/>
      <c r="V79" s="7">
        <f t="shared" si="57"/>
        <v>3.2411373044372065E-4</v>
      </c>
      <c r="W79" s="2"/>
      <c r="X79" s="6">
        <f t="shared" si="58"/>
        <v>151.19000000000005</v>
      </c>
      <c r="Y79" s="2"/>
      <c r="Z79" s="7">
        <f t="shared" si="59"/>
        <v>0.24711920367434345</v>
      </c>
    </row>
    <row r="80" spans="1:26" s="25" customFormat="1" outlineLevel="1" collapsed="1" x14ac:dyDescent="0.25">
      <c r="A80" s="27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SUM(OSRRefD22_16x_0)</f>
        <v>0</v>
      </c>
      <c r="E80" s="1"/>
      <c r="F80" s="5">
        <f t="shared" si="52"/>
        <v>0</v>
      </c>
      <c r="G80" s="1"/>
      <c r="H80" s="1">
        <f>SUM(OSRRefH22_16x_0)</f>
        <v>0</v>
      </c>
      <c r="I80" s="1"/>
      <c r="J80" s="5">
        <f t="shared" si="53"/>
        <v>0</v>
      </c>
      <c r="K80" s="1"/>
      <c r="L80" s="1">
        <f t="shared" si="54"/>
        <v>0</v>
      </c>
      <c r="M80" s="1"/>
      <c r="N80" s="5">
        <f t="shared" si="55"/>
        <v>0</v>
      </c>
      <c r="O80" s="13"/>
      <c r="P80" s="1">
        <f>SUM(OSRRefP22_16x_0)</f>
        <v>326.42</v>
      </c>
      <c r="Q80" s="1"/>
      <c r="R80" s="5">
        <f t="shared" si="56"/>
        <v>1.6344688929729971E-4</v>
      </c>
      <c r="S80" s="1"/>
      <c r="T80" s="1">
        <f>SUM(OSRRefT22_16x_0)</f>
        <v>0</v>
      </c>
      <c r="U80" s="1"/>
      <c r="V80" s="5">
        <f t="shared" si="57"/>
        <v>0</v>
      </c>
      <c r="W80" s="1"/>
      <c r="X80" s="1">
        <f t="shared" si="58"/>
        <v>326.42</v>
      </c>
      <c r="Y80" s="1"/>
      <c r="Z80" s="5">
        <f t="shared" si="59"/>
        <v>0</v>
      </c>
    </row>
    <row r="81" spans="1:26" s="24" customFormat="1" hidden="1" outlineLevel="2" x14ac:dyDescent="0.25">
      <c r="A81" s="26"/>
      <c r="B81" s="11" t="str">
        <f>CONCATENATE("          ", "6292", " - ", "TRAVEL/CONFERENCE")</f>
        <v xml:space="preserve">          6292 - TRAVEL/CONFERENCE</v>
      </c>
      <c r="C81" s="11"/>
      <c r="D81" s="6"/>
      <c r="E81" s="2"/>
      <c r="F81" s="7">
        <f t="shared" si="52"/>
        <v>0</v>
      </c>
      <c r="G81" s="2"/>
      <c r="H81" s="6"/>
      <c r="I81" s="2"/>
      <c r="J81" s="7">
        <f t="shared" si="53"/>
        <v>0</v>
      </c>
      <c r="K81" s="2"/>
      <c r="L81" s="6">
        <f t="shared" si="54"/>
        <v>0</v>
      </c>
      <c r="M81" s="2"/>
      <c r="N81" s="7">
        <f t="shared" si="55"/>
        <v>0</v>
      </c>
      <c r="O81" s="11"/>
      <c r="P81" s="6">
        <v>326.42</v>
      </c>
      <c r="Q81" s="2"/>
      <c r="R81" s="7">
        <f t="shared" si="56"/>
        <v>1.6344688929729971E-4</v>
      </c>
      <c r="S81" s="2"/>
      <c r="T81" s="6"/>
      <c r="U81" s="2"/>
      <c r="V81" s="7">
        <f t="shared" si="57"/>
        <v>0</v>
      </c>
      <c r="W81" s="2"/>
      <c r="X81" s="6">
        <f t="shared" si="58"/>
        <v>326.42</v>
      </c>
      <c r="Y81" s="2"/>
      <c r="Z81" s="7">
        <f t="shared" si="59"/>
        <v>0</v>
      </c>
    </row>
    <row r="82" spans="1:26" s="53" customFormat="1" x14ac:dyDescent="0.25">
      <c r="A82" s="37"/>
      <c r="B82" s="37"/>
      <c r="C82" s="37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7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8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1">
        <f>+D21-D23+D83</f>
        <v>156173.62</v>
      </c>
      <c r="E85" s="14"/>
      <c r="F85" s="20">
        <f>IF(D$12=0,0,D85/D$12)</f>
        <v>0.35823905260640454</v>
      </c>
      <c r="G85" s="14"/>
      <c r="H85" s="21">
        <f>+H21-H23+H83</f>
        <v>87324.449999999895</v>
      </c>
      <c r="I85" s="14"/>
      <c r="J85" s="20">
        <f>IF(H$12=0,0,H85/H$12)</f>
        <v>0.268025878218832</v>
      </c>
      <c r="K85" s="15"/>
      <c r="L85" s="21">
        <f>+D85-H85</f>
        <v>68849.1700000001</v>
      </c>
      <c r="M85" s="15"/>
      <c r="N85" s="20">
        <f>IF(H85=0,0,L85/H85)</f>
        <v>0.78842947192911239</v>
      </c>
      <c r="O85" s="28"/>
      <c r="P85" s="21">
        <f>+P21-P23+P83</f>
        <v>563908.14000000036</v>
      </c>
      <c r="Q85" s="14"/>
      <c r="R85" s="20">
        <f>IF(P$12=0,0,P85/P$12)</f>
        <v>0.2823633090264881</v>
      </c>
      <c r="S85" s="14"/>
      <c r="T85" s="21">
        <f>+T21-T23+T83</f>
        <v>523991.83000000007</v>
      </c>
      <c r="U85" s="14"/>
      <c r="V85" s="20">
        <f>IF(T$12=0,0,T85/T$12)</f>
        <v>0.27759099515099778</v>
      </c>
      <c r="W85" s="15"/>
      <c r="X85" s="21">
        <f>+P85-T85</f>
        <v>39916.310000000289</v>
      </c>
      <c r="Y85" s="15"/>
      <c r="Z85" s="20">
        <f>IF(T85=0,0,X85/T85)</f>
        <v>7.6177351849169642E-2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>
        <v>54329.82</v>
      </c>
      <c r="E87" s="4"/>
      <c r="F87" s="12">
        <f>IF(D$12=0,0,D87/D$12)</f>
        <v>0.12462452522440402</v>
      </c>
      <c r="G87" s="4"/>
      <c r="H87" s="4">
        <v>55183.51</v>
      </c>
      <c r="I87" s="4"/>
      <c r="J87" s="12">
        <f>IF(H$12=0,0,H87/H$12)</f>
        <v>0.16937534368607779</v>
      </c>
      <c r="K87" s="4"/>
      <c r="L87" s="4">
        <f>+D87-H87</f>
        <v>-853.69000000000233</v>
      </c>
      <c r="M87" s="4"/>
      <c r="N87" s="12">
        <f>IF(H87=0,0,L87/H87)</f>
        <v>-1.5470019938927449E-2</v>
      </c>
      <c r="O87" s="10"/>
      <c r="P87" s="4">
        <v>211479.50999999998</v>
      </c>
      <c r="Q87" s="4"/>
      <c r="R87" s="12">
        <f>IF(P$12=0,0,P87/P$12)</f>
        <v>0.10589322976416023</v>
      </c>
      <c r="S87" s="4"/>
      <c r="T87" s="4">
        <v>198621.97999999998</v>
      </c>
      <c r="U87" s="4"/>
      <c r="V87" s="12">
        <f>IF(T$12=0,0,T87/T$12)</f>
        <v>0.10522239075189696</v>
      </c>
      <c r="W87" s="4"/>
      <c r="X87" s="4">
        <f>+P87-T87</f>
        <v>12857.529999999999</v>
      </c>
      <c r="Y87" s="4"/>
      <c r="Z87" s="12">
        <f>IF(T87=0,0,X87/T87)</f>
        <v>6.473367146979403E-2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1">
        <f>+D85-D87</f>
        <v>101843.79999999999</v>
      </c>
      <c r="E89" s="14"/>
      <c r="F89" s="32">
        <f>IF(D$12=0,0,D89/D$12)</f>
        <v>0.23361452738200048</v>
      </c>
      <c r="G89" s="14"/>
      <c r="H89" s="31">
        <f>+H85-H87</f>
        <v>32140.939999999893</v>
      </c>
      <c r="I89" s="14"/>
      <c r="J89" s="32">
        <f>IF(H$12=0,0,H89/H$12)</f>
        <v>9.86505345327542E-2</v>
      </c>
      <c r="K89" s="15"/>
      <c r="L89" s="31">
        <f>D89-H89</f>
        <v>69702.860000000102</v>
      </c>
      <c r="M89" s="15"/>
      <c r="N89" s="32">
        <f>IF(H89=0,0,L89/H89)</f>
        <v>2.1686627709083908</v>
      </c>
      <c r="O89" s="28"/>
      <c r="P89" s="31">
        <f>+P85-P87</f>
        <v>352428.63000000035</v>
      </c>
      <c r="Q89" s="14"/>
      <c r="R89" s="32">
        <f>IF(P$12=0,0,P89/P$12)</f>
        <v>0.17647007926232783</v>
      </c>
      <c r="S89" s="14"/>
      <c r="T89" s="31">
        <f>+T85-T87</f>
        <v>325369.85000000009</v>
      </c>
      <c r="U89" s="14"/>
      <c r="V89" s="32">
        <f>IF(T$12=0,0,T89/T$12)</f>
        <v>0.17236860439910082</v>
      </c>
      <c r="W89" s="15"/>
      <c r="X89" s="31">
        <f>P89-T89</f>
        <v>27058.780000000261</v>
      </c>
      <c r="Y89" s="15"/>
      <c r="Z89" s="32">
        <f>IF(T89=0,0,X89/T89)</f>
        <v>8.3163144956424989E-2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4">
        <f>SUM(D89:D91)</f>
        <v>101843.79999999999</v>
      </c>
      <c r="E92" s="14"/>
      <c r="F92" s="30">
        <f>IF(D$12=0,0,D92/D$12)</f>
        <v>0.23361452738200048</v>
      </c>
      <c r="G92" s="14"/>
      <c r="H92" s="34">
        <f>SUM(H89:H91)</f>
        <v>32140.939999999893</v>
      </c>
      <c r="I92" s="14"/>
      <c r="J92" s="30">
        <f>IF(H$12=0,0,H92/H$12)</f>
        <v>9.86505345327542E-2</v>
      </c>
      <c r="K92" s="15"/>
      <c r="L92" s="34">
        <f>+D92-H92</f>
        <v>69702.860000000102</v>
      </c>
      <c r="M92" s="15"/>
      <c r="N92" s="30">
        <f>IF(H92=0,0,L92/H92)</f>
        <v>2.1686627709083908</v>
      </c>
      <c r="O92" s="28"/>
      <c r="P92" s="34">
        <f>SUM(P89:P91)</f>
        <v>352428.63000000035</v>
      </c>
      <c r="Q92" s="14"/>
      <c r="R92" s="30">
        <f>IF(P$12=0,0,P92/P$12)</f>
        <v>0.17647007926232783</v>
      </c>
      <c r="S92" s="14"/>
      <c r="T92" s="34">
        <f>SUM(T89:T91)</f>
        <v>325369.85000000009</v>
      </c>
      <c r="U92" s="14"/>
      <c r="V92" s="30">
        <f>IF(T$12=0,0,T92/T$12)</f>
        <v>0.17236860439910082</v>
      </c>
      <c r="W92" s="15"/>
      <c r="X92" s="34">
        <f>+P92-T92</f>
        <v>27058.780000000261</v>
      </c>
      <c r="Y92" s="15"/>
      <c r="Z92" s="30">
        <f>IF(T92=0,0,X92/T92)</f>
        <v>8.3163144956424989E-2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9">
        <v>43815.492285914355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2" t="s">
        <v>313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61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25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","445", " - ", "Central Park Coffee House")</f>
        <v>Department 445 - Central Park Coffee House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1">
        <f>D12-D14</f>
        <v>0</v>
      </c>
      <c r="E16" s="14"/>
      <c r="F16" s="20">
        <f>IF(D$12=0,0,D16/D$12)</f>
        <v>0</v>
      </c>
      <c r="G16" s="14"/>
      <c r="H16" s="21">
        <f>H12-H14</f>
        <v>0</v>
      </c>
      <c r="I16" s="14"/>
      <c r="J16" s="20">
        <f>IF(H$12=0,0,H16/H$12)</f>
        <v>0</v>
      </c>
      <c r="K16" s="15"/>
      <c r="L16" s="21">
        <f>+D16-H16</f>
        <v>0</v>
      </c>
      <c r="M16" s="15"/>
      <c r="N16" s="20">
        <f>IF(H16=0,0,L16/H16)</f>
        <v>0</v>
      </c>
      <c r="O16" s="28"/>
      <c r="P16" s="21">
        <f>P12-P14</f>
        <v>0</v>
      </c>
      <c r="Q16" s="14"/>
      <c r="R16" s="20">
        <f>IF(P$12=0,0,P16/P$12)</f>
        <v>0</v>
      </c>
      <c r="S16" s="14"/>
      <c r="T16" s="21">
        <f>T12-T14</f>
        <v>0</v>
      </c>
      <c r="U16" s="14"/>
      <c r="V16" s="20">
        <f>IF(T$12=0,0,T16/T$12)</f>
        <v>0</v>
      </c>
      <c r="W16" s="15"/>
      <c r="X16" s="21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2">
        <f>SUM(OSRRefD22x_0)</f>
        <v>0</v>
      </c>
      <c r="E18" s="22"/>
      <c r="F18" s="33">
        <f t="shared" ref="F18:F20" si="0">IF(D$12=0,0,D18/D$12)</f>
        <v>0</v>
      </c>
      <c r="G18" s="22"/>
      <c r="H18" s="22">
        <f>SUM(OSRRefH22x_0)</f>
        <v>0</v>
      </c>
      <c r="I18" s="22"/>
      <c r="J18" s="33">
        <f t="shared" ref="J18:J20" si="1">IF(H$12=0,0,H18/H$12)</f>
        <v>0</v>
      </c>
      <c r="K18" s="4"/>
      <c r="L18" s="22">
        <f t="shared" ref="L18:L20" si="2">+D18-H18</f>
        <v>0</v>
      </c>
      <c r="M18" s="4"/>
      <c r="N18" s="33">
        <f t="shared" ref="N18:N20" si="3">IF(H18=0,0,L18/H18)</f>
        <v>0</v>
      </c>
      <c r="O18" s="10"/>
      <c r="P18" s="22">
        <f>SUM(OSRRefP22x_0)</f>
        <v>0</v>
      </c>
      <c r="Q18" s="22"/>
      <c r="R18" s="33">
        <f t="shared" ref="R18:R20" si="4">IF(P$12=0,0,P18/P$12)</f>
        <v>0</v>
      </c>
      <c r="S18" s="22"/>
      <c r="T18" s="22">
        <f>SUM(OSRRefT22x_0)</f>
        <v>929.2</v>
      </c>
      <c r="U18" s="22"/>
      <c r="V18" s="33">
        <f t="shared" ref="V18:V20" si="5">IF(T$12=0,0,T18/T$12)</f>
        <v>0</v>
      </c>
      <c r="W18" s="4"/>
      <c r="X18" s="22">
        <f t="shared" ref="X18:X20" si="6">+P18-T18</f>
        <v>-929.2</v>
      </c>
      <c r="Y18" s="4"/>
      <c r="Z18" s="33">
        <f t="shared" ref="Z18:Z20" si="7">IF(T18=0,0,X18/T18)</f>
        <v>-1</v>
      </c>
    </row>
    <row r="19" spans="1:26" s="25" customFormat="1" outlineLevel="1" collapsed="1" x14ac:dyDescent="0.25">
      <c r="A19" s="27"/>
      <c r="B19" s="13" t="str">
        <f>CONCATENATE("     ","General                                           ")</f>
        <v xml:space="preserve">     General  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3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929.2</v>
      </c>
      <c r="U19" s="1"/>
      <c r="V19" s="5">
        <f t="shared" si="5"/>
        <v>0</v>
      </c>
      <c r="W19" s="1"/>
      <c r="X19" s="1">
        <f t="shared" si="6"/>
        <v>-929.2</v>
      </c>
      <c r="Y19" s="1"/>
      <c r="Z19" s="5">
        <f t="shared" si="7"/>
        <v>-1</v>
      </c>
    </row>
    <row r="20" spans="1:26" s="24" customFormat="1" hidden="1" outlineLevel="2" x14ac:dyDescent="0.25">
      <c r="A20" s="26"/>
      <c r="B20" s="11" t="str">
        <f>CONCATENATE("          ", "6279", " - ", "GENERAL EXPENSE")</f>
        <v xml:space="preserve">          6279 - GENERAL EXPENSE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929.2</v>
      </c>
      <c r="U20" s="2"/>
      <c r="V20" s="7">
        <f t="shared" si="5"/>
        <v>0</v>
      </c>
      <c r="W20" s="2"/>
      <c r="X20" s="6">
        <f t="shared" si="6"/>
        <v>-929.2</v>
      </c>
      <c r="Y20" s="2"/>
      <c r="Z20" s="7">
        <f t="shared" si="7"/>
        <v>-1</v>
      </c>
    </row>
    <row r="21" spans="1:26" s="53" customFormat="1" x14ac:dyDescent="0.25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3</v>
      </c>
      <c r="C24" s="29"/>
      <c r="D24" s="21">
        <f>+D16-D18+D22</f>
        <v>0</v>
      </c>
      <c r="E24" s="14"/>
      <c r="F24" s="20">
        <f>IF(D$12=0,0,D24/D$12)</f>
        <v>0</v>
      </c>
      <c r="G24" s="14"/>
      <c r="H24" s="21">
        <f>+H16-H18+H22</f>
        <v>0</v>
      </c>
      <c r="I24" s="14"/>
      <c r="J24" s="20">
        <f>IF(H$12=0,0,H24/H$12)</f>
        <v>0</v>
      </c>
      <c r="K24" s="15"/>
      <c r="L24" s="21">
        <f>+D24-H24</f>
        <v>0</v>
      </c>
      <c r="M24" s="15"/>
      <c r="N24" s="20">
        <f>IF(H24=0,0,L24/H24)</f>
        <v>0</v>
      </c>
      <c r="O24" s="28"/>
      <c r="P24" s="21">
        <f>+P16-P18+P22</f>
        <v>0</v>
      </c>
      <c r="Q24" s="14"/>
      <c r="R24" s="20">
        <f>IF(P$12=0,0,P24/P$12)</f>
        <v>0</v>
      </c>
      <c r="S24" s="14"/>
      <c r="T24" s="21">
        <f>+T16-T18+T22</f>
        <v>-929.2</v>
      </c>
      <c r="U24" s="14"/>
      <c r="V24" s="20">
        <f>IF(T$12=0,0,T24/T$12)</f>
        <v>0</v>
      </c>
      <c r="W24" s="15"/>
      <c r="X24" s="21">
        <f>+P24-T24</f>
        <v>929.2</v>
      </c>
      <c r="Y24" s="15"/>
      <c r="Z24" s="20">
        <f>IF(T24=0,0,X24/T24)</f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13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9" t="s">
        <v>4</v>
      </c>
      <c r="C28" s="29"/>
      <c r="D28" s="31">
        <f>+D24-D26</f>
        <v>0</v>
      </c>
      <c r="E28" s="14"/>
      <c r="F28" s="32">
        <f>IF(D$12=0,0,D28/D$12)</f>
        <v>0</v>
      </c>
      <c r="G28" s="14"/>
      <c r="H28" s="31">
        <f>+H24-H26</f>
        <v>0</v>
      </c>
      <c r="I28" s="14"/>
      <c r="J28" s="32">
        <f>IF(H$12=0,0,H28/H$12)</f>
        <v>0</v>
      </c>
      <c r="K28" s="15"/>
      <c r="L28" s="31">
        <f>D28-H28</f>
        <v>0</v>
      </c>
      <c r="M28" s="15"/>
      <c r="N28" s="32">
        <f>IF(H28=0,0,L28/H28)</f>
        <v>0</v>
      </c>
      <c r="O28" s="28"/>
      <c r="P28" s="31">
        <f>+P24-P26</f>
        <v>0</v>
      </c>
      <c r="Q28" s="14"/>
      <c r="R28" s="32">
        <f>IF(P$12=0,0,P28/P$12)</f>
        <v>0</v>
      </c>
      <c r="S28" s="14"/>
      <c r="T28" s="31">
        <f>+T24-T26</f>
        <v>-929.2</v>
      </c>
      <c r="U28" s="14"/>
      <c r="V28" s="32">
        <f>IF(T$12=0,0,T28/T$12)</f>
        <v>0</v>
      </c>
      <c r="W28" s="15"/>
      <c r="X28" s="31">
        <f>P28-T28</f>
        <v>929.2</v>
      </c>
      <c r="Y28" s="15"/>
      <c r="Z28" s="32">
        <f>IF(T28=0,0,X28/T28)</f>
        <v>-1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4">
        <f>SUM(D28:D30)</f>
        <v>0</v>
      </c>
      <c r="E31" s="14"/>
      <c r="F31" s="30">
        <f>IF(D$12=0,0,D31/D$12)</f>
        <v>0</v>
      </c>
      <c r="G31" s="14"/>
      <c r="H31" s="34">
        <f>SUM(H28:H30)</f>
        <v>0</v>
      </c>
      <c r="I31" s="14"/>
      <c r="J31" s="30">
        <f>IF(H$12=0,0,H31/H$12)</f>
        <v>0</v>
      </c>
      <c r="K31" s="15"/>
      <c r="L31" s="34">
        <f>+D31-H31</f>
        <v>0</v>
      </c>
      <c r="M31" s="15"/>
      <c r="N31" s="30">
        <f>IF(H31=0,0,L31/H31)</f>
        <v>0</v>
      </c>
      <c r="O31" s="28"/>
      <c r="P31" s="34">
        <f>SUM(P28:P30)</f>
        <v>0</v>
      </c>
      <c r="Q31" s="14"/>
      <c r="R31" s="30">
        <f>IF(P$12=0,0,P31/P$12)</f>
        <v>0</v>
      </c>
      <c r="S31" s="14"/>
      <c r="T31" s="34">
        <f>SUM(T28:T30)</f>
        <v>-929.2</v>
      </c>
      <c r="U31" s="14"/>
      <c r="V31" s="30">
        <f>IF(T$12=0,0,T31/T$12)</f>
        <v>0</v>
      </c>
      <c r="W31" s="15"/>
      <c r="X31" s="34">
        <f>+P31-T31</f>
        <v>929.2</v>
      </c>
      <c r="Y31" s="15"/>
      <c r="Z31" s="30">
        <f>IF(T31=0,0,X31/T31)</f>
        <v>-1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9">
        <v>43815.492300613427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2" t="s">
        <v>313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1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tr">
        <f>CONCATENATE("Department ","450", " - ", "Beachside Dining Hall")</f>
        <v>Department 450 - Beachside Dining Hall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248936.94999999998</v>
      </c>
      <c r="E12" s="4"/>
      <c r="F12" s="12"/>
      <c r="G12" s="4"/>
      <c r="H12" s="4">
        <f>SUM(OSRRefH13x_0)</f>
        <v>216163.21000000002</v>
      </c>
      <c r="I12" s="4"/>
      <c r="J12" s="12"/>
      <c r="K12" s="4"/>
      <c r="L12" s="4">
        <f t="shared" ref="L12:L15" si="0">+D12-H12</f>
        <v>32773.739999999962</v>
      </c>
      <c r="M12" s="4"/>
      <c r="N12" s="12">
        <f t="shared" ref="N12:N15" si="1">IF(H12=0,0,L12/H12)</f>
        <v>0.15161571666149831</v>
      </c>
      <c r="O12" s="10"/>
      <c r="P12" s="4">
        <f>SUM(OSRRefP13x_0)</f>
        <v>1108976.18</v>
      </c>
      <c r="Q12" s="4"/>
      <c r="R12" s="12"/>
      <c r="S12" s="4"/>
      <c r="T12" s="4">
        <f>SUM(OSRRefT13x_0)</f>
        <v>1026875.7</v>
      </c>
      <c r="U12" s="4"/>
      <c r="V12" s="12"/>
      <c r="W12" s="4"/>
      <c r="X12" s="4">
        <f t="shared" ref="X12:X15" si="2">+P12-T12</f>
        <v>82100.479999999981</v>
      </c>
      <c r="Y12" s="4"/>
      <c r="Z12" s="12">
        <f t="shared" ref="Z12:Z15" si="3">IF(T12=0,0,X12/T12)</f>
        <v>7.9951721517998703E-2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--56.59</f>
        <v>56.59</v>
      </c>
      <c r="E13" s="2"/>
      <c r="F13" s="19"/>
      <c r="G13" s="2"/>
      <c r="H13" s="2">
        <f>--57.07</f>
        <v>57.07</v>
      </c>
      <c r="I13" s="2"/>
      <c r="J13" s="19"/>
      <c r="K13" s="2"/>
      <c r="L13" s="2">
        <f t="shared" si="0"/>
        <v>-0.47999999999999687</v>
      </c>
      <c r="M13" s="2"/>
      <c r="N13" s="19">
        <f t="shared" si="1"/>
        <v>-8.4107236726826164E-3</v>
      </c>
      <c r="O13" s="11"/>
      <c r="P13" s="2">
        <f>--139.14</f>
        <v>139.13999999999999</v>
      </c>
      <c r="Q13" s="2"/>
      <c r="R13" s="19"/>
      <c r="S13" s="2"/>
      <c r="T13" s="2">
        <f>--572.69</f>
        <v>572.69000000000005</v>
      </c>
      <c r="U13" s="2"/>
      <c r="V13" s="19"/>
      <c r="W13" s="2"/>
      <c r="X13" s="2">
        <f t="shared" si="2"/>
        <v>-433.55000000000007</v>
      </c>
      <c r="Y13" s="2"/>
      <c r="Z13" s="19">
        <f t="shared" si="3"/>
        <v>-0.75704133126124085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--247648.83</f>
        <v>247648.83</v>
      </c>
      <c r="E14" s="2"/>
      <c r="F14" s="19"/>
      <c r="G14" s="2"/>
      <c r="H14" s="2">
        <f>--215171.95</f>
        <v>215171.95</v>
      </c>
      <c r="I14" s="2"/>
      <c r="J14" s="19"/>
      <c r="K14" s="2"/>
      <c r="L14" s="2">
        <f t="shared" si="0"/>
        <v>32476.879999999976</v>
      </c>
      <c r="M14" s="2"/>
      <c r="N14" s="19">
        <f t="shared" si="1"/>
        <v>0.15093454328038564</v>
      </c>
      <c r="O14" s="11"/>
      <c r="P14" s="2">
        <f>--1103901.7</f>
        <v>1103901.7</v>
      </c>
      <c r="Q14" s="2"/>
      <c r="R14" s="19"/>
      <c r="S14" s="2"/>
      <c r="T14" s="2">
        <f>--1021864.46</f>
        <v>1021864.46</v>
      </c>
      <c r="U14" s="2"/>
      <c r="V14" s="19"/>
      <c r="W14" s="2"/>
      <c r="X14" s="2">
        <f t="shared" si="2"/>
        <v>82037.239999999991</v>
      </c>
      <c r="Y14" s="2"/>
      <c r="Z14" s="19">
        <f t="shared" si="3"/>
        <v>8.028191918916526E-2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--1231.53</f>
        <v>1231.53</v>
      </c>
      <c r="E15" s="2"/>
      <c r="F15" s="19"/>
      <c r="G15" s="2"/>
      <c r="H15" s="2">
        <f>--934.19</f>
        <v>934.19</v>
      </c>
      <c r="I15" s="2"/>
      <c r="J15" s="19"/>
      <c r="K15" s="2"/>
      <c r="L15" s="2">
        <f t="shared" si="0"/>
        <v>297.33999999999992</v>
      </c>
      <c r="M15" s="2"/>
      <c r="N15" s="19">
        <f t="shared" si="1"/>
        <v>0.31828642995536227</v>
      </c>
      <c r="O15" s="11"/>
      <c r="P15" s="2">
        <f>--4935.34</f>
        <v>4935.34</v>
      </c>
      <c r="Q15" s="2"/>
      <c r="R15" s="19"/>
      <c r="S15" s="2"/>
      <c r="T15" s="2">
        <f>--4438.55</f>
        <v>4438.55</v>
      </c>
      <c r="U15" s="2"/>
      <c r="V15" s="19"/>
      <c r="W15" s="2"/>
      <c r="X15" s="2">
        <f t="shared" si="2"/>
        <v>496.78999999999996</v>
      </c>
      <c r="Y15" s="2"/>
      <c r="Z15" s="19">
        <f t="shared" si="3"/>
        <v>0.11192619211228891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56355.91</v>
      </c>
      <c r="E17" s="4"/>
      <c r="F17" s="12">
        <f t="shared" ref="F17:F19" si="4">IF(D$12=0,0,D17/D$12)</f>
        <v>0.22638627973870495</v>
      </c>
      <c r="G17" s="4"/>
      <c r="H17" s="4">
        <f>SUM(OSRRefH16x_0)</f>
        <v>43989.06</v>
      </c>
      <c r="I17" s="4"/>
      <c r="J17" s="12">
        <f t="shared" ref="J17:J19" si="5">IF(H$12=0,0,H17/H$12)</f>
        <v>0.20349929111433898</v>
      </c>
      <c r="K17" s="4"/>
      <c r="L17" s="4">
        <f t="shared" ref="L17:L19" si="6">+D17-H17</f>
        <v>12366.850000000006</v>
      </c>
      <c r="M17" s="4"/>
      <c r="N17" s="12">
        <f t="shared" ref="N17:N19" si="7">IF(H17=0,0,L17/H17)</f>
        <v>0.28113467303006717</v>
      </c>
      <c r="O17" s="10"/>
      <c r="P17" s="4">
        <f>SUM(OSRRefP16x_0)</f>
        <v>247690.35</v>
      </c>
      <c r="Q17" s="4"/>
      <c r="R17" s="12">
        <f t="shared" ref="R17:R19" si="8">IF(P$12=0,0,P17/P$12)</f>
        <v>0.22335046907860548</v>
      </c>
      <c r="S17" s="4"/>
      <c r="T17" s="4">
        <f>SUM(OSRRefT16x_0)</f>
        <v>221877.32</v>
      </c>
      <c r="U17" s="4"/>
      <c r="V17" s="12">
        <f t="shared" ref="V17:V19" si="9">IF(T$12=0,0,T17/T$12)</f>
        <v>0.21607027997643727</v>
      </c>
      <c r="W17" s="4"/>
      <c r="X17" s="4">
        <f t="shared" ref="X17:X19" si="10">+P17-T17</f>
        <v>25813.03</v>
      </c>
      <c r="Y17" s="4"/>
      <c r="Z17" s="12">
        <f t="shared" ref="Z17:Z19" si="11">IF(T17=0,0,X17/T17)</f>
        <v>0.11633920041940293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56590.91</v>
      </c>
      <c r="E18" s="2"/>
      <c r="F18" s="19">
        <f t="shared" si="4"/>
        <v>0.22733029387561793</v>
      </c>
      <c r="G18" s="2"/>
      <c r="H18" s="2">
        <v>43717.06</v>
      </c>
      <c r="I18" s="2"/>
      <c r="J18" s="19">
        <f t="shared" si="5"/>
        <v>0.20224098263529669</v>
      </c>
      <c r="K18" s="2"/>
      <c r="L18" s="2">
        <f t="shared" si="6"/>
        <v>12873.850000000006</v>
      </c>
      <c r="M18" s="2"/>
      <c r="N18" s="19">
        <f t="shared" si="7"/>
        <v>0.29448114763435618</v>
      </c>
      <c r="O18" s="11"/>
      <c r="P18" s="2">
        <v>250530.35</v>
      </c>
      <c r="Q18" s="2"/>
      <c r="R18" s="19">
        <f t="shared" si="8"/>
        <v>0.22591138972885785</v>
      </c>
      <c r="S18" s="2"/>
      <c r="T18" s="2">
        <v>227277.32</v>
      </c>
      <c r="U18" s="2"/>
      <c r="V18" s="19">
        <f t="shared" si="9"/>
        <v>0.22132894955056392</v>
      </c>
      <c r="W18" s="2"/>
      <c r="X18" s="2">
        <f t="shared" si="10"/>
        <v>23253.03</v>
      </c>
      <c r="Y18" s="2"/>
      <c r="Z18" s="19">
        <f t="shared" si="11"/>
        <v>0.1023112644939671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-235</v>
      </c>
      <c r="E19" s="2"/>
      <c r="F19" s="19">
        <f t="shared" si="4"/>
        <v>-9.4401413691298146E-4</v>
      </c>
      <c r="G19" s="2"/>
      <c r="H19" s="2">
        <v>272</v>
      </c>
      <c r="I19" s="2"/>
      <c r="J19" s="19">
        <f t="shared" si="5"/>
        <v>1.258308479042294E-3</v>
      </c>
      <c r="K19" s="2"/>
      <c r="L19" s="2">
        <f t="shared" si="6"/>
        <v>-507</v>
      </c>
      <c r="M19" s="2"/>
      <c r="N19" s="19">
        <f t="shared" si="7"/>
        <v>-1.8639705882352942</v>
      </c>
      <c r="O19" s="11"/>
      <c r="P19" s="2">
        <v>-2840</v>
      </c>
      <c r="Q19" s="2"/>
      <c r="R19" s="19">
        <f t="shared" si="8"/>
        <v>-2.5609206502523797E-3</v>
      </c>
      <c r="S19" s="2"/>
      <c r="T19" s="2">
        <v>-5400</v>
      </c>
      <c r="U19" s="2"/>
      <c r="V19" s="19">
        <f t="shared" si="9"/>
        <v>-5.2586695741266452E-3</v>
      </c>
      <c r="W19" s="2"/>
      <c r="X19" s="2">
        <f t="shared" si="10"/>
        <v>2560</v>
      </c>
      <c r="Y19" s="2"/>
      <c r="Z19" s="19">
        <f t="shared" si="11"/>
        <v>-0.47407407407407409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9" t="s">
        <v>6</v>
      </c>
      <c r="C21" s="29"/>
      <c r="D21" s="21">
        <f>D12-D17</f>
        <v>192581.03999999998</v>
      </c>
      <c r="E21" s="14"/>
      <c r="F21" s="20">
        <f>IF(D$12=0,0,D21/D$12)</f>
        <v>0.77361372026129505</v>
      </c>
      <c r="G21" s="14"/>
      <c r="H21" s="21">
        <f>H12-H17</f>
        <v>172174.15000000002</v>
      </c>
      <c r="I21" s="14"/>
      <c r="J21" s="20">
        <f>IF(H$12=0,0,H21/H$12)</f>
        <v>0.79650070888566105</v>
      </c>
      <c r="K21" s="15"/>
      <c r="L21" s="21">
        <f>+D21-H21</f>
        <v>20406.889999999956</v>
      </c>
      <c r="M21" s="15"/>
      <c r="N21" s="20">
        <f>IF(H21=0,0,L21/H21)</f>
        <v>0.11852470304049681</v>
      </c>
      <c r="O21" s="28"/>
      <c r="P21" s="21">
        <f>P12-P17</f>
        <v>861285.83</v>
      </c>
      <c r="Q21" s="14"/>
      <c r="R21" s="20">
        <f>IF(P$12=0,0,P21/P$12)</f>
        <v>0.77664953092139455</v>
      </c>
      <c r="S21" s="14"/>
      <c r="T21" s="21">
        <f>T12-T17</f>
        <v>804998.37999999989</v>
      </c>
      <c r="U21" s="14"/>
      <c r="V21" s="20">
        <f>IF(T$12=0,0,T21/T$12)</f>
        <v>0.78392972002356265</v>
      </c>
      <c r="W21" s="15"/>
      <c r="X21" s="21">
        <f>+P21-T21</f>
        <v>56287.45000000007</v>
      </c>
      <c r="Y21" s="15"/>
      <c r="Z21" s="20">
        <f>IF(T21=0,0,X21/T21)</f>
        <v>6.9922438850125487E-2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8" t="s">
        <v>9</v>
      </c>
      <c r="C23" s="10"/>
      <c r="D23" s="22">
        <f>SUM(OSRRefD22x_0)</f>
        <v>130629.77</v>
      </c>
      <c r="E23" s="22"/>
      <c r="F23" s="33">
        <f t="shared" ref="F23:F33" si="12">IF(D$12=0,0,D23/D$12)</f>
        <v>0.52475042375187775</v>
      </c>
      <c r="G23" s="22"/>
      <c r="H23" s="22">
        <f>SUM(OSRRefH22x_0)</f>
        <v>99985.069999999992</v>
      </c>
      <c r="I23" s="22"/>
      <c r="J23" s="33">
        <f t="shared" ref="J23:J33" si="13">IF(H$12=0,0,H23/H$12)</f>
        <v>0.46254434323028409</v>
      </c>
      <c r="K23" s="4"/>
      <c r="L23" s="22">
        <f t="shared" ref="L23:L33" si="14">+D23-H23</f>
        <v>30644.700000000012</v>
      </c>
      <c r="M23" s="4"/>
      <c r="N23" s="33">
        <f t="shared" ref="N23:N33" si="15">IF(H23=0,0,L23/H23)</f>
        <v>0.30649275936897391</v>
      </c>
      <c r="O23" s="10"/>
      <c r="P23" s="22">
        <f>SUM(OSRRefP22x_0)</f>
        <v>636109.23999999987</v>
      </c>
      <c r="Q23" s="22"/>
      <c r="R23" s="33">
        <f t="shared" ref="R23:R33" si="16">IF(P$12=0,0,P23/P$12)</f>
        <v>0.57360045370857282</v>
      </c>
      <c r="S23" s="22"/>
      <c r="T23" s="22">
        <f>SUM(OSRRefT22x_0)</f>
        <v>528364.76</v>
      </c>
      <c r="U23" s="22"/>
      <c r="V23" s="33">
        <f t="shared" ref="V23:V33" si="17">IF(T$12=0,0,T23/T$12)</f>
        <v>0.51453623841717167</v>
      </c>
      <c r="W23" s="4"/>
      <c r="X23" s="22">
        <f t="shared" ref="X23:X33" si="18">+P23-T23</f>
        <v>107744.47999999986</v>
      </c>
      <c r="Y23" s="4"/>
      <c r="Z23" s="33">
        <f t="shared" ref="Z23:Z33" si="19">IF(T23=0,0,X23/T23)</f>
        <v>0.20392063997606477</v>
      </c>
    </row>
    <row r="24" spans="1:26" s="25" customFormat="1" outlineLevel="1" collapsed="1" x14ac:dyDescent="0.25">
      <c r="A24" s="27"/>
      <c r="B24" s="13" t="str">
        <f>CONCATENATE("     ","*Benefits                                         ")</f>
        <v xml:space="preserve">     *Benefits                                         </v>
      </c>
      <c r="C24" s="13"/>
      <c r="D24" s="1">
        <f>SUM(OSRRefD22_0x_0)</f>
        <v>28282.499999999996</v>
      </c>
      <c r="E24" s="1"/>
      <c r="F24" s="5">
        <f t="shared" si="12"/>
        <v>0.11361310564783572</v>
      </c>
      <c r="G24" s="1"/>
      <c r="H24" s="1">
        <f>SUM(OSRRefH22_0x_0)</f>
        <v>23197.929999999997</v>
      </c>
      <c r="I24" s="1"/>
      <c r="J24" s="5">
        <f t="shared" si="13"/>
        <v>0.10731673535010881</v>
      </c>
      <c r="K24" s="1"/>
      <c r="L24" s="1">
        <f t="shared" si="14"/>
        <v>5084.57</v>
      </c>
      <c r="M24" s="1"/>
      <c r="N24" s="5">
        <f t="shared" si="15"/>
        <v>0.21918205633002602</v>
      </c>
      <c r="O24" s="13"/>
      <c r="P24" s="1">
        <f>SUM(OSRRefP22_0x_0)</f>
        <v>132227.54</v>
      </c>
      <c r="Q24" s="1"/>
      <c r="R24" s="5">
        <f t="shared" si="16"/>
        <v>0.11923388652044808</v>
      </c>
      <c r="S24" s="1"/>
      <c r="T24" s="1">
        <f>SUM(OSRRefT22_0x_0)</f>
        <v>124817.11</v>
      </c>
      <c r="U24" s="1"/>
      <c r="V24" s="5">
        <f t="shared" si="17"/>
        <v>0.12155035901618863</v>
      </c>
      <c r="W24" s="1"/>
      <c r="X24" s="1">
        <f t="shared" si="18"/>
        <v>7410.4300000000076</v>
      </c>
      <c r="Y24" s="1"/>
      <c r="Z24" s="5">
        <f t="shared" si="19"/>
        <v>5.9370305881942045E-2</v>
      </c>
    </row>
    <row r="25" spans="1:26" s="24" customFormat="1" hidden="1" outlineLevel="2" x14ac:dyDescent="0.25">
      <c r="A25" s="26"/>
      <c r="B25" s="11" t="str">
        <f>CONCATENATE("          ", "6111", " - ", "F.I.C.A.")</f>
        <v xml:space="preserve">          6111 - F.I.C.A.</v>
      </c>
      <c r="C25" s="11"/>
      <c r="D25" s="6">
        <v>3806.53</v>
      </c>
      <c r="E25" s="2"/>
      <c r="F25" s="7">
        <f t="shared" si="12"/>
        <v>1.5291140989716474E-2</v>
      </c>
      <c r="G25" s="2"/>
      <c r="H25" s="6">
        <v>2694.75</v>
      </c>
      <c r="I25" s="2"/>
      <c r="J25" s="7">
        <f t="shared" si="13"/>
        <v>1.2466274904041256E-2</v>
      </c>
      <c r="K25" s="2"/>
      <c r="L25" s="6">
        <f t="shared" si="14"/>
        <v>1111.7800000000002</v>
      </c>
      <c r="M25" s="2"/>
      <c r="N25" s="7">
        <f t="shared" si="15"/>
        <v>0.41257259486037673</v>
      </c>
      <c r="O25" s="11"/>
      <c r="P25" s="6">
        <v>19638.670000000002</v>
      </c>
      <c r="Q25" s="2"/>
      <c r="R25" s="7">
        <f t="shared" si="16"/>
        <v>1.7708829417778842E-2</v>
      </c>
      <c r="S25" s="2"/>
      <c r="T25" s="6">
        <v>15949.089999999998</v>
      </c>
      <c r="U25" s="2"/>
      <c r="V25" s="7">
        <f t="shared" si="17"/>
        <v>1.5531665614445836E-2</v>
      </c>
      <c r="W25" s="2"/>
      <c r="X25" s="6">
        <f t="shared" si="18"/>
        <v>3689.5800000000036</v>
      </c>
      <c r="Y25" s="2"/>
      <c r="Z25" s="7">
        <f t="shared" si="19"/>
        <v>0.2313348285074574</v>
      </c>
    </row>
    <row r="26" spans="1:26" s="24" customFormat="1" hidden="1" outlineLevel="2" x14ac:dyDescent="0.25">
      <c r="A26" s="26"/>
      <c r="B26" s="11" t="str">
        <f>CONCATENATE("          ", "6112", " - ", "COMPENSATION INSURANCE")</f>
        <v xml:space="preserve">          6112 - COMPENSATION INSURANCE</v>
      </c>
      <c r="C26" s="11"/>
      <c r="D26" s="6">
        <v>3101.68</v>
      </c>
      <c r="E26" s="2"/>
      <c r="F26" s="7">
        <f t="shared" si="12"/>
        <v>1.2459701141192579E-2</v>
      </c>
      <c r="G26" s="2"/>
      <c r="H26" s="6">
        <v>2212.87</v>
      </c>
      <c r="I26" s="2"/>
      <c r="J26" s="7">
        <f t="shared" si="13"/>
        <v>1.0237033397126179E-2</v>
      </c>
      <c r="K26" s="2"/>
      <c r="L26" s="6">
        <f t="shared" si="14"/>
        <v>888.81</v>
      </c>
      <c r="M26" s="2"/>
      <c r="N26" s="7">
        <f t="shared" si="15"/>
        <v>0.40165486449723664</v>
      </c>
      <c r="O26" s="11"/>
      <c r="P26" s="6">
        <v>9195.84</v>
      </c>
      <c r="Q26" s="2"/>
      <c r="R26" s="7">
        <f t="shared" si="16"/>
        <v>8.2921889269073398E-3</v>
      </c>
      <c r="S26" s="2"/>
      <c r="T26" s="6">
        <v>10281.33</v>
      </c>
      <c r="U26" s="2"/>
      <c r="V26" s="7">
        <f t="shared" si="17"/>
        <v>1.0012243935658425E-2</v>
      </c>
      <c r="W26" s="2"/>
      <c r="X26" s="6">
        <f t="shared" si="18"/>
        <v>-1085.4899999999998</v>
      </c>
      <c r="Y26" s="2"/>
      <c r="Z26" s="7">
        <f t="shared" si="19"/>
        <v>-0.10557875294344213</v>
      </c>
    </row>
    <row r="27" spans="1:26" s="24" customFormat="1" hidden="1" outlineLevel="2" x14ac:dyDescent="0.25">
      <c r="A27" s="26"/>
      <c r="B27" s="11" t="str">
        <f>CONCATENATE("          ", "6113", " - ", "GROUP INSURANCE")</f>
        <v xml:space="preserve">          6113 - GROUP INSURANCE</v>
      </c>
      <c r="C27" s="11"/>
      <c r="D27" s="6">
        <v>14845.84</v>
      </c>
      <c r="E27" s="2"/>
      <c r="F27" s="7">
        <f t="shared" si="12"/>
        <v>5.9636948231269006E-2</v>
      </c>
      <c r="G27" s="2"/>
      <c r="H27" s="6">
        <v>12824.41</v>
      </c>
      <c r="I27" s="2"/>
      <c r="J27" s="7">
        <f t="shared" si="13"/>
        <v>5.9327440594539649E-2</v>
      </c>
      <c r="K27" s="2"/>
      <c r="L27" s="6">
        <f t="shared" si="14"/>
        <v>2021.4300000000003</v>
      </c>
      <c r="M27" s="2"/>
      <c r="N27" s="7">
        <f t="shared" si="15"/>
        <v>0.15762362557029916</v>
      </c>
      <c r="O27" s="11"/>
      <c r="P27" s="6">
        <v>67133.25</v>
      </c>
      <c r="Q27" s="2"/>
      <c r="R27" s="7">
        <f t="shared" si="16"/>
        <v>6.0536241635054777E-2</v>
      </c>
      <c r="S27" s="2"/>
      <c r="T27" s="6">
        <v>62669.11</v>
      </c>
      <c r="U27" s="2"/>
      <c r="V27" s="7">
        <f t="shared" si="17"/>
        <v>6.1028915184184421E-2</v>
      </c>
      <c r="W27" s="2"/>
      <c r="X27" s="6">
        <f t="shared" si="18"/>
        <v>4464.1399999999994</v>
      </c>
      <c r="Y27" s="2"/>
      <c r="Z27" s="7">
        <f t="shared" si="19"/>
        <v>7.1233499247077212E-2</v>
      </c>
    </row>
    <row r="28" spans="1:26" s="24" customFormat="1" hidden="1" outlineLevel="2" x14ac:dyDescent="0.25">
      <c r="A28" s="26"/>
      <c r="B28" s="11" t="str">
        <f>CONCATENATE("          ", "6114", " - ", "STATE UNEMPLOYMENT INSURANCE")</f>
        <v xml:space="preserve">          6114 - STATE UNEMPLOYMENT INSURANCE</v>
      </c>
      <c r="C28" s="11"/>
      <c r="D28" s="6">
        <v>207.84</v>
      </c>
      <c r="E28" s="2"/>
      <c r="F28" s="7">
        <f t="shared" si="12"/>
        <v>8.3491020517444288E-4</v>
      </c>
      <c r="G28" s="2"/>
      <c r="H28" s="6">
        <v>166.24</v>
      </c>
      <c r="I28" s="2"/>
      <c r="J28" s="7">
        <f t="shared" si="13"/>
        <v>7.6904853513231968E-4</v>
      </c>
      <c r="K28" s="2"/>
      <c r="L28" s="6">
        <f t="shared" si="14"/>
        <v>41.599999999999994</v>
      </c>
      <c r="M28" s="2"/>
      <c r="N28" s="7">
        <f t="shared" si="15"/>
        <v>0.25024061597690084</v>
      </c>
      <c r="O28" s="11"/>
      <c r="P28" s="6">
        <v>859.39</v>
      </c>
      <c r="Q28" s="2"/>
      <c r="R28" s="7">
        <f t="shared" si="16"/>
        <v>7.7493999916211013E-4</v>
      </c>
      <c r="S28" s="2"/>
      <c r="T28" s="6">
        <v>769.53</v>
      </c>
      <c r="U28" s="2"/>
      <c r="V28" s="7">
        <f t="shared" si="17"/>
        <v>7.4938962914401427E-4</v>
      </c>
      <c r="W28" s="2"/>
      <c r="X28" s="6">
        <f t="shared" si="18"/>
        <v>89.860000000000014</v>
      </c>
      <c r="Y28" s="2"/>
      <c r="Z28" s="7">
        <f t="shared" si="19"/>
        <v>0.11677257546814292</v>
      </c>
    </row>
    <row r="29" spans="1:26" s="24" customFormat="1" hidden="1" outlineLevel="2" x14ac:dyDescent="0.25">
      <c r="A29" s="26"/>
      <c r="B29" s="11" t="str">
        <f>CONCATENATE("          ", "6115", " - ", "P.E.R.S.")</f>
        <v xml:space="preserve">          6115 - P.E.R.S.</v>
      </c>
      <c r="C29" s="11"/>
      <c r="D29" s="6">
        <v>959.64</v>
      </c>
      <c r="E29" s="2"/>
      <c r="F29" s="7">
        <f t="shared" si="12"/>
        <v>3.854952027009249E-3</v>
      </c>
      <c r="G29" s="2"/>
      <c r="H29" s="6">
        <v>841.53</v>
      </c>
      <c r="I29" s="2"/>
      <c r="J29" s="7">
        <f t="shared" si="13"/>
        <v>3.8930306410605202E-3</v>
      </c>
      <c r="K29" s="2"/>
      <c r="L29" s="6">
        <f t="shared" si="14"/>
        <v>118.11000000000001</v>
      </c>
      <c r="M29" s="2"/>
      <c r="N29" s="7">
        <f t="shared" si="15"/>
        <v>0.14035150262022747</v>
      </c>
      <c r="O29" s="11"/>
      <c r="P29" s="6">
        <v>5924.24</v>
      </c>
      <c r="Q29" s="2"/>
      <c r="R29" s="7">
        <f t="shared" si="16"/>
        <v>5.3420804764264642E-3</v>
      </c>
      <c r="S29" s="2"/>
      <c r="T29" s="6">
        <v>5556.08</v>
      </c>
      <c r="U29" s="2"/>
      <c r="V29" s="7">
        <f t="shared" si="17"/>
        <v>5.4106646013728828E-3</v>
      </c>
      <c r="W29" s="2"/>
      <c r="X29" s="6">
        <f t="shared" si="18"/>
        <v>368.15999999999985</v>
      </c>
      <c r="Y29" s="2"/>
      <c r="Z29" s="7">
        <f t="shared" si="19"/>
        <v>6.6262544815769361E-2</v>
      </c>
    </row>
    <row r="30" spans="1:26" s="24" customFormat="1" hidden="1" outlineLevel="2" x14ac:dyDescent="0.25">
      <c r="A30" s="26"/>
      <c r="B30" s="11" t="str">
        <f>CONCATENATE("          ", "6117", " - ", "RETIREMENT STAFF HOURLY")</f>
        <v xml:space="preserve">          6117 - RETIREMENT STAFF HOURLY</v>
      </c>
      <c r="C30" s="11"/>
      <c r="D30" s="6">
        <v>553.28</v>
      </c>
      <c r="E30" s="2"/>
      <c r="F30" s="7">
        <f t="shared" si="12"/>
        <v>2.2225708156221888E-3</v>
      </c>
      <c r="G30" s="2"/>
      <c r="H30" s="6">
        <v>396.69</v>
      </c>
      <c r="I30" s="2"/>
      <c r="J30" s="7">
        <f t="shared" si="13"/>
        <v>1.8351411417326748E-3</v>
      </c>
      <c r="K30" s="2"/>
      <c r="L30" s="6">
        <f t="shared" si="14"/>
        <v>156.58999999999997</v>
      </c>
      <c r="M30" s="2"/>
      <c r="N30" s="7">
        <f t="shared" si="15"/>
        <v>0.39474148579495316</v>
      </c>
      <c r="O30" s="11"/>
      <c r="P30" s="6">
        <v>2371.5100000000002</v>
      </c>
      <c r="Q30" s="2"/>
      <c r="R30" s="7">
        <f t="shared" si="16"/>
        <v>2.1384679335493036E-3</v>
      </c>
      <c r="S30" s="2"/>
      <c r="T30" s="6">
        <v>2186.8200000000002</v>
      </c>
      <c r="U30" s="2"/>
      <c r="V30" s="7">
        <f t="shared" si="17"/>
        <v>2.1295858885354872E-3</v>
      </c>
      <c r="W30" s="2"/>
      <c r="X30" s="6">
        <f t="shared" si="18"/>
        <v>184.69000000000005</v>
      </c>
      <c r="Y30" s="2"/>
      <c r="Z30" s="7">
        <f t="shared" si="19"/>
        <v>8.44559680266323E-2</v>
      </c>
    </row>
    <row r="31" spans="1:26" s="24" customFormat="1" hidden="1" outlineLevel="2" x14ac:dyDescent="0.25">
      <c r="A31" s="26"/>
      <c r="B31" s="11" t="str">
        <f>CONCATENATE("          ", "6118", " - ", "VACATION")</f>
        <v xml:space="preserve">          6118 - VACATION</v>
      </c>
      <c r="C31" s="11"/>
      <c r="D31" s="6">
        <v>2050.14</v>
      </c>
      <c r="E31" s="2"/>
      <c r="F31" s="7">
        <f t="shared" si="12"/>
        <v>8.235579330428849E-3</v>
      </c>
      <c r="G31" s="2"/>
      <c r="H31" s="6">
        <v>1924.16</v>
      </c>
      <c r="I31" s="2"/>
      <c r="J31" s="7">
        <f t="shared" si="13"/>
        <v>8.901422217036839E-3</v>
      </c>
      <c r="K31" s="2"/>
      <c r="L31" s="6">
        <f t="shared" si="14"/>
        <v>125.97999999999979</v>
      </c>
      <c r="M31" s="2"/>
      <c r="N31" s="7">
        <f t="shared" si="15"/>
        <v>6.5472725760851377E-2</v>
      </c>
      <c r="O31" s="11"/>
      <c r="P31" s="6">
        <v>12053.79</v>
      </c>
      <c r="Q31" s="2"/>
      <c r="R31" s="7">
        <f t="shared" si="16"/>
        <v>1.0869295677748463E-2</v>
      </c>
      <c r="S31" s="2"/>
      <c r="T31" s="6">
        <v>11707.84</v>
      </c>
      <c r="U31" s="2"/>
      <c r="V31" s="7">
        <f t="shared" si="17"/>
        <v>1.1401418886433871E-2</v>
      </c>
      <c r="W31" s="2"/>
      <c r="X31" s="6">
        <f t="shared" si="18"/>
        <v>345.95000000000073</v>
      </c>
      <c r="Y31" s="2"/>
      <c r="Z31" s="7">
        <f t="shared" si="19"/>
        <v>2.9548575996938865E-2</v>
      </c>
    </row>
    <row r="32" spans="1:26" s="24" customFormat="1" hidden="1" outlineLevel="2" x14ac:dyDescent="0.25">
      <c r="A32" s="26"/>
      <c r="B32" s="11" t="str">
        <f>CONCATENATE("          ", "6119", " - ", "SICK LEAVE")</f>
        <v xml:space="preserve">          6119 - SICK LEAVE</v>
      </c>
      <c r="C32" s="11"/>
      <c r="D32" s="6">
        <v>1637.12</v>
      </c>
      <c r="E32" s="2"/>
      <c r="F32" s="7">
        <f t="shared" si="12"/>
        <v>6.5764443566935322E-3</v>
      </c>
      <c r="G32" s="2"/>
      <c r="H32" s="6">
        <v>1249.5</v>
      </c>
      <c r="I32" s="2"/>
      <c r="J32" s="7">
        <f t="shared" si="13"/>
        <v>5.7803545756005374E-3</v>
      </c>
      <c r="K32" s="2"/>
      <c r="L32" s="6">
        <f t="shared" si="14"/>
        <v>387.61999999999989</v>
      </c>
      <c r="M32" s="2"/>
      <c r="N32" s="7">
        <f t="shared" si="15"/>
        <v>0.310220088035214</v>
      </c>
      <c r="O32" s="11"/>
      <c r="P32" s="6">
        <v>9501.26</v>
      </c>
      <c r="Q32" s="2"/>
      <c r="R32" s="7">
        <f t="shared" si="16"/>
        <v>8.5675961047242694E-3</v>
      </c>
      <c r="S32" s="2"/>
      <c r="T32" s="6">
        <v>10005.08</v>
      </c>
      <c r="U32" s="2"/>
      <c r="V32" s="7">
        <f t="shared" si="17"/>
        <v>9.7432240338338905E-3</v>
      </c>
      <c r="W32" s="2"/>
      <c r="X32" s="6">
        <f t="shared" si="18"/>
        <v>-503.81999999999971</v>
      </c>
      <c r="Y32" s="2"/>
      <c r="Z32" s="7">
        <f t="shared" si="19"/>
        <v>-5.0356418939178867E-2</v>
      </c>
    </row>
    <row r="33" spans="1:26" s="24" customFormat="1" hidden="1" outlineLevel="2" x14ac:dyDescent="0.25">
      <c r="A33" s="26"/>
      <c r="B33" s="11" t="str">
        <f>CONCATENATE("          ", "6156", " - ", "EMPLOYEE MEALS")</f>
        <v xml:space="preserve">          6156 - EMPLOYEE MEALS</v>
      </c>
      <c r="C33" s="11"/>
      <c r="D33" s="6">
        <v>1120.43</v>
      </c>
      <c r="E33" s="2"/>
      <c r="F33" s="7">
        <f t="shared" si="12"/>
        <v>4.5008585507294125E-3</v>
      </c>
      <c r="G33" s="2"/>
      <c r="H33" s="6">
        <v>887.78</v>
      </c>
      <c r="I33" s="2"/>
      <c r="J33" s="7">
        <f t="shared" si="13"/>
        <v>4.1069893438388516E-3</v>
      </c>
      <c r="K33" s="2"/>
      <c r="L33" s="6">
        <f t="shared" si="14"/>
        <v>232.65000000000009</v>
      </c>
      <c r="M33" s="2"/>
      <c r="N33" s="7">
        <f t="shared" si="15"/>
        <v>0.26205816756403627</v>
      </c>
      <c r="O33" s="11"/>
      <c r="P33" s="6">
        <v>5549.59</v>
      </c>
      <c r="Q33" s="2"/>
      <c r="R33" s="7">
        <f t="shared" si="16"/>
        <v>5.004246349096516E-3</v>
      </c>
      <c r="S33" s="2"/>
      <c r="T33" s="6">
        <v>5692.23</v>
      </c>
      <c r="U33" s="2"/>
      <c r="V33" s="7">
        <f t="shared" si="17"/>
        <v>5.5432512425797982E-3</v>
      </c>
      <c r="W33" s="2"/>
      <c r="X33" s="6">
        <f t="shared" si="18"/>
        <v>-142.63999999999942</v>
      </c>
      <c r="Y33" s="2"/>
      <c r="Z33" s="7">
        <f t="shared" si="19"/>
        <v>-2.5058720396048548E-2</v>
      </c>
    </row>
    <row r="34" spans="1:26" s="25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69394.81</v>
      </c>
      <c r="E34" s="1"/>
      <c r="F34" s="5">
        <f t="shared" ref="F34:F40" si="20">IF(D$12=0,0,D34/D$12)</f>
        <v>0.27876460284421417</v>
      </c>
      <c r="G34" s="1"/>
      <c r="H34" s="1">
        <f>SUM(OSRRefH22_1x_0)</f>
        <v>50081.77</v>
      </c>
      <c r="I34" s="1"/>
      <c r="J34" s="5">
        <f t="shared" ref="J34:J40" si="21">IF(H$12=0,0,H34/H$12)</f>
        <v>0.23168498469281609</v>
      </c>
      <c r="K34" s="1"/>
      <c r="L34" s="1">
        <f t="shared" ref="L34:L40" si="22">+D34-H34</f>
        <v>19313.04</v>
      </c>
      <c r="M34" s="1"/>
      <c r="N34" s="5">
        <f t="shared" ref="N34:N40" si="23">IF(H34=0,0,L34/H34)</f>
        <v>0.3856301404682782</v>
      </c>
      <c r="O34" s="13"/>
      <c r="P34" s="1">
        <f>SUM(OSRRefP22_1x_0)</f>
        <v>336763.47</v>
      </c>
      <c r="Q34" s="1"/>
      <c r="R34" s="5">
        <f t="shared" ref="R34:R40" si="24">IF(P$12=0,0,P34/P$12)</f>
        <v>0.30367060724424216</v>
      </c>
      <c r="S34" s="1"/>
      <c r="T34" s="1">
        <f>SUM(OSRRefT22_1x_0)</f>
        <v>271947.31000000006</v>
      </c>
      <c r="U34" s="1"/>
      <c r="V34" s="5">
        <f t="shared" ref="V34:V40" si="25">IF(T$12=0,0,T34/T$12)</f>
        <v>0.26482982312270126</v>
      </c>
      <c r="W34" s="1"/>
      <c r="X34" s="1">
        <f t="shared" ref="X34:X40" si="26">+P34-T34</f>
        <v>64816.159999999916</v>
      </c>
      <c r="Y34" s="1"/>
      <c r="Z34" s="5">
        <f t="shared" ref="Z34:Z40" si="27">IF(T34=0,0,X34/T34)</f>
        <v>0.23834087566448039</v>
      </c>
    </row>
    <row r="35" spans="1:26" s="24" customFormat="1" hidden="1" outlineLevel="2" x14ac:dyDescent="0.25">
      <c r="A35" s="26"/>
      <c r="B35" s="11" t="str">
        <f>CONCATENATE("          ", "6002", " - ", "STAFF SALARIES")</f>
        <v xml:space="preserve">          6002 - STAFF SALARIES</v>
      </c>
      <c r="C35" s="11"/>
      <c r="D35" s="6">
        <v>8640.1299999999992</v>
      </c>
      <c r="E35" s="2"/>
      <c r="F35" s="7">
        <f t="shared" si="20"/>
        <v>3.4708105807514711E-2</v>
      </c>
      <c r="G35" s="2"/>
      <c r="H35" s="6">
        <v>7994.99</v>
      </c>
      <c r="I35" s="2"/>
      <c r="J35" s="7">
        <f t="shared" si="21"/>
        <v>3.6985895981096868E-2</v>
      </c>
      <c r="K35" s="2"/>
      <c r="L35" s="6">
        <f t="shared" si="22"/>
        <v>645.13999999999942</v>
      </c>
      <c r="M35" s="2"/>
      <c r="N35" s="7">
        <f t="shared" si="23"/>
        <v>8.0693034012550291E-2</v>
      </c>
      <c r="O35" s="11"/>
      <c r="P35" s="6">
        <v>49481.369999999995</v>
      </c>
      <c r="Q35" s="2"/>
      <c r="R35" s="7">
        <f t="shared" si="24"/>
        <v>4.4618965575978373E-2</v>
      </c>
      <c r="S35" s="2"/>
      <c r="T35" s="6">
        <v>46033.93</v>
      </c>
      <c r="U35" s="2"/>
      <c r="V35" s="7">
        <f t="shared" si="25"/>
        <v>4.4829116123791812E-2</v>
      </c>
      <c r="W35" s="2"/>
      <c r="X35" s="6">
        <f t="shared" si="26"/>
        <v>3447.4399999999951</v>
      </c>
      <c r="Y35" s="2"/>
      <c r="Z35" s="7">
        <f t="shared" si="27"/>
        <v>7.488910896810233E-2</v>
      </c>
    </row>
    <row r="36" spans="1:26" s="24" customFormat="1" hidden="1" outlineLevel="2" x14ac:dyDescent="0.25">
      <c r="A36" s="26"/>
      <c r="B36" s="11" t="str">
        <f>CONCATENATE("          ", "6004", " - ", "STAFF HOURLY")</f>
        <v xml:space="preserve">          6004 - STAFF HOURLY</v>
      </c>
      <c r="C36" s="11"/>
      <c r="D36" s="6">
        <v>22985.86</v>
      </c>
      <c r="E36" s="2"/>
      <c r="F36" s="7">
        <f t="shared" si="20"/>
        <v>9.2336071442989887E-2</v>
      </c>
      <c r="G36" s="2"/>
      <c r="H36" s="6">
        <v>14485.07</v>
      </c>
      <c r="I36" s="2"/>
      <c r="J36" s="7">
        <f t="shared" si="21"/>
        <v>6.7009876472504268E-2</v>
      </c>
      <c r="K36" s="2"/>
      <c r="L36" s="6">
        <f t="shared" si="22"/>
        <v>8500.7900000000009</v>
      </c>
      <c r="M36" s="2"/>
      <c r="N36" s="7">
        <f t="shared" si="23"/>
        <v>0.58686564856089762</v>
      </c>
      <c r="O36" s="11"/>
      <c r="P36" s="6">
        <v>108255.96</v>
      </c>
      <c r="Q36" s="2"/>
      <c r="R36" s="7">
        <f t="shared" si="24"/>
        <v>9.7617930801723818E-2</v>
      </c>
      <c r="S36" s="2"/>
      <c r="T36" s="6">
        <v>91497.95</v>
      </c>
      <c r="U36" s="2"/>
      <c r="V36" s="7">
        <f t="shared" si="25"/>
        <v>8.9103238103696483E-2</v>
      </c>
      <c r="W36" s="2"/>
      <c r="X36" s="6">
        <f t="shared" si="26"/>
        <v>16758.010000000009</v>
      </c>
      <c r="Y36" s="2"/>
      <c r="Z36" s="7">
        <f t="shared" si="27"/>
        <v>0.18315175367316983</v>
      </c>
    </row>
    <row r="37" spans="1:26" s="24" customFormat="1" hidden="1" outlineLevel="2" x14ac:dyDescent="0.25">
      <c r="A37" s="26"/>
      <c r="B37" s="11" t="str">
        <f>CONCATENATE("          ", "6005", " - ", "TEMPORARY WAGES-HOURLY")</f>
        <v xml:space="preserve">          6005 - TEMPORARY WAGES-HOURLY</v>
      </c>
      <c r="C37" s="11"/>
      <c r="D37" s="6">
        <v>13620.7</v>
      </c>
      <c r="E37" s="2"/>
      <c r="F37" s="7">
        <f t="shared" si="20"/>
        <v>5.4715461083619778E-2</v>
      </c>
      <c r="G37" s="2"/>
      <c r="H37" s="6">
        <v>9584.61</v>
      </c>
      <c r="I37" s="2"/>
      <c r="J37" s="7">
        <f t="shared" si="21"/>
        <v>4.4339691291593972E-2</v>
      </c>
      <c r="K37" s="2"/>
      <c r="L37" s="6">
        <f t="shared" si="22"/>
        <v>4036.09</v>
      </c>
      <c r="M37" s="2"/>
      <c r="N37" s="7">
        <f t="shared" si="23"/>
        <v>0.42110111939870271</v>
      </c>
      <c r="O37" s="11"/>
      <c r="P37" s="6">
        <v>60521.479999999996</v>
      </c>
      <c r="Q37" s="2"/>
      <c r="R37" s="7">
        <f t="shared" si="24"/>
        <v>5.4574192928111401E-2</v>
      </c>
      <c r="S37" s="2"/>
      <c r="T37" s="6">
        <v>42651.98</v>
      </c>
      <c r="U37" s="2"/>
      <c r="V37" s="7">
        <f t="shared" si="25"/>
        <v>4.1535679537455218E-2</v>
      </c>
      <c r="W37" s="2"/>
      <c r="X37" s="6">
        <f t="shared" si="26"/>
        <v>17869.499999999993</v>
      </c>
      <c r="Y37" s="2"/>
      <c r="Z37" s="7">
        <f t="shared" si="27"/>
        <v>0.41896062035103626</v>
      </c>
    </row>
    <row r="38" spans="1:26" s="24" customFormat="1" hidden="1" outlineLevel="2" x14ac:dyDescent="0.25">
      <c r="A38" s="26"/>
      <c r="B38" s="11" t="str">
        <f>CONCATENATE("          ", "6006", " - ", "TEMPORARY PART TIME")</f>
        <v xml:space="preserve">          6006 - TEMPORARY PART TIME</v>
      </c>
      <c r="C38" s="11"/>
      <c r="D38" s="6">
        <v>1994</v>
      </c>
      <c r="E38" s="2"/>
      <c r="F38" s="7">
        <f t="shared" si="20"/>
        <v>8.0100603787424899E-3</v>
      </c>
      <c r="G38" s="2"/>
      <c r="H38" s="6"/>
      <c r="I38" s="2"/>
      <c r="J38" s="7">
        <f t="shared" si="21"/>
        <v>0</v>
      </c>
      <c r="K38" s="2"/>
      <c r="L38" s="6">
        <f t="shared" si="22"/>
        <v>1994</v>
      </c>
      <c r="M38" s="2"/>
      <c r="N38" s="7">
        <f t="shared" si="23"/>
        <v>0</v>
      </c>
      <c r="O38" s="11"/>
      <c r="P38" s="6">
        <v>9798.2199999999993</v>
      </c>
      <c r="Q38" s="2"/>
      <c r="R38" s="7">
        <f t="shared" si="24"/>
        <v>8.8353746245478423E-3</v>
      </c>
      <c r="S38" s="2"/>
      <c r="T38" s="6"/>
      <c r="U38" s="2"/>
      <c r="V38" s="7">
        <f t="shared" si="25"/>
        <v>0</v>
      </c>
      <c r="W38" s="2"/>
      <c r="X38" s="6">
        <f t="shared" si="26"/>
        <v>9798.2199999999993</v>
      </c>
      <c r="Y38" s="2"/>
      <c r="Z38" s="7">
        <f t="shared" si="27"/>
        <v>0</v>
      </c>
    </row>
    <row r="39" spans="1:26" s="24" customFormat="1" hidden="1" outlineLevel="2" x14ac:dyDescent="0.25">
      <c r="A39" s="26"/>
      <c r="B39" s="11" t="str">
        <f>CONCATENATE("          ", "6007", " - ", "STUDENT HOURLY")</f>
        <v xml:space="preserve">          6007 - STUDENT HOURLY</v>
      </c>
      <c r="C39" s="11"/>
      <c r="D39" s="6">
        <v>15155.12</v>
      </c>
      <c r="E39" s="2"/>
      <c r="F39" s="7">
        <f t="shared" si="20"/>
        <v>6.0879351177075165E-2</v>
      </c>
      <c r="G39" s="2"/>
      <c r="H39" s="6">
        <v>12086.72</v>
      </c>
      <c r="I39" s="2"/>
      <c r="J39" s="7">
        <f t="shared" si="21"/>
        <v>5.5914787719889975E-2</v>
      </c>
      <c r="K39" s="2"/>
      <c r="L39" s="6">
        <f t="shared" si="22"/>
        <v>3068.4000000000015</v>
      </c>
      <c r="M39" s="2"/>
      <c r="N39" s="7">
        <f t="shared" si="23"/>
        <v>0.2538653993804772</v>
      </c>
      <c r="O39" s="11"/>
      <c r="P39" s="6">
        <v>74282.94</v>
      </c>
      <c r="Q39" s="2"/>
      <c r="R39" s="7">
        <f t="shared" si="24"/>
        <v>6.6983350354738916E-2</v>
      </c>
      <c r="S39" s="2"/>
      <c r="T39" s="6">
        <v>66314.930000000008</v>
      </c>
      <c r="U39" s="2"/>
      <c r="V39" s="7">
        <f t="shared" si="25"/>
        <v>6.4579315685433014E-2</v>
      </c>
      <c r="W39" s="2"/>
      <c r="X39" s="6">
        <f t="shared" si="26"/>
        <v>7968.0099999999948</v>
      </c>
      <c r="Y39" s="2"/>
      <c r="Z39" s="7">
        <f t="shared" si="27"/>
        <v>0.120154088981169</v>
      </c>
    </row>
    <row r="40" spans="1:26" s="24" customFormat="1" hidden="1" outlineLevel="2" x14ac:dyDescent="0.25">
      <c r="A40" s="26"/>
      <c r="B40" s="11" t="str">
        <f>CONCATENATE("          ", "6008", " - ", "STUDENT HOURLY-FICA EXEMPT")</f>
        <v xml:space="preserve">          6008 - STUDENT HOURLY-FICA EXEMPT</v>
      </c>
      <c r="C40" s="11"/>
      <c r="D40" s="6">
        <v>6999</v>
      </c>
      <c r="E40" s="2"/>
      <c r="F40" s="7">
        <f t="shared" si="20"/>
        <v>2.8115552954272156E-2</v>
      </c>
      <c r="G40" s="2"/>
      <c r="H40" s="6">
        <v>5930.38</v>
      </c>
      <c r="I40" s="2"/>
      <c r="J40" s="7">
        <f t="shared" si="21"/>
        <v>2.7434733227731024E-2</v>
      </c>
      <c r="K40" s="2"/>
      <c r="L40" s="6">
        <f t="shared" si="22"/>
        <v>1068.6199999999999</v>
      </c>
      <c r="M40" s="2"/>
      <c r="N40" s="7">
        <f t="shared" si="23"/>
        <v>0.18019418654453845</v>
      </c>
      <c r="O40" s="11"/>
      <c r="P40" s="6">
        <v>34423.5</v>
      </c>
      <c r="Q40" s="2"/>
      <c r="R40" s="7">
        <f t="shared" si="24"/>
        <v>3.104079295914183E-2</v>
      </c>
      <c r="S40" s="2"/>
      <c r="T40" s="6">
        <v>25448.52</v>
      </c>
      <c r="U40" s="2"/>
      <c r="V40" s="7">
        <f t="shared" si="25"/>
        <v>2.4782473672324706E-2</v>
      </c>
      <c r="W40" s="2"/>
      <c r="X40" s="6">
        <f t="shared" si="26"/>
        <v>8974.98</v>
      </c>
      <c r="Y40" s="2"/>
      <c r="Z40" s="7">
        <f t="shared" si="27"/>
        <v>0.35267198249642806</v>
      </c>
    </row>
    <row r="41" spans="1:26" s="25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54.36</v>
      </c>
      <c r="E41" s="1"/>
      <c r="F41" s="5">
        <f t="shared" ref="F41:F61" si="28">IF(D$12=0,0,D41/D$12)</f>
        <v>2.1836854673442413E-4</v>
      </c>
      <c r="G41" s="1"/>
      <c r="H41" s="1">
        <f>SUM(OSRRefH22_2x_0)</f>
        <v>82.7</v>
      </c>
      <c r="I41" s="1"/>
      <c r="J41" s="5">
        <f t="shared" ref="J41:J61" si="29">IF(H$12=0,0,H41/H$12)</f>
        <v>3.825812912382269E-4</v>
      </c>
      <c r="K41" s="1"/>
      <c r="L41" s="1">
        <f t="shared" ref="L41:L61" si="30">+D41-H41</f>
        <v>-28.340000000000003</v>
      </c>
      <c r="M41" s="1"/>
      <c r="N41" s="5">
        <f t="shared" ref="N41:N61" si="31">IF(H41=0,0,L41/H41)</f>
        <v>-0.34268440145102785</v>
      </c>
      <c r="O41" s="13"/>
      <c r="P41" s="1">
        <f>SUM(OSRRefP22_2x_0)</f>
        <v>2809.67</v>
      </c>
      <c r="Q41" s="1"/>
      <c r="R41" s="5">
        <f t="shared" ref="R41:R61" si="32">IF(P$12=0,0,P41/P$12)</f>
        <v>2.5335710997868325E-3</v>
      </c>
      <c r="S41" s="1"/>
      <c r="T41" s="1">
        <f>SUM(OSRRefT22_2x_0)</f>
        <v>3181.16</v>
      </c>
      <c r="U41" s="1"/>
      <c r="V41" s="5">
        <f t="shared" ref="V41:V61" si="33">IF(T$12=0,0,T41/T$12)</f>
        <v>3.0979017226719844E-3</v>
      </c>
      <c r="W41" s="1"/>
      <c r="X41" s="1">
        <f t="shared" ref="X41:X61" si="34">+P41-T41</f>
        <v>-371.48999999999978</v>
      </c>
      <c r="Y41" s="1"/>
      <c r="Z41" s="5">
        <f t="shared" ref="Z41:Z61" si="35">IF(T41=0,0,X41/T41)</f>
        <v>-0.1167781563957801</v>
      </c>
    </row>
    <row r="42" spans="1:26" s="24" customFormat="1" hidden="1" outlineLevel="2" x14ac:dyDescent="0.25">
      <c r="A42" s="26"/>
      <c r="B42" s="11" t="str">
        <f>CONCATENATE("          ", "6362", " - ", "ADVERTISING EXPENSE")</f>
        <v xml:space="preserve">          6362 - ADVERTISING EXPENSE</v>
      </c>
      <c r="C42" s="11"/>
      <c r="D42" s="6">
        <v>54.36</v>
      </c>
      <c r="E42" s="2"/>
      <c r="F42" s="7">
        <f t="shared" si="28"/>
        <v>2.1836854673442413E-4</v>
      </c>
      <c r="G42" s="2"/>
      <c r="H42" s="6">
        <v>82.7</v>
      </c>
      <c r="I42" s="2"/>
      <c r="J42" s="7">
        <f t="shared" si="29"/>
        <v>3.825812912382269E-4</v>
      </c>
      <c r="K42" s="2"/>
      <c r="L42" s="6">
        <f t="shared" si="30"/>
        <v>-28.340000000000003</v>
      </c>
      <c r="M42" s="2"/>
      <c r="N42" s="7">
        <f t="shared" si="31"/>
        <v>-0.34268440145102785</v>
      </c>
      <c r="O42" s="11"/>
      <c r="P42" s="6">
        <v>2809.67</v>
      </c>
      <c r="Q42" s="2"/>
      <c r="R42" s="7">
        <f t="shared" si="32"/>
        <v>2.5335710997868325E-3</v>
      </c>
      <c r="S42" s="2"/>
      <c r="T42" s="6">
        <v>3181.16</v>
      </c>
      <c r="U42" s="2"/>
      <c r="V42" s="7">
        <f t="shared" si="33"/>
        <v>3.0979017226719844E-3</v>
      </c>
      <c r="W42" s="2"/>
      <c r="X42" s="6">
        <f t="shared" si="34"/>
        <v>-371.48999999999978</v>
      </c>
      <c r="Y42" s="2"/>
      <c r="Z42" s="7">
        <f t="shared" si="35"/>
        <v>-0.1167781563957801</v>
      </c>
    </row>
    <row r="43" spans="1:26" s="25" customFormat="1" outlineLevel="1" collapsed="1" x14ac:dyDescent="0.25">
      <c r="A43" s="27"/>
      <c r="B43" s="13" t="str">
        <f>CONCATENATE("     ","Bad Debts/Over/Short                              ")</f>
        <v xml:space="preserve">     Bad Debts/Over/Short                              </v>
      </c>
      <c r="C43" s="13"/>
      <c r="D43" s="1">
        <f>SUM(OSRRefD22_3x_0)</f>
        <v>-0.15</v>
      </c>
      <c r="E43" s="1"/>
      <c r="F43" s="5">
        <f t="shared" si="28"/>
        <v>-6.0256221505083924E-7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-0.15</v>
      </c>
      <c r="M43" s="1"/>
      <c r="N43" s="5">
        <f t="shared" si="31"/>
        <v>0</v>
      </c>
      <c r="O43" s="13"/>
      <c r="P43" s="1">
        <f>SUM(OSRRefP22_3x_0)</f>
        <v>13.18</v>
      </c>
      <c r="Q43" s="1"/>
      <c r="R43" s="5">
        <f t="shared" si="32"/>
        <v>1.1884835975467029E-5</v>
      </c>
      <c r="S43" s="1"/>
      <c r="T43" s="1">
        <f>SUM(OSRRefT22_3x_0)</f>
        <v>36.64</v>
      </c>
      <c r="U43" s="1"/>
      <c r="V43" s="5">
        <f t="shared" si="33"/>
        <v>3.5681046888148196E-5</v>
      </c>
      <c r="W43" s="1"/>
      <c r="X43" s="1">
        <f t="shared" si="34"/>
        <v>-23.46</v>
      </c>
      <c r="Y43" s="1"/>
      <c r="Z43" s="5">
        <f t="shared" si="35"/>
        <v>-0.64028384279475981</v>
      </c>
    </row>
    <row r="44" spans="1:26" s="24" customFormat="1" hidden="1" outlineLevel="2" x14ac:dyDescent="0.25">
      <c r="A44" s="26"/>
      <c r="B44" s="11" t="str">
        <f>CONCATENATE("          ", "6272", " - ", "CASH (OVER/SHORT)")</f>
        <v xml:space="preserve">          6272 - CASH (OVER/SHORT)</v>
      </c>
      <c r="C44" s="11"/>
      <c r="D44" s="6">
        <v>-0.15</v>
      </c>
      <c r="E44" s="2"/>
      <c r="F44" s="7">
        <f t="shared" si="28"/>
        <v>-6.0256221505083924E-7</v>
      </c>
      <c r="G44" s="2"/>
      <c r="H44" s="6"/>
      <c r="I44" s="2"/>
      <c r="J44" s="7">
        <f t="shared" si="29"/>
        <v>0</v>
      </c>
      <c r="K44" s="2"/>
      <c r="L44" s="6">
        <f t="shared" si="30"/>
        <v>-0.15</v>
      </c>
      <c r="M44" s="2"/>
      <c r="N44" s="7">
        <f t="shared" si="31"/>
        <v>0</v>
      </c>
      <c r="O44" s="11"/>
      <c r="P44" s="6">
        <v>13.18</v>
      </c>
      <c r="Q44" s="2"/>
      <c r="R44" s="7">
        <f t="shared" si="32"/>
        <v>1.1884835975467029E-5</v>
      </c>
      <c r="S44" s="2"/>
      <c r="T44" s="6">
        <v>36.64</v>
      </c>
      <c r="U44" s="2"/>
      <c r="V44" s="7">
        <f t="shared" si="33"/>
        <v>3.5681046888148196E-5</v>
      </c>
      <c r="W44" s="2"/>
      <c r="X44" s="6">
        <f t="shared" si="34"/>
        <v>-23.46</v>
      </c>
      <c r="Y44" s="2"/>
      <c r="Z44" s="7">
        <f t="shared" si="35"/>
        <v>-0.64028384279475981</v>
      </c>
    </row>
    <row r="45" spans="1:26" s="25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11.94</v>
      </c>
      <c r="E45" s="1"/>
      <c r="F45" s="5">
        <f t="shared" si="28"/>
        <v>4.7963952318046803E-5</v>
      </c>
      <c r="G45" s="1"/>
      <c r="H45" s="1">
        <f>SUM(OSRRefH22_4x_0)</f>
        <v>16.190000000000001</v>
      </c>
      <c r="I45" s="1"/>
      <c r="J45" s="5">
        <f t="shared" si="29"/>
        <v>7.4897111307701254E-5</v>
      </c>
      <c r="K45" s="1"/>
      <c r="L45" s="1">
        <f t="shared" si="30"/>
        <v>-4.2500000000000018</v>
      </c>
      <c r="M45" s="1"/>
      <c r="N45" s="5">
        <f t="shared" si="31"/>
        <v>-0.2625077208153182</v>
      </c>
      <c r="O45" s="13"/>
      <c r="P45" s="1">
        <f>SUM(OSRRefP22_4x_0)</f>
        <v>45.57</v>
      </c>
      <c r="Q45" s="1"/>
      <c r="R45" s="5">
        <f t="shared" si="32"/>
        <v>4.1091955645070757E-5</v>
      </c>
      <c r="S45" s="1"/>
      <c r="T45" s="1">
        <f>SUM(OSRRefT22_4x_0)</f>
        <v>89.06</v>
      </c>
      <c r="U45" s="1"/>
      <c r="V45" s="5">
        <f t="shared" si="33"/>
        <v>8.6729094865133153E-5</v>
      </c>
      <c r="W45" s="1"/>
      <c r="X45" s="1">
        <f t="shared" si="34"/>
        <v>-43.49</v>
      </c>
      <c r="Y45" s="1"/>
      <c r="Z45" s="5">
        <f t="shared" si="35"/>
        <v>-0.48832247922748712</v>
      </c>
    </row>
    <row r="46" spans="1:26" s="24" customFormat="1" hidden="1" outlineLevel="2" x14ac:dyDescent="0.25">
      <c r="A46" s="26"/>
      <c r="B46" s="11" t="str">
        <f>CONCATENATE("          ", "6381", " - ", "BANK/CREDIT CARD FEES")</f>
        <v xml:space="preserve">          6381 - BANK/CREDIT CARD FEES</v>
      </c>
      <c r="C46" s="11"/>
      <c r="D46" s="6">
        <v>11.94</v>
      </c>
      <c r="E46" s="2"/>
      <c r="F46" s="7">
        <f t="shared" si="28"/>
        <v>4.7963952318046803E-5</v>
      </c>
      <c r="G46" s="2"/>
      <c r="H46" s="6">
        <v>16.190000000000001</v>
      </c>
      <c r="I46" s="2"/>
      <c r="J46" s="7">
        <f t="shared" si="29"/>
        <v>7.4897111307701254E-5</v>
      </c>
      <c r="K46" s="2"/>
      <c r="L46" s="6">
        <f t="shared" si="30"/>
        <v>-4.2500000000000018</v>
      </c>
      <c r="M46" s="2"/>
      <c r="N46" s="7">
        <f t="shared" si="31"/>
        <v>-0.2625077208153182</v>
      </c>
      <c r="O46" s="11"/>
      <c r="P46" s="6">
        <v>45.57</v>
      </c>
      <c r="Q46" s="2"/>
      <c r="R46" s="7">
        <f t="shared" si="32"/>
        <v>4.1091955645070757E-5</v>
      </c>
      <c r="S46" s="2"/>
      <c r="T46" s="6">
        <v>89.06</v>
      </c>
      <c r="U46" s="2"/>
      <c r="V46" s="7">
        <f t="shared" si="33"/>
        <v>8.6729094865133153E-5</v>
      </c>
      <c r="W46" s="2"/>
      <c r="X46" s="6">
        <f t="shared" si="34"/>
        <v>-43.49</v>
      </c>
      <c r="Y46" s="2"/>
      <c r="Z46" s="7">
        <f t="shared" si="35"/>
        <v>-0.48832247922748712</v>
      </c>
    </row>
    <row r="47" spans="1:26" s="25" customFormat="1" outlineLevel="1" collapsed="1" x14ac:dyDescent="0.25">
      <c r="A47" s="27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SUM(OSRRefD22_5x_0)</f>
        <v>2747.89</v>
      </c>
      <c r="E47" s="1"/>
      <c r="F47" s="5">
        <f t="shared" si="28"/>
        <v>1.103849790077367E-2</v>
      </c>
      <c r="G47" s="1"/>
      <c r="H47" s="1">
        <f>SUM(OSRRefH22_5x_0)</f>
        <v>1908.27</v>
      </c>
      <c r="I47" s="1"/>
      <c r="J47" s="5">
        <f t="shared" si="29"/>
        <v>8.8279129459633756E-3</v>
      </c>
      <c r="K47" s="1"/>
      <c r="L47" s="1">
        <f t="shared" si="30"/>
        <v>839.61999999999989</v>
      </c>
      <c r="M47" s="1"/>
      <c r="N47" s="5">
        <f t="shared" si="31"/>
        <v>0.43999014814465454</v>
      </c>
      <c r="O47" s="13"/>
      <c r="P47" s="1">
        <f>SUM(OSRRefP22_5x_0)</f>
        <v>11788.16</v>
      </c>
      <c r="Q47" s="1"/>
      <c r="R47" s="5">
        <f t="shared" si="32"/>
        <v>1.0629768441013765E-2</v>
      </c>
      <c r="S47" s="1"/>
      <c r="T47" s="1">
        <f>SUM(OSRRefT22_5x_0)</f>
        <v>9157.8799999999992</v>
      </c>
      <c r="U47" s="1"/>
      <c r="V47" s="5">
        <f t="shared" si="33"/>
        <v>8.9181972073153551E-3</v>
      </c>
      <c r="W47" s="1"/>
      <c r="X47" s="1">
        <f t="shared" si="34"/>
        <v>2630.2800000000007</v>
      </c>
      <c r="Y47" s="1"/>
      <c r="Z47" s="5">
        <f t="shared" si="35"/>
        <v>0.28721494494358968</v>
      </c>
    </row>
    <row r="48" spans="1:26" s="24" customFormat="1" hidden="1" outlineLevel="2" x14ac:dyDescent="0.25">
      <c r="A48" s="26"/>
      <c r="B48" s="11" t="str">
        <f>CONCATENATE("          ", "6399", " - ", "DONATION-ON CAMPUS")</f>
        <v xml:space="preserve">          6399 - DONATION-ON CAMPUS</v>
      </c>
      <c r="C48" s="11"/>
      <c r="D48" s="6">
        <v>2747.89</v>
      </c>
      <c r="E48" s="2"/>
      <c r="F48" s="7">
        <f t="shared" si="28"/>
        <v>1.103849790077367E-2</v>
      </c>
      <c r="G48" s="2"/>
      <c r="H48" s="6">
        <v>1908.27</v>
      </c>
      <c r="I48" s="2"/>
      <c r="J48" s="7">
        <f t="shared" si="29"/>
        <v>8.8279129459633756E-3</v>
      </c>
      <c r="K48" s="2"/>
      <c r="L48" s="6">
        <f t="shared" si="30"/>
        <v>839.61999999999989</v>
      </c>
      <c r="M48" s="2"/>
      <c r="N48" s="7">
        <f t="shared" si="31"/>
        <v>0.43999014814465454</v>
      </c>
      <c r="O48" s="11"/>
      <c r="P48" s="6">
        <v>11788.16</v>
      </c>
      <c r="Q48" s="2"/>
      <c r="R48" s="7">
        <f t="shared" si="32"/>
        <v>1.0629768441013765E-2</v>
      </c>
      <c r="S48" s="2"/>
      <c r="T48" s="6">
        <v>9157.8799999999992</v>
      </c>
      <c r="U48" s="2"/>
      <c r="V48" s="7">
        <f t="shared" si="33"/>
        <v>8.9181972073153551E-3</v>
      </c>
      <c r="W48" s="2"/>
      <c r="X48" s="6">
        <f t="shared" si="34"/>
        <v>2630.2800000000007</v>
      </c>
      <c r="Y48" s="2"/>
      <c r="Z48" s="7">
        <f t="shared" si="35"/>
        <v>0.28721494494358968</v>
      </c>
    </row>
    <row r="49" spans="1:26" s="25" customFormat="1" outlineLevel="1" collapsed="1" x14ac:dyDescent="0.25">
      <c r="A49" s="27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3"/>
      <c r="P49" s="1">
        <f>SUM(OSRRefP22_6x_0)</f>
        <v>21.34</v>
      </c>
      <c r="Q49" s="1"/>
      <c r="R49" s="5">
        <f t="shared" si="32"/>
        <v>1.924297418182598E-5</v>
      </c>
      <c r="S49" s="1"/>
      <c r="T49" s="1">
        <f>SUM(OSRRefT22_6x_0)</f>
        <v>37.21</v>
      </c>
      <c r="U49" s="1"/>
      <c r="V49" s="5">
        <f t="shared" si="33"/>
        <v>3.6236128676528231E-5</v>
      </c>
      <c r="W49" s="1"/>
      <c r="X49" s="1">
        <f t="shared" si="34"/>
        <v>-15.870000000000001</v>
      </c>
      <c r="Y49" s="1"/>
      <c r="Z49" s="5">
        <f t="shared" si="35"/>
        <v>-0.4264982531577533</v>
      </c>
    </row>
    <row r="50" spans="1:26" s="24" customFormat="1" hidden="1" outlineLevel="2" x14ac:dyDescent="0.25">
      <c r="A50" s="26"/>
      <c r="B50" s="11" t="str">
        <f>CONCATENATE("          ", "6277", " - ", "EMPLOYEE APPRECIATION")</f>
        <v xml:space="preserve">          6277 - EMPLOYEE APPRECIATION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>
        <v>21.34</v>
      </c>
      <c r="Q50" s="2"/>
      <c r="R50" s="7">
        <f t="shared" si="32"/>
        <v>1.924297418182598E-5</v>
      </c>
      <c r="S50" s="2"/>
      <c r="T50" s="6">
        <v>37.21</v>
      </c>
      <c r="U50" s="2"/>
      <c r="V50" s="7">
        <f t="shared" si="33"/>
        <v>3.6236128676528231E-5</v>
      </c>
      <c r="W50" s="2"/>
      <c r="X50" s="6">
        <f t="shared" si="34"/>
        <v>-15.870000000000001</v>
      </c>
      <c r="Y50" s="2"/>
      <c r="Z50" s="7">
        <f t="shared" si="35"/>
        <v>-0.4264982531577533</v>
      </c>
    </row>
    <row r="51" spans="1:26" s="25" customFormat="1" outlineLevel="1" collapsed="1" x14ac:dyDescent="0.25">
      <c r="A51" s="27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0</v>
      </c>
      <c r="M51" s="1"/>
      <c r="N51" s="5">
        <f t="shared" si="31"/>
        <v>0</v>
      </c>
      <c r="O51" s="13"/>
      <c r="P51" s="1">
        <f>SUM(OSRRefP22_7x_0)</f>
        <v>0.01</v>
      </c>
      <c r="Q51" s="1"/>
      <c r="R51" s="5">
        <f t="shared" si="32"/>
        <v>9.0173262332830268E-9</v>
      </c>
      <c r="S51" s="1"/>
      <c r="T51" s="1">
        <f>SUM(OSRRefT22_7x_0)</f>
        <v>74.849999999999994</v>
      </c>
      <c r="U51" s="1"/>
      <c r="V51" s="5">
        <f t="shared" si="33"/>
        <v>7.2891003263588771E-5</v>
      </c>
      <c r="W51" s="1"/>
      <c r="X51" s="1">
        <f t="shared" si="34"/>
        <v>-74.839999999999989</v>
      </c>
      <c r="Y51" s="1"/>
      <c r="Z51" s="5">
        <f t="shared" si="35"/>
        <v>-0.99986639946559774</v>
      </c>
    </row>
    <row r="52" spans="1:26" s="24" customFormat="1" hidden="1" outlineLevel="2" x14ac:dyDescent="0.25">
      <c r="A52" s="26"/>
      <c r="B52" s="11" t="str">
        <f>CONCATENATE("          ", "6351", " - ", "EQUIPMENT RENTAL")</f>
        <v xml:space="preserve">          6351 - EQUIPMENT RENTAL</v>
      </c>
      <c r="C52" s="11"/>
      <c r="D52" s="6"/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0</v>
      </c>
      <c r="M52" s="2"/>
      <c r="N52" s="7">
        <f t="shared" si="31"/>
        <v>0</v>
      </c>
      <c r="O52" s="11"/>
      <c r="P52" s="6">
        <v>0.01</v>
      </c>
      <c r="Q52" s="2"/>
      <c r="R52" s="7">
        <f t="shared" si="32"/>
        <v>9.0173262332830268E-9</v>
      </c>
      <c r="S52" s="2"/>
      <c r="T52" s="6">
        <v>74.849999999999994</v>
      </c>
      <c r="U52" s="2"/>
      <c r="V52" s="7">
        <f t="shared" si="33"/>
        <v>7.2891003263588771E-5</v>
      </c>
      <c r="W52" s="2"/>
      <c r="X52" s="6">
        <f t="shared" si="34"/>
        <v>-74.839999999999989</v>
      </c>
      <c r="Y52" s="2"/>
      <c r="Z52" s="7">
        <f t="shared" si="35"/>
        <v>-0.99986639946559774</v>
      </c>
    </row>
    <row r="53" spans="1:26" s="25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23</v>
      </c>
      <c r="I53" s="1"/>
      <c r="J53" s="5">
        <f t="shared" si="29"/>
        <v>1.0640108462489985E-4</v>
      </c>
      <c r="K53" s="1"/>
      <c r="L53" s="1">
        <f t="shared" si="30"/>
        <v>-23</v>
      </c>
      <c r="M53" s="1"/>
      <c r="N53" s="5">
        <f t="shared" si="31"/>
        <v>-1</v>
      </c>
      <c r="O53" s="13"/>
      <c r="P53" s="1">
        <f>SUM(OSRRefP22_8x_0)</f>
        <v>1517.11</v>
      </c>
      <c r="Q53" s="1"/>
      <c r="R53" s="5">
        <f t="shared" si="32"/>
        <v>1.3680275801776012E-3</v>
      </c>
      <c r="S53" s="1"/>
      <c r="T53" s="1">
        <f>SUM(OSRRefT22_8x_0)</f>
        <v>1518.53</v>
      </c>
      <c r="U53" s="1"/>
      <c r="V53" s="5">
        <f t="shared" si="33"/>
        <v>1.4787865756293581E-3</v>
      </c>
      <c r="W53" s="1"/>
      <c r="X53" s="1">
        <f t="shared" si="34"/>
        <v>-1.4200000000000728</v>
      </c>
      <c r="Y53" s="1"/>
      <c r="Z53" s="5">
        <f t="shared" si="35"/>
        <v>-9.3511488083875373E-4</v>
      </c>
    </row>
    <row r="54" spans="1:26" s="24" customFormat="1" hidden="1" outlineLevel="2" x14ac:dyDescent="0.25">
      <c r="A54" s="26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8"/>
        <v>0</v>
      </c>
      <c r="G54" s="2"/>
      <c r="H54" s="6">
        <v>23</v>
      </c>
      <c r="I54" s="2"/>
      <c r="J54" s="7">
        <f t="shared" si="29"/>
        <v>1.0640108462489985E-4</v>
      </c>
      <c r="K54" s="2"/>
      <c r="L54" s="6">
        <f t="shared" si="30"/>
        <v>-23</v>
      </c>
      <c r="M54" s="2"/>
      <c r="N54" s="7">
        <f t="shared" si="31"/>
        <v>-1</v>
      </c>
      <c r="O54" s="11"/>
      <c r="P54" s="6">
        <v>1517.11</v>
      </c>
      <c r="Q54" s="2"/>
      <c r="R54" s="7">
        <f t="shared" si="32"/>
        <v>1.3680275801776012E-3</v>
      </c>
      <c r="S54" s="2"/>
      <c r="T54" s="6">
        <v>1518.53</v>
      </c>
      <c r="U54" s="2"/>
      <c r="V54" s="7">
        <f t="shared" si="33"/>
        <v>1.4787865756293581E-3</v>
      </c>
      <c r="W54" s="2"/>
      <c r="X54" s="6">
        <f t="shared" si="34"/>
        <v>-1.4200000000000728</v>
      </c>
      <c r="Y54" s="2"/>
      <c r="Z54" s="7">
        <f t="shared" si="35"/>
        <v>-9.3511488083875373E-4</v>
      </c>
    </row>
    <row r="55" spans="1:26" s="25" customFormat="1" outlineLevel="1" collapsed="1" x14ac:dyDescent="0.25">
      <c r="A55" s="27"/>
      <c r="B55" s="13" t="str">
        <f>CONCATENATE("     ","Insurance                                         ")</f>
        <v xml:space="preserve">     Insurance                                         </v>
      </c>
      <c r="C55" s="13"/>
      <c r="D55" s="1">
        <f>SUM(OSRRefD22_9x_0)</f>
        <v>5.9</v>
      </c>
      <c r="E55" s="1"/>
      <c r="F55" s="5">
        <f t="shared" si="28"/>
        <v>2.3700780458666346E-5</v>
      </c>
      <c r="G55" s="1"/>
      <c r="H55" s="1">
        <f>SUM(OSRRefH22_9x_0)</f>
        <v>4.93</v>
      </c>
      <c r="I55" s="1"/>
      <c r="J55" s="5">
        <f t="shared" si="29"/>
        <v>2.2806841182641576E-5</v>
      </c>
      <c r="K55" s="1"/>
      <c r="L55" s="1">
        <f t="shared" si="30"/>
        <v>0.97000000000000064</v>
      </c>
      <c r="M55" s="1"/>
      <c r="N55" s="5">
        <f t="shared" si="31"/>
        <v>0.19675456389452348</v>
      </c>
      <c r="O55" s="13"/>
      <c r="P55" s="1">
        <f>SUM(OSRRefP22_9x_0)</f>
        <v>29.5</v>
      </c>
      <c r="Q55" s="1"/>
      <c r="R55" s="5">
        <f t="shared" si="32"/>
        <v>2.6601112388184932E-5</v>
      </c>
      <c r="S55" s="1"/>
      <c r="T55" s="1">
        <f>SUM(OSRRefT22_9x_0)</f>
        <v>24.65</v>
      </c>
      <c r="U55" s="1"/>
      <c r="V55" s="5">
        <f t="shared" si="33"/>
        <v>2.4004852778189219E-5</v>
      </c>
      <c r="W55" s="1"/>
      <c r="X55" s="1">
        <f t="shared" si="34"/>
        <v>4.8500000000000014</v>
      </c>
      <c r="Y55" s="1"/>
      <c r="Z55" s="5">
        <f t="shared" si="35"/>
        <v>0.19675456389452339</v>
      </c>
    </row>
    <row r="56" spans="1:26" s="24" customFormat="1" hidden="1" outlineLevel="2" x14ac:dyDescent="0.25">
      <c r="A56" s="26"/>
      <c r="B56" s="11" t="str">
        <f>CONCATENATE("          ", "6314", " - ", "LIABILITY INSURANCE")</f>
        <v xml:space="preserve">          6314 - LIABILITY INSURANCE</v>
      </c>
      <c r="C56" s="11"/>
      <c r="D56" s="6">
        <v>5.9</v>
      </c>
      <c r="E56" s="2"/>
      <c r="F56" s="7">
        <f t="shared" si="28"/>
        <v>2.3700780458666346E-5</v>
      </c>
      <c r="G56" s="2"/>
      <c r="H56" s="6">
        <v>4.93</v>
      </c>
      <c r="I56" s="2"/>
      <c r="J56" s="7">
        <f t="shared" si="29"/>
        <v>2.2806841182641576E-5</v>
      </c>
      <c r="K56" s="2"/>
      <c r="L56" s="6">
        <f t="shared" si="30"/>
        <v>0.97000000000000064</v>
      </c>
      <c r="M56" s="2"/>
      <c r="N56" s="7">
        <f t="shared" si="31"/>
        <v>0.19675456389452348</v>
      </c>
      <c r="O56" s="11"/>
      <c r="P56" s="6">
        <v>29.5</v>
      </c>
      <c r="Q56" s="2"/>
      <c r="R56" s="7">
        <f t="shared" si="32"/>
        <v>2.6601112388184932E-5</v>
      </c>
      <c r="S56" s="2"/>
      <c r="T56" s="6">
        <v>24.65</v>
      </c>
      <c r="U56" s="2"/>
      <c r="V56" s="7">
        <f t="shared" si="33"/>
        <v>2.4004852778189219E-5</v>
      </c>
      <c r="W56" s="2"/>
      <c r="X56" s="6">
        <f t="shared" si="34"/>
        <v>4.8500000000000014</v>
      </c>
      <c r="Y56" s="2"/>
      <c r="Z56" s="7">
        <f t="shared" si="35"/>
        <v>0.19675456389452339</v>
      </c>
    </row>
    <row r="57" spans="1:26" s="25" customFormat="1" outlineLevel="1" collapsed="1" x14ac:dyDescent="0.25">
      <c r="A57" s="27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SUM(OSRRefD22_10x_0)</f>
        <v>19712.310000000001</v>
      </c>
      <c r="E57" s="1"/>
      <c r="F57" s="5">
        <f t="shared" si="28"/>
        <v>7.9185954515792065E-2</v>
      </c>
      <c r="G57" s="1"/>
      <c r="H57" s="1">
        <f>SUM(OSRRefH22_10x_0)</f>
        <v>16421.52</v>
      </c>
      <c r="I57" s="1"/>
      <c r="J57" s="5">
        <f t="shared" si="29"/>
        <v>7.5968153877803715E-2</v>
      </c>
      <c r="K57" s="1"/>
      <c r="L57" s="1">
        <f t="shared" si="30"/>
        <v>3290.7900000000009</v>
      </c>
      <c r="M57" s="1"/>
      <c r="N57" s="5">
        <f t="shared" si="31"/>
        <v>0.2003949695277904</v>
      </c>
      <c r="O57" s="13"/>
      <c r="P57" s="1">
        <f>SUM(OSRRefP22_10x_0)</f>
        <v>86060.49</v>
      </c>
      <c r="Q57" s="1"/>
      <c r="R57" s="5">
        <f t="shared" si="32"/>
        <v>7.7603551412619168E-2</v>
      </c>
      <c r="S57" s="1"/>
      <c r="T57" s="1">
        <f>SUM(OSRRefT22_10x_0)</f>
        <v>78138.540000000008</v>
      </c>
      <c r="U57" s="1"/>
      <c r="V57" s="5">
        <f t="shared" si="33"/>
        <v>7.6093474604569972E-2</v>
      </c>
      <c r="W57" s="1"/>
      <c r="X57" s="1">
        <f t="shared" si="34"/>
        <v>7921.9499999999971</v>
      </c>
      <c r="Y57" s="1"/>
      <c r="Z57" s="5">
        <f t="shared" si="35"/>
        <v>0.10138338904207829</v>
      </c>
    </row>
    <row r="58" spans="1:26" s="24" customFormat="1" hidden="1" outlineLevel="2" x14ac:dyDescent="0.25">
      <c r="A58" s="26"/>
      <c r="B58" s="11" t="str">
        <f>CONCATENATE("          ", "6387", " - ", "COMMISSION DUE HOUSING")</f>
        <v xml:space="preserve">          6387 - COMMISSION DUE HOUSING</v>
      </c>
      <c r="C58" s="11"/>
      <c r="D58" s="6">
        <v>19712.310000000001</v>
      </c>
      <c r="E58" s="2"/>
      <c r="F58" s="7">
        <f t="shared" si="28"/>
        <v>7.9185954515792065E-2</v>
      </c>
      <c r="G58" s="2"/>
      <c r="H58" s="6">
        <v>16421.52</v>
      </c>
      <c r="I58" s="2"/>
      <c r="J58" s="7">
        <f t="shared" si="29"/>
        <v>7.5968153877803715E-2</v>
      </c>
      <c r="K58" s="2"/>
      <c r="L58" s="6">
        <f t="shared" si="30"/>
        <v>3290.7900000000009</v>
      </c>
      <c r="M58" s="2"/>
      <c r="N58" s="7">
        <f t="shared" si="31"/>
        <v>0.2003949695277904</v>
      </c>
      <c r="O58" s="11"/>
      <c r="P58" s="6">
        <v>86060.49</v>
      </c>
      <c r="Q58" s="2"/>
      <c r="R58" s="7">
        <f t="shared" si="32"/>
        <v>7.7603551412619168E-2</v>
      </c>
      <c r="S58" s="2"/>
      <c r="T58" s="6">
        <v>78138.540000000008</v>
      </c>
      <c r="U58" s="2"/>
      <c r="V58" s="7">
        <f t="shared" si="33"/>
        <v>7.6093474604569972E-2</v>
      </c>
      <c r="W58" s="2"/>
      <c r="X58" s="6">
        <f t="shared" si="34"/>
        <v>7921.9499999999971</v>
      </c>
      <c r="Y58" s="2"/>
      <c r="Z58" s="7">
        <f t="shared" si="35"/>
        <v>0.10138338904207829</v>
      </c>
    </row>
    <row r="59" spans="1:26" s="25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SUM(OSRRefD22_11x_0)</f>
        <v>0</v>
      </c>
      <c r="E59" s="1"/>
      <c r="F59" s="5">
        <f t="shared" si="28"/>
        <v>0</v>
      </c>
      <c r="G59" s="1"/>
      <c r="H59" s="1">
        <f>SUM(OSRRefH22_11x_0)</f>
        <v>0</v>
      </c>
      <c r="I59" s="1"/>
      <c r="J59" s="5">
        <f t="shared" si="29"/>
        <v>0</v>
      </c>
      <c r="K59" s="1"/>
      <c r="L59" s="1">
        <f t="shared" si="30"/>
        <v>0</v>
      </c>
      <c r="M59" s="1"/>
      <c r="N59" s="5">
        <f t="shared" si="31"/>
        <v>0</v>
      </c>
      <c r="O59" s="13"/>
      <c r="P59" s="1">
        <f>SUM(OSRRefP22_11x_0)</f>
        <v>68.48</v>
      </c>
      <c r="Q59" s="1"/>
      <c r="R59" s="5">
        <f t="shared" si="32"/>
        <v>6.1750650045522181E-5</v>
      </c>
      <c r="S59" s="1"/>
      <c r="T59" s="1">
        <f>SUM(OSRRefT22_11x_0)</f>
        <v>-7303.82</v>
      </c>
      <c r="U59" s="1"/>
      <c r="V59" s="5">
        <f t="shared" si="33"/>
        <v>-7.1126622238699387E-3</v>
      </c>
      <c r="W59" s="1"/>
      <c r="X59" s="1">
        <f t="shared" si="34"/>
        <v>7372.2999999999993</v>
      </c>
      <c r="Y59" s="1"/>
      <c r="Z59" s="5">
        <f t="shared" si="35"/>
        <v>-1.0093759156167594</v>
      </c>
    </row>
    <row r="60" spans="1:26" s="24" customFormat="1" hidden="1" outlineLevel="2" x14ac:dyDescent="0.25">
      <c r="A60" s="26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/>
      <c r="Q60" s="2"/>
      <c r="R60" s="7">
        <f t="shared" si="32"/>
        <v>0</v>
      </c>
      <c r="S60" s="2"/>
      <c r="T60" s="6">
        <v>-7371.28</v>
      </c>
      <c r="U60" s="2"/>
      <c r="V60" s="7">
        <f t="shared" si="33"/>
        <v>-7.1783566404385653E-3</v>
      </c>
      <c r="W60" s="2"/>
      <c r="X60" s="6">
        <f t="shared" si="34"/>
        <v>7371.28</v>
      </c>
      <c r="Y60" s="2"/>
      <c r="Z60" s="7">
        <f t="shared" si="35"/>
        <v>-1</v>
      </c>
    </row>
    <row r="61" spans="1:26" s="24" customFormat="1" hidden="1" outlineLevel="2" x14ac:dyDescent="0.25">
      <c r="A61" s="26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68.48</v>
      </c>
      <c r="Q61" s="2"/>
      <c r="R61" s="7">
        <f t="shared" si="32"/>
        <v>6.1750650045522181E-5</v>
      </c>
      <c r="S61" s="2"/>
      <c r="T61" s="6">
        <v>67.459999999999994</v>
      </c>
      <c r="U61" s="2"/>
      <c r="V61" s="7">
        <f t="shared" si="33"/>
        <v>6.5694416568626556E-5</v>
      </c>
      <c r="W61" s="2"/>
      <c r="X61" s="6">
        <f t="shared" si="34"/>
        <v>1.0200000000000102</v>
      </c>
      <c r="Y61" s="2"/>
      <c r="Z61" s="7">
        <f t="shared" si="35"/>
        <v>1.5120071153276168E-2</v>
      </c>
    </row>
    <row r="62" spans="1:26" s="25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SUM(OSRRefD22_12x_0)</f>
        <v>5618.46</v>
      </c>
      <c r="E62" s="1"/>
      <c r="F62" s="5">
        <f t="shared" ref="F62:F65" si="36">IF(D$12=0,0,D62/D$12)</f>
        <v>2.2569811351830255E-2</v>
      </c>
      <c r="G62" s="1"/>
      <c r="H62" s="1">
        <f>SUM(OSRRefH22_12x_0)</f>
        <v>5427.42</v>
      </c>
      <c r="I62" s="1"/>
      <c r="J62" s="5">
        <f t="shared" ref="J62:J65" si="37">IF(H$12=0,0,H62/H$12)</f>
        <v>2.5107972813690174E-2</v>
      </c>
      <c r="K62" s="1"/>
      <c r="L62" s="1">
        <f t="shared" ref="L62:L65" si="38">+D62-H62</f>
        <v>191.03999999999996</v>
      </c>
      <c r="M62" s="1"/>
      <c r="N62" s="5">
        <f t="shared" ref="N62:N65" si="39">IF(H62=0,0,L62/H62)</f>
        <v>3.5199044850039239E-2</v>
      </c>
      <c r="O62" s="13"/>
      <c r="P62" s="1">
        <f>SUM(OSRRefP22_12x_0)</f>
        <v>31395.309999999998</v>
      </c>
      <c r="Q62" s="1"/>
      <c r="R62" s="5">
        <f t="shared" ref="R62:R65" si="40">IF(P$12=0,0,P62/P$12)</f>
        <v>2.8310175246505295E-2</v>
      </c>
      <c r="S62" s="1"/>
      <c r="T62" s="1">
        <f>SUM(OSRRefT22_12x_0)</f>
        <v>16910.879999999997</v>
      </c>
      <c r="U62" s="1"/>
      <c r="V62" s="5">
        <f t="shared" ref="V62:V65" si="41">IF(T$12=0,0,T62/T$12)</f>
        <v>1.6468283356982739E-2</v>
      </c>
      <c r="W62" s="1"/>
      <c r="X62" s="1">
        <f t="shared" ref="X62:X65" si="42">+P62-T62</f>
        <v>14484.43</v>
      </c>
      <c r="Y62" s="1"/>
      <c r="Z62" s="5">
        <f t="shared" ref="Z62:Z65" si="43">IF(T62=0,0,X62/T62)</f>
        <v>0.85651545040825805</v>
      </c>
    </row>
    <row r="63" spans="1:26" s="24" customFormat="1" hidden="1" outlineLevel="2" x14ac:dyDescent="0.25">
      <c r="A63" s="26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669.64</v>
      </c>
      <c r="E63" s="2"/>
      <c r="F63" s="7">
        <f t="shared" si="36"/>
        <v>2.6899984112442933E-3</v>
      </c>
      <c r="G63" s="2"/>
      <c r="H63" s="6">
        <v>669.64</v>
      </c>
      <c r="I63" s="2"/>
      <c r="J63" s="7">
        <f t="shared" si="37"/>
        <v>3.0978444481833886E-3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3498.2</v>
      </c>
      <c r="Q63" s="2"/>
      <c r="R63" s="7">
        <f t="shared" si="40"/>
        <v>3.1544410629270685E-3</v>
      </c>
      <c r="S63" s="2"/>
      <c r="T63" s="6">
        <v>3348.2</v>
      </c>
      <c r="U63" s="2"/>
      <c r="V63" s="7">
        <f t="shared" si="41"/>
        <v>3.2605699014983018E-3</v>
      </c>
      <c r="W63" s="2"/>
      <c r="X63" s="6">
        <f t="shared" si="42"/>
        <v>150</v>
      </c>
      <c r="Y63" s="2"/>
      <c r="Z63" s="7">
        <f t="shared" si="43"/>
        <v>4.4800191147482231E-2</v>
      </c>
    </row>
    <row r="64" spans="1:26" s="24" customFormat="1" hidden="1" outlineLevel="2" x14ac:dyDescent="0.25">
      <c r="A64" s="26"/>
      <c r="B64" s="11" t="str">
        <f>CONCATENATE("          ", "6285", " - ", "JANITORIAL SERVICES")</f>
        <v xml:space="preserve">          6285 - JANITORIAL SERVICES</v>
      </c>
      <c r="C64" s="11"/>
      <c r="D64" s="6">
        <v>3639.27</v>
      </c>
      <c r="E64" s="2"/>
      <c r="F64" s="7">
        <f t="shared" si="36"/>
        <v>1.4619243949120451E-2</v>
      </c>
      <c r="G64" s="2"/>
      <c r="H64" s="6">
        <v>3378.23</v>
      </c>
      <c r="I64" s="2"/>
      <c r="J64" s="7">
        <f t="shared" si="37"/>
        <v>1.5628145048364149E-2</v>
      </c>
      <c r="K64" s="2"/>
      <c r="L64" s="6">
        <f t="shared" si="38"/>
        <v>261.03999999999996</v>
      </c>
      <c r="M64" s="2"/>
      <c r="N64" s="7">
        <f t="shared" si="39"/>
        <v>7.7271233752586405E-2</v>
      </c>
      <c r="O64" s="11"/>
      <c r="P64" s="6">
        <v>19741.849999999999</v>
      </c>
      <c r="Q64" s="2"/>
      <c r="R64" s="7">
        <f t="shared" si="40"/>
        <v>1.7801870189853852E-2</v>
      </c>
      <c r="S64" s="2"/>
      <c r="T64" s="6">
        <v>8500.06</v>
      </c>
      <c r="U64" s="2"/>
      <c r="V64" s="7">
        <f t="shared" si="41"/>
        <v>8.2775938704168373E-3</v>
      </c>
      <c r="W64" s="2"/>
      <c r="X64" s="6">
        <f t="shared" si="42"/>
        <v>11241.789999999999</v>
      </c>
      <c r="Y64" s="2"/>
      <c r="Z64" s="7">
        <f t="shared" si="43"/>
        <v>1.3225541937351031</v>
      </c>
    </row>
    <row r="65" spans="1:26" s="24" customFormat="1" hidden="1" outlineLevel="2" x14ac:dyDescent="0.25">
      <c r="A65" s="26"/>
      <c r="B65" s="11" t="str">
        <f>CONCATENATE("          ", "6286", " - ", "LAUNDRY EXPENSE")</f>
        <v xml:space="preserve">          6286 - LAUNDRY EXPENSE</v>
      </c>
      <c r="C65" s="11"/>
      <c r="D65" s="6">
        <v>1309.55</v>
      </c>
      <c r="E65" s="2"/>
      <c r="F65" s="7">
        <f t="shared" si="36"/>
        <v>5.2605689914655097E-3</v>
      </c>
      <c r="G65" s="2"/>
      <c r="H65" s="6">
        <v>1379.55</v>
      </c>
      <c r="I65" s="2"/>
      <c r="J65" s="7">
        <f t="shared" si="37"/>
        <v>6.3819833171426341E-3</v>
      </c>
      <c r="K65" s="2"/>
      <c r="L65" s="6">
        <f t="shared" si="38"/>
        <v>-70</v>
      </c>
      <c r="M65" s="2"/>
      <c r="N65" s="7">
        <f t="shared" si="39"/>
        <v>-5.0741183719328765E-2</v>
      </c>
      <c r="O65" s="11"/>
      <c r="P65" s="6">
        <v>8155.26</v>
      </c>
      <c r="Q65" s="2"/>
      <c r="R65" s="7">
        <f t="shared" si="40"/>
        <v>7.353863993724374E-3</v>
      </c>
      <c r="S65" s="2"/>
      <c r="T65" s="6">
        <v>5062.62</v>
      </c>
      <c r="U65" s="2"/>
      <c r="V65" s="7">
        <f t="shared" si="41"/>
        <v>4.9301195850675987E-3</v>
      </c>
      <c r="W65" s="2"/>
      <c r="X65" s="6">
        <f t="shared" si="42"/>
        <v>3092.6400000000003</v>
      </c>
      <c r="Y65" s="2"/>
      <c r="Z65" s="7">
        <f t="shared" si="43"/>
        <v>0.61087737179563162</v>
      </c>
    </row>
    <row r="66" spans="1:26" s="25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SUM(OSRRefD22_13x_0)</f>
        <v>4288.7</v>
      </c>
      <c r="E66" s="1"/>
      <c r="F66" s="5">
        <f t="shared" ref="F66:F73" si="44">IF(D$12=0,0,D66/D$12)</f>
        <v>1.7228057144590227E-2</v>
      </c>
      <c r="G66" s="1"/>
      <c r="H66" s="1">
        <f>SUM(OSRRefH22_13x_0)</f>
        <v>2439.44</v>
      </c>
      <c r="I66" s="1"/>
      <c r="J66" s="5">
        <f t="shared" ref="J66:J73" si="45">IF(H$12=0,0,H66/H$12)</f>
        <v>1.1285176603363726E-2</v>
      </c>
      <c r="K66" s="1"/>
      <c r="L66" s="1">
        <f t="shared" ref="L66:L73" si="46">+D66-H66</f>
        <v>1849.2599999999998</v>
      </c>
      <c r="M66" s="1"/>
      <c r="N66" s="5">
        <f t="shared" ref="N66:N73" si="47">IF(H66=0,0,L66/H66)</f>
        <v>0.75806742531072691</v>
      </c>
      <c r="O66" s="13"/>
      <c r="P66" s="1">
        <f>SUM(OSRRefP22_13x_0)</f>
        <v>31057.52</v>
      </c>
      <c r="Q66" s="1"/>
      <c r="R66" s="5">
        <f t="shared" ref="R66:R73" si="48">IF(P$12=0,0,P66/P$12)</f>
        <v>2.8005578983671231E-2</v>
      </c>
      <c r="S66" s="1"/>
      <c r="T66" s="1">
        <f>SUM(OSRRefT22_13x_0)</f>
        <v>27170.839999999997</v>
      </c>
      <c r="U66" s="1"/>
      <c r="V66" s="5">
        <f t="shared" ref="V66:V73" si="49">IF(T$12=0,0,T66/T$12)</f>
        <v>2.6459716594715407E-2</v>
      </c>
      <c r="W66" s="1"/>
      <c r="X66" s="1">
        <f t="shared" ref="X66:X73" si="50">+P66-T66</f>
        <v>3886.6800000000039</v>
      </c>
      <c r="Y66" s="1"/>
      <c r="Z66" s="5">
        <f t="shared" ref="Z66:Z73" si="51">IF(T66=0,0,X66/T66)</f>
        <v>0.14304600078613708</v>
      </c>
    </row>
    <row r="67" spans="1:26" s="24" customFormat="1" hidden="1" outlineLevel="2" x14ac:dyDescent="0.25">
      <c r="A67" s="26"/>
      <c r="B67" s="11" t="str">
        <f>CONCATENATE("          ", "6234", " - ", "EXPENDABLE SUPPLIES &amp; EQUIPMEN")</f>
        <v xml:space="preserve">          6234 - EXPENDABLE SUPPLIES &amp; EQUIPMEN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/>
      <c r="Q67" s="2"/>
      <c r="R67" s="7">
        <f t="shared" si="48"/>
        <v>0</v>
      </c>
      <c r="S67" s="2"/>
      <c r="T67" s="6">
        <v>30.98</v>
      </c>
      <c r="U67" s="2"/>
      <c r="V67" s="7">
        <f t="shared" si="49"/>
        <v>3.0169182112304344E-5</v>
      </c>
      <c r="W67" s="2"/>
      <c r="X67" s="6">
        <f t="shared" si="50"/>
        <v>-30.98</v>
      </c>
      <c r="Y67" s="2"/>
      <c r="Z67" s="7">
        <f t="shared" si="51"/>
        <v>-1</v>
      </c>
    </row>
    <row r="68" spans="1:26" s="24" customFormat="1" hidden="1" outlineLevel="2" x14ac:dyDescent="0.25">
      <c r="A68" s="26"/>
      <c r="B68" s="11" t="str">
        <f>CONCATENATE("          ", "6237", " - ", "JANITORIAL SUPPLIES")</f>
        <v xml:space="preserve">          6237 - JANITORIAL SUPPLIES</v>
      </c>
      <c r="C68" s="11"/>
      <c r="D68" s="6">
        <v>2312.2199999999998</v>
      </c>
      <c r="E68" s="2"/>
      <c r="F68" s="7">
        <f t="shared" si="44"/>
        <v>9.2883760325656751E-3</v>
      </c>
      <c r="G68" s="2"/>
      <c r="H68" s="6">
        <v>1165.54</v>
      </c>
      <c r="I68" s="2"/>
      <c r="J68" s="7">
        <f t="shared" si="45"/>
        <v>5.3919443553785114E-3</v>
      </c>
      <c r="K68" s="2"/>
      <c r="L68" s="6">
        <f t="shared" si="46"/>
        <v>1146.6799999999998</v>
      </c>
      <c r="M68" s="2"/>
      <c r="N68" s="7">
        <f t="shared" si="47"/>
        <v>0.98381865916227662</v>
      </c>
      <c r="O68" s="11"/>
      <c r="P68" s="6">
        <v>8293.6200000000008</v>
      </c>
      <c r="Q68" s="2"/>
      <c r="R68" s="7">
        <f t="shared" si="48"/>
        <v>7.4786277194880792E-3</v>
      </c>
      <c r="S68" s="2"/>
      <c r="T68" s="6">
        <v>10779.3</v>
      </c>
      <c r="U68" s="2"/>
      <c r="V68" s="7">
        <f t="shared" si="49"/>
        <v>1.0497180914885803E-2</v>
      </c>
      <c r="W68" s="2"/>
      <c r="X68" s="6">
        <f t="shared" si="50"/>
        <v>-2485.6799999999985</v>
      </c>
      <c r="Y68" s="2"/>
      <c r="Z68" s="7">
        <f t="shared" si="51"/>
        <v>-0.2305975341627006</v>
      </c>
    </row>
    <row r="69" spans="1:26" s="24" customFormat="1" hidden="1" outlineLevel="2" x14ac:dyDescent="0.25">
      <c r="A69" s="26"/>
      <c r="B69" s="11" t="str">
        <f>CONCATENATE("          ", "6239", " - ", "KITCHEN SUPPLIES")</f>
        <v xml:space="preserve">          6239 - KITCHEN SUPPLIES</v>
      </c>
      <c r="C69" s="11"/>
      <c r="D69" s="6">
        <v>236</v>
      </c>
      <c r="E69" s="2"/>
      <c r="F69" s="7">
        <f t="shared" si="44"/>
        <v>9.480312183466537E-4</v>
      </c>
      <c r="G69" s="2"/>
      <c r="H69" s="6">
        <v>73.7</v>
      </c>
      <c r="I69" s="2"/>
      <c r="J69" s="7">
        <f t="shared" si="45"/>
        <v>3.4094608421109216E-4</v>
      </c>
      <c r="K69" s="2"/>
      <c r="L69" s="6">
        <f t="shared" si="46"/>
        <v>162.30000000000001</v>
      </c>
      <c r="M69" s="2"/>
      <c r="N69" s="7">
        <f t="shared" si="47"/>
        <v>2.2021709633649933</v>
      </c>
      <c r="O69" s="11"/>
      <c r="P69" s="6">
        <v>2498.77</v>
      </c>
      <c r="Q69" s="2"/>
      <c r="R69" s="7">
        <f t="shared" si="48"/>
        <v>2.2532224271940631E-3</v>
      </c>
      <c r="S69" s="2"/>
      <c r="T69" s="6">
        <v>2838.15</v>
      </c>
      <c r="U69" s="2"/>
      <c r="V69" s="7">
        <f t="shared" si="49"/>
        <v>2.7638690836680625E-3</v>
      </c>
      <c r="W69" s="2"/>
      <c r="X69" s="6">
        <f t="shared" si="50"/>
        <v>-339.38000000000011</v>
      </c>
      <c r="Y69" s="2"/>
      <c r="Z69" s="7">
        <f t="shared" si="51"/>
        <v>-0.11957789405070207</v>
      </c>
    </row>
    <row r="70" spans="1:26" s="24" customFormat="1" hidden="1" outlineLevel="2" x14ac:dyDescent="0.25">
      <c r="A70" s="26"/>
      <c r="B70" s="11" t="str">
        <f>CONCATENATE("          ", "6241", " - ", "OFFICE EXPENSE")</f>
        <v xml:space="preserve">          6241 - OFFICE EXPENSE</v>
      </c>
      <c r="C70" s="11"/>
      <c r="D70" s="6">
        <v>227.09</v>
      </c>
      <c r="E70" s="2"/>
      <c r="F70" s="7">
        <f t="shared" si="44"/>
        <v>9.1223902277263384E-4</v>
      </c>
      <c r="G70" s="2"/>
      <c r="H70" s="6">
        <v>103.99</v>
      </c>
      <c r="I70" s="2"/>
      <c r="J70" s="7">
        <f t="shared" si="45"/>
        <v>4.810716865279711E-4</v>
      </c>
      <c r="K70" s="2"/>
      <c r="L70" s="6">
        <f t="shared" si="46"/>
        <v>123.10000000000001</v>
      </c>
      <c r="M70" s="2"/>
      <c r="N70" s="7">
        <f t="shared" si="47"/>
        <v>1.1837676699682662</v>
      </c>
      <c r="O70" s="11"/>
      <c r="P70" s="6">
        <v>19976.929999999997</v>
      </c>
      <c r="Q70" s="2"/>
      <c r="R70" s="7">
        <f t="shared" si="48"/>
        <v>1.8013849494945867E-2</v>
      </c>
      <c r="S70" s="2"/>
      <c r="T70" s="6">
        <v>2244.44</v>
      </c>
      <c r="U70" s="2"/>
      <c r="V70" s="7">
        <f t="shared" si="49"/>
        <v>2.1856978405468161E-3</v>
      </c>
      <c r="W70" s="2"/>
      <c r="X70" s="6">
        <f t="shared" si="50"/>
        <v>17732.489999999998</v>
      </c>
      <c r="Y70" s="2"/>
      <c r="Z70" s="7">
        <f t="shared" si="51"/>
        <v>7.9006300012475261</v>
      </c>
    </row>
    <row r="71" spans="1:26" s="24" customFormat="1" hidden="1" outlineLevel="2" x14ac:dyDescent="0.25">
      <c r="A71" s="26"/>
      <c r="B71" s="11" t="str">
        <f>CONCATENATE("          ", "6243", " - ", "PAPER SUPPLIES")</f>
        <v xml:space="preserve">          6243 - PAPER SUPPLIES</v>
      </c>
      <c r="C71" s="11"/>
      <c r="D71" s="6">
        <v>1513.39</v>
      </c>
      <c r="E71" s="2"/>
      <c r="F71" s="7">
        <f t="shared" si="44"/>
        <v>6.0794108709052641E-3</v>
      </c>
      <c r="G71" s="2"/>
      <c r="H71" s="6">
        <v>1096.21</v>
      </c>
      <c r="I71" s="2"/>
      <c r="J71" s="7">
        <f t="shared" si="45"/>
        <v>5.0712144772461507E-3</v>
      </c>
      <c r="K71" s="2"/>
      <c r="L71" s="6">
        <f t="shared" si="46"/>
        <v>417.18000000000006</v>
      </c>
      <c r="M71" s="2"/>
      <c r="N71" s="7">
        <f t="shared" si="47"/>
        <v>0.38056576750805049</v>
      </c>
      <c r="O71" s="11"/>
      <c r="P71" s="6">
        <v>7878.38</v>
      </c>
      <c r="Q71" s="2"/>
      <c r="R71" s="7">
        <f t="shared" si="48"/>
        <v>7.1041922649772342E-3</v>
      </c>
      <c r="S71" s="2"/>
      <c r="T71" s="6">
        <v>7434.9</v>
      </c>
      <c r="U71" s="2"/>
      <c r="V71" s="7">
        <f t="shared" si="49"/>
        <v>7.2403115586433687E-3</v>
      </c>
      <c r="W71" s="2"/>
      <c r="X71" s="6">
        <f t="shared" si="50"/>
        <v>443.48000000000047</v>
      </c>
      <c r="Y71" s="2"/>
      <c r="Z71" s="7">
        <f t="shared" si="51"/>
        <v>5.964841490806877E-2</v>
      </c>
    </row>
    <row r="72" spans="1:26" s="24" customFormat="1" hidden="1" outlineLevel="2" x14ac:dyDescent="0.25">
      <c r="A72" s="26"/>
      <c r="B72" s="11" t="str">
        <f>CONCATENATE("          ", "6245", " - ", "PRINTING")</f>
        <v xml:space="preserve">          6245 - PRINTING</v>
      </c>
      <c r="C72" s="11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>
        <v>469.44</v>
      </c>
      <c r="Q72" s="2"/>
      <c r="R72" s="7">
        <f t="shared" si="48"/>
        <v>4.2330936269523845E-4</v>
      </c>
      <c r="S72" s="2"/>
      <c r="T72" s="6"/>
      <c r="U72" s="2"/>
      <c r="V72" s="7">
        <f t="shared" si="49"/>
        <v>0</v>
      </c>
      <c r="W72" s="2"/>
      <c r="X72" s="6">
        <f t="shared" si="50"/>
        <v>469.44</v>
      </c>
      <c r="Y72" s="2"/>
      <c r="Z72" s="7">
        <f t="shared" si="51"/>
        <v>0</v>
      </c>
    </row>
    <row r="73" spans="1:26" s="24" customFormat="1" hidden="1" outlineLevel="2" x14ac:dyDescent="0.25">
      <c r="A73" s="26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>
        <v>-8059.62</v>
      </c>
      <c r="Q73" s="2"/>
      <c r="R73" s="7">
        <f t="shared" si="48"/>
        <v>-7.2676222856292551E-3</v>
      </c>
      <c r="S73" s="2"/>
      <c r="T73" s="6">
        <v>3843.07</v>
      </c>
      <c r="U73" s="2"/>
      <c r="V73" s="7">
        <f t="shared" si="49"/>
        <v>3.7424880148590528E-3</v>
      </c>
      <c r="W73" s="2"/>
      <c r="X73" s="6">
        <f t="shared" si="50"/>
        <v>-11902.69</v>
      </c>
      <c r="Y73" s="2"/>
      <c r="Z73" s="7">
        <f t="shared" si="51"/>
        <v>-3.0971827211057827</v>
      </c>
    </row>
    <row r="74" spans="1:26" s="25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SUM(OSRRefD22_14x_0)</f>
        <v>113.05</v>
      </c>
      <c r="E74" s="1"/>
      <c r="F74" s="5">
        <f t="shared" ref="F74:F80" si="52">IF(D$12=0,0,D74/D$12)</f>
        <v>4.5413105607664916E-4</v>
      </c>
      <c r="G74" s="1"/>
      <c r="H74" s="1">
        <f>SUM(OSRRefH22_14x_0)</f>
        <v>230.75</v>
      </c>
      <c r="I74" s="1"/>
      <c r="J74" s="5">
        <f t="shared" ref="J74:J80" si="53">IF(H$12=0,0,H74/H$12)</f>
        <v>1.067480446834593E-3</v>
      </c>
      <c r="K74" s="1"/>
      <c r="L74" s="1">
        <f t="shared" ref="L74:L80" si="54">+D74-H74</f>
        <v>-117.7</v>
      </c>
      <c r="M74" s="1"/>
      <c r="N74" s="5">
        <f t="shared" ref="N74:N80" si="55">IF(H74=0,0,L74/H74)</f>
        <v>-0.5100758396533045</v>
      </c>
      <c r="O74" s="13"/>
      <c r="P74" s="1">
        <f>SUM(OSRRefP22_14x_0)</f>
        <v>676.6</v>
      </c>
      <c r="Q74" s="1"/>
      <c r="R74" s="5">
        <f t="shared" ref="R74:R80" si="56">IF(P$12=0,0,P74/P$12)</f>
        <v>6.1011229294392964E-4</v>
      </c>
      <c r="S74" s="1"/>
      <c r="T74" s="1">
        <f>SUM(OSRRefT22_14x_0)</f>
        <v>1015.2</v>
      </c>
      <c r="U74" s="1"/>
      <c r="V74" s="5">
        <f t="shared" ref="V74:V80" si="57">IF(T$12=0,0,T74/T$12)</f>
        <v>9.8862987993580931E-4</v>
      </c>
      <c r="W74" s="1"/>
      <c r="X74" s="1">
        <f t="shared" ref="X74:X80" si="58">+P74-T74</f>
        <v>-338.6</v>
      </c>
      <c r="Y74" s="1"/>
      <c r="Z74" s="5">
        <f t="shared" ref="Z74:Z80" si="59">IF(T74=0,0,X74/T74)</f>
        <v>-0.3335303388494878</v>
      </c>
    </row>
    <row r="75" spans="1:26" s="24" customFormat="1" hidden="1" outlineLevel="2" x14ac:dyDescent="0.25">
      <c r="A75" s="26"/>
      <c r="B75" s="11" t="str">
        <f>CONCATENATE("          ", "6309", " - ", "TELEPHONE")</f>
        <v xml:space="preserve">          6309 - TELEPHONE</v>
      </c>
      <c r="C75" s="11"/>
      <c r="D75" s="6">
        <v>113.05</v>
      </c>
      <c r="E75" s="2"/>
      <c r="F75" s="7">
        <f t="shared" si="52"/>
        <v>4.5413105607664916E-4</v>
      </c>
      <c r="G75" s="2"/>
      <c r="H75" s="6">
        <v>230.75</v>
      </c>
      <c r="I75" s="2"/>
      <c r="J75" s="7">
        <f t="shared" si="53"/>
        <v>1.067480446834593E-3</v>
      </c>
      <c r="K75" s="2"/>
      <c r="L75" s="6">
        <f t="shared" si="54"/>
        <v>-117.7</v>
      </c>
      <c r="M75" s="2"/>
      <c r="N75" s="7">
        <f t="shared" si="55"/>
        <v>-0.5100758396533045</v>
      </c>
      <c r="O75" s="11"/>
      <c r="P75" s="6">
        <v>676.6</v>
      </c>
      <c r="Q75" s="2"/>
      <c r="R75" s="7">
        <f t="shared" si="56"/>
        <v>6.1011229294392964E-4</v>
      </c>
      <c r="S75" s="2"/>
      <c r="T75" s="6">
        <v>1015.2</v>
      </c>
      <c r="U75" s="2"/>
      <c r="V75" s="7">
        <f t="shared" si="57"/>
        <v>9.8862987993580931E-4</v>
      </c>
      <c r="W75" s="2"/>
      <c r="X75" s="6">
        <f t="shared" si="58"/>
        <v>-338.6</v>
      </c>
      <c r="Y75" s="2"/>
      <c r="Z75" s="7">
        <f t="shared" si="59"/>
        <v>-0.3335303388494878</v>
      </c>
    </row>
    <row r="76" spans="1:26" s="25" customFormat="1" outlineLevel="1" collapsed="1" x14ac:dyDescent="0.25">
      <c r="A76" s="27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SUM(OSRRefD22_15x_0)</f>
        <v>400</v>
      </c>
      <c r="E76" s="1"/>
      <c r="F76" s="5">
        <f t="shared" si="52"/>
        <v>1.6068325734689046E-3</v>
      </c>
      <c r="G76" s="1"/>
      <c r="H76" s="1">
        <f>SUM(OSRRefH22_15x_0)</f>
        <v>96</v>
      </c>
      <c r="I76" s="1"/>
      <c r="J76" s="5">
        <f t="shared" si="53"/>
        <v>4.4410887495610374E-4</v>
      </c>
      <c r="K76" s="1"/>
      <c r="L76" s="1">
        <f t="shared" si="54"/>
        <v>304</v>
      </c>
      <c r="M76" s="1"/>
      <c r="N76" s="5">
        <f t="shared" si="55"/>
        <v>3.1666666666666665</v>
      </c>
      <c r="O76" s="13"/>
      <c r="P76" s="1">
        <f>SUM(OSRRefP22_15x_0)</f>
        <v>1555.78</v>
      </c>
      <c r="Q76" s="1"/>
      <c r="R76" s="5">
        <f t="shared" si="56"/>
        <v>1.4028975807217068E-3</v>
      </c>
      <c r="S76" s="1"/>
      <c r="T76" s="1">
        <f>SUM(OSRRefT22_15x_0)</f>
        <v>1328.84</v>
      </c>
      <c r="U76" s="1"/>
      <c r="V76" s="5">
        <f t="shared" si="57"/>
        <v>1.2940611994226761E-3</v>
      </c>
      <c r="W76" s="1"/>
      <c r="X76" s="1">
        <f t="shared" si="58"/>
        <v>226.94000000000005</v>
      </c>
      <c r="Y76" s="1"/>
      <c r="Z76" s="5">
        <f t="shared" si="59"/>
        <v>0.17078053038740562</v>
      </c>
    </row>
    <row r="77" spans="1:26" s="24" customFormat="1" hidden="1" outlineLevel="2" x14ac:dyDescent="0.25">
      <c r="A77" s="26"/>
      <c r="B77" s="11" t="str">
        <f>CONCATENATE("          ", "6376", " - ", "TRAINING")</f>
        <v xml:space="preserve">          6376 - TRAINING</v>
      </c>
      <c r="C77" s="11"/>
      <c r="D77" s="6">
        <v>400</v>
      </c>
      <c r="E77" s="2"/>
      <c r="F77" s="7">
        <f t="shared" si="52"/>
        <v>1.6068325734689046E-3</v>
      </c>
      <c r="G77" s="2"/>
      <c r="H77" s="6">
        <v>96</v>
      </c>
      <c r="I77" s="2"/>
      <c r="J77" s="7">
        <f t="shared" si="53"/>
        <v>4.4410887495610374E-4</v>
      </c>
      <c r="K77" s="2"/>
      <c r="L77" s="6">
        <f t="shared" si="54"/>
        <v>304</v>
      </c>
      <c r="M77" s="2"/>
      <c r="N77" s="7">
        <f t="shared" si="55"/>
        <v>3.1666666666666665</v>
      </c>
      <c r="O77" s="11"/>
      <c r="P77" s="6">
        <v>1555.78</v>
      </c>
      <c r="Q77" s="2"/>
      <c r="R77" s="7">
        <f t="shared" si="56"/>
        <v>1.4028975807217068E-3</v>
      </c>
      <c r="S77" s="2"/>
      <c r="T77" s="6">
        <v>1328.84</v>
      </c>
      <c r="U77" s="2"/>
      <c r="V77" s="7">
        <f t="shared" si="57"/>
        <v>1.2940611994226761E-3</v>
      </c>
      <c r="W77" s="2"/>
      <c r="X77" s="6">
        <f t="shared" si="58"/>
        <v>226.94000000000005</v>
      </c>
      <c r="Y77" s="2"/>
      <c r="Z77" s="7">
        <f t="shared" si="59"/>
        <v>0.17078053038740562</v>
      </c>
    </row>
    <row r="78" spans="1:26" s="25" customFormat="1" outlineLevel="1" collapsed="1" x14ac:dyDescent="0.25">
      <c r="A78" s="27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SUM(OSRRefD22_16x_0)</f>
        <v>0</v>
      </c>
      <c r="E78" s="1"/>
      <c r="F78" s="5">
        <f t="shared" si="52"/>
        <v>0</v>
      </c>
      <c r="G78" s="1"/>
      <c r="H78" s="1">
        <f>SUM(OSRRefH22_16x_0)</f>
        <v>55.15</v>
      </c>
      <c r="I78" s="1"/>
      <c r="J78" s="5">
        <f t="shared" si="53"/>
        <v>2.5513129639405331E-4</v>
      </c>
      <c r="K78" s="1"/>
      <c r="L78" s="1">
        <f t="shared" si="54"/>
        <v>-55.15</v>
      </c>
      <c r="M78" s="1"/>
      <c r="N78" s="5">
        <f t="shared" si="55"/>
        <v>-1</v>
      </c>
      <c r="O78" s="13"/>
      <c r="P78" s="1">
        <f>SUM(OSRRefP22_16x_0)</f>
        <v>79.510000000000005</v>
      </c>
      <c r="Q78" s="1"/>
      <c r="R78" s="5">
        <f t="shared" si="56"/>
        <v>7.1696760880833355E-5</v>
      </c>
      <c r="S78" s="1"/>
      <c r="T78" s="1">
        <f>SUM(OSRRefT22_16x_0)</f>
        <v>219.88</v>
      </c>
      <c r="U78" s="1"/>
      <c r="V78" s="5">
        <f t="shared" si="57"/>
        <v>2.1412523443684568E-4</v>
      </c>
      <c r="W78" s="1"/>
      <c r="X78" s="1">
        <f t="shared" si="58"/>
        <v>-140.37</v>
      </c>
      <c r="Y78" s="1"/>
      <c r="Z78" s="5">
        <f t="shared" si="59"/>
        <v>-0.63839366927414953</v>
      </c>
    </row>
    <row r="79" spans="1:26" s="24" customFormat="1" hidden="1" outlineLevel="2" x14ac:dyDescent="0.25">
      <c r="A79" s="26"/>
      <c r="B79" s="11" t="str">
        <f>CONCATENATE("          ", "6292", " - ", "TRAVEL/CONFERENCE")</f>
        <v xml:space="preserve">          6292 - TRAVEL/CONFERENCE</v>
      </c>
      <c r="C79" s="11"/>
      <c r="D79" s="6"/>
      <c r="E79" s="2"/>
      <c r="F79" s="7">
        <f t="shared" si="52"/>
        <v>0</v>
      </c>
      <c r="G79" s="2"/>
      <c r="H79" s="6"/>
      <c r="I79" s="2"/>
      <c r="J79" s="7">
        <f t="shared" si="53"/>
        <v>0</v>
      </c>
      <c r="K79" s="2"/>
      <c r="L79" s="6">
        <f t="shared" si="54"/>
        <v>0</v>
      </c>
      <c r="M79" s="2"/>
      <c r="N79" s="7">
        <f t="shared" si="55"/>
        <v>0</v>
      </c>
      <c r="O79" s="11"/>
      <c r="P79" s="6">
        <v>79.510000000000005</v>
      </c>
      <c r="Q79" s="2"/>
      <c r="R79" s="7">
        <f t="shared" si="56"/>
        <v>7.1696760880833355E-5</v>
      </c>
      <c r="S79" s="2"/>
      <c r="T79" s="6"/>
      <c r="U79" s="2"/>
      <c r="V79" s="7">
        <f t="shared" si="57"/>
        <v>0</v>
      </c>
      <c r="W79" s="2"/>
      <c r="X79" s="6">
        <f t="shared" si="58"/>
        <v>79.510000000000005</v>
      </c>
      <c r="Y79" s="2"/>
      <c r="Z79" s="7">
        <f t="shared" si="59"/>
        <v>0</v>
      </c>
    </row>
    <row r="80" spans="1:26" s="24" customFormat="1" hidden="1" outlineLevel="2" x14ac:dyDescent="0.25">
      <c r="A80" s="26"/>
      <c r="B80" s="11" t="str">
        <f>CONCATENATE("          ", "6294", " - ", "TRAVEL OPERATIONAL")</f>
        <v xml:space="preserve">          6294 - TRAVEL OPERATIONAL</v>
      </c>
      <c r="C80" s="11"/>
      <c r="D80" s="6"/>
      <c r="E80" s="2"/>
      <c r="F80" s="7">
        <f t="shared" si="52"/>
        <v>0</v>
      </c>
      <c r="G80" s="2"/>
      <c r="H80" s="6">
        <v>55.15</v>
      </c>
      <c r="I80" s="2"/>
      <c r="J80" s="7">
        <f t="shared" si="53"/>
        <v>2.5513129639405331E-4</v>
      </c>
      <c r="K80" s="2"/>
      <c r="L80" s="6">
        <f t="shared" si="54"/>
        <v>-55.15</v>
      </c>
      <c r="M80" s="2"/>
      <c r="N80" s="7">
        <f t="shared" si="55"/>
        <v>-1</v>
      </c>
      <c r="O80" s="11"/>
      <c r="P80" s="6"/>
      <c r="Q80" s="2"/>
      <c r="R80" s="7">
        <f t="shared" si="56"/>
        <v>0</v>
      </c>
      <c r="S80" s="2"/>
      <c r="T80" s="6">
        <v>219.88</v>
      </c>
      <c r="U80" s="2"/>
      <c r="V80" s="7">
        <f t="shared" si="57"/>
        <v>2.1412523443684568E-4</v>
      </c>
      <c r="W80" s="2"/>
      <c r="X80" s="6">
        <f t="shared" si="58"/>
        <v>-219.88</v>
      </c>
      <c r="Y80" s="2"/>
      <c r="Z80" s="7">
        <f t="shared" si="59"/>
        <v>-1</v>
      </c>
    </row>
    <row r="81" spans="1:26" s="53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8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9" t="s">
        <v>3</v>
      </c>
      <c r="C84" s="29"/>
      <c r="D84" s="21">
        <f>+D21-D23+D82</f>
        <v>61951.269999999975</v>
      </c>
      <c r="E84" s="14"/>
      <c r="F84" s="20">
        <f>IF(D$12=0,0,D84/D$12)</f>
        <v>0.24886329650941727</v>
      </c>
      <c r="G84" s="14"/>
      <c r="H84" s="21">
        <f>+H21-H23+H82</f>
        <v>72189.080000000031</v>
      </c>
      <c r="I84" s="14"/>
      <c r="J84" s="20">
        <f>IF(H$12=0,0,H84/H$12)</f>
        <v>0.3339563656553769</v>
      </c>
      <c r="K84" s="15"/>
      <c r="L84" s="21">
        <f>+D84-H84</f>
        <v>-10237.810000000056</v>
      </c>
      <c r="M84" s="15"/>
      <c r="N84" s="20">
        <f>IF(H84=0,0,L84/H84)</f>
        <v>-0.14181937212664369</v>
      </c>
      <c r="O84" s="28"/>
      <c r="P84" s="21">
        <f>+P21-P23+P82</f>
        <v>225176.59000000008</v>
      </c>
      <c r="Q84" s="14"/>
      <c r="R84" s="20">
        <f>IF(P$12=0,0,P84/P$12)</f>
        <v>0.20304907721282173</v>
      </c>
      <c r="S84" s="14"/>
      <c r="T84" s="21">
        <f>+T21-T23+T82</f>
        <v>276633.61999999988</v>
      </c>
      <c r="U84" s="14"/>
      <c r="V84" s="20">
        <f>IF(T$12=0,0,T84/T$12)</f>
        <v>0.26939348160639098</v>
      </c>
      <c r="W84" s="15"/>
      <c r="X84" s="21">
        <f>+P84-T84</f>
        <v>-51457.029999999795</v>
      </c>
      <c r="Y84" s="15"/>
      <c r="Z84" s="20">
        <f>IF(T84=0,0,X84/T84)</f>
        <v>-0.18601148334754039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30859.329999999998</v>
      </c>
      <c r="E86" s="4"/>
      <c r="F86" s="12">
        <f>IF(D$12=0,0,D86/D$12)</f>
        <v>0.12396444159856541</v>
      </c>
      <c r="G86" s="4"/>
      <c r="H86" s="4">
        <v>33594.659999999996</v>
      </c>
      <c r="I86" s="4"/>
      <c r="J86" s="12">
        <f>IF(H$12=0,0,H86/H$12)</f>
        <v>0.15541340267846684</v>
      </c>
      <c r="K86" s="4"/>
      <c r="L86" s="4">
        <f>+D86-H86</f>
        <v>-2735.3299999999981</v>
      </c>
      <c r="M86" s="4"/>
      <c r="N86" s="12">
        <f>IF(H86=0,0,L86/H86)</f>
        <v>-8.1421571166369847E-2</v>
      </c>
      <c r="O86" s="10"/>
      <c r="P86" s="4">
        <v>117433.06999999999</v>
      </c>
      <c r="Q86" s="4"/>
      <c r="R86" s="12">
        <f>IF(P$12=0,0,P86/P$12)</f>
        <v>0.1058932302765962</v>
      </c>
      <c r="S86" s="4"/>
      <c r="T86" s="4">
        <v>108050.32</v>
      </c>
      <c r="U86" s="4"/>
      <c r="V86" s="12">
        <f>IF(T$12=0,0,T86/T$12)</f>
        <v>0.10522239449234218</v>
      </c>
      <c r="W86" s="4"/>
      <c r="X86" s="4">
        <f>+P86-T86</f>
        <v>9382.7499999999854</v>
      </c>
      <c r="Y86" s="4"/>
      <c r="Z86" s="12">
        <f>IF(T86=0,0,X86/T86)</f>
        <v>8.683685527261728E-2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9" t="s">
        <v>4</v>
      </c>
      <c r="C88" s="29"/>
      <c r="D88" s="31">
        <f>+D84-D86</f>
        <v>31091.939999999977</v>
      </c>
      <c r="E88" s="14"/>
      <c r="F88" s="32">
        <f>IF(D$12=0,0,D88/D$12)</f>
        <v>0.12489885491085184</v>
      </c>
      <c r="G88" s="14"/>
      <c r="H88" s="31">
        <f>+H84-H86</f>
        <v>38594.420000000035</v>
      </c>
      <c r="I88" s="14"/>
      <c r="J88" s="32">
        <f>IF(H$12=0,0,H88/H$12)</f>
        <v>0.17854296297691005</v>
      </c>
      <c r="K88" s="15"/>
      <c r="L88" s="31">
        <f>D88-H88</f>
        <v>-7502.4800000000578</v>
      </c>
      <c r="M88" s="15"/>
      <c r="N88" s="32">
        <f>IF(H88=0,0,L88/H88)</f>
        <v>-0.19439286819182802</v>
      </c>
      <c r="O88" s="28"/>
      <c r="P88" s="31">
        <f>+P84-P86</f>
        <v>107743.52000000009</v>
      </c>
      <c r="Q88" s="14"/>
      <c r="R88" s="32">
        <f>IF(P$12=0,0,P88/P$12)</f>
        <v>9.7155846936225532E-2</v>
      </c>
      <c r="S88" s="14"/>
      <c r="T88" s="31">
        <f>+T84-T86</f>
        <v>168583.29999999987</v>
      </c>
      <c r="U88" s="14"/>
      <c r="V88" s="32">
        <f>IF(T$12=0,0,T88/T$12)</f>
        <v>0.16417108711404885</v>
      </c>
      <c r="W88" s="15"/>
      <c r="X88" s="31">
        <f>P88-T88</f>
        <v>-60839.779999999781</v>
      </c>
      <c r="Y88" s="15"/>
      <c r="Z88" s="32">
        <f>IF(T88=0,0,X88/T88)</f>
        <v>-0.36088853403628846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5</v>
      </c>
      <c r="C91" s="29"/>
      <c r="D91" s="34">
        <f>SUM(D88:D90)</f>
        <v>31091.939999999977</v>
      </c>
      <c r="E91" s="14"/>
      <c r="F91" s="30">
        <f>IF(D$12=0,0,D91/D$12)</f>
        <v>0.12489885491085184</v>
      </c>
      <c r="G91" s="14"/>
      <c r="H91" s="34">
        <f>SUM(H88:H90)</f>
        <v>38594.420000000035</v>
      </c>
      <c r="I91" s="14"/>
      <c r="J91" s="30">
        <f>IF(H$12=0,0,H91/H$12)</f>
        <v>0.17854296297691005</v>
      </c>
      <c r="K91" s="15"/>
      <c r="L91" s="34">
        <f>+D91-H91</f>
        <v>-7502.4800000000578</v>
      </c>
      <c r="M91" s="15"/>
      <c r="N91" s="30">
        <f>IF(H91=0,0,L91/H91)</f>
        <v>-0.19439286819182802</v>
      </c>
      <c r="O91" s="28"/>
      <c r="P91" s="34">
        <f>SUM(P88:P90)</f>
        <v>107743.52000000009</v>
      </c>
      <c r="Q91" s="14"/>
      <c r="R91" s="30">
        <f>IF(P$12=0,0,P91/P$12)</f>
        <v>9.7155846936225532E-2</v>
      </c>
      <c r="S91" s="14"/>
      <c r="T91" s="34">
        <f>SUM(T88:T90)</f>
        <v>168583.29999999987</v>
      </c>
      <c r="U91" s="14"/>
      <c r="V91" s="30">
        <f>IF(T$12=0,0,T91/T$12)</f>
        <v>0.16417108711404885</v>
      </c>
      <c r="W91" s="15"/>
      <c r="X91" s="34">
        <f>+P91-T91</f>
        <v>-60839.779999999781</v>
      </c>
      <c r="Y91" s="15"/>
      <c r="Z91" s="30">
        <f>IF(T91=0,0,X91/T91)</f>
        <v>-0.36088853403628846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9">
        <v>43815.492315243057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2" t="s">
        <v>313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1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7" t="s">
        <v>12</v>
      </c>
    </row>
    <row r="3" spans="1:26" x14ac:dyDescent="0.25">
      <c r="D3" s="57" t="s">
        <v>294</v>
      </c>
      <c r="E3" s="17"/>
      <c r="F3" s="48"/>
      <c r="G3" s="17"/>
      <c r="H3" s="17"/>
      <c r="I3" s="17"/>
      <c r="J3" s="38"/>
      <c r="K3" s="17"/>
      <c r="L3" s="17"/>
      <c r="M3" s="17"/>
      <c r="N3" s="48"/>
      <c r="O3" s="58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7" t="str">
        <f>CONCATENATE("Period ",RIGHT(202005,2),", ",2020)</f>
        <v>Period 05, 2020</v>
      </c>
      <c r="E4" s="17"/>
      <c r="F4" s="48"/>
      <c r="G4" s="17"/>
      <c r="H4" s="17"/>
      <c r="I4" s="17"/>
      <c r="J4" s="38"/>
      <c r="K4" s="17"/>
      <c r="L4" s="17"/>
      <c r="M4" s="17"/>
      <c r="N4" s="48"/>
      <c r="O4" s="58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43799</v>
      </c>
      <c r="E5" s="17"/>
      <c r="F5" s="48"/>
      <c r="G5" s="17"/>
      <c r="H5" s="17"/>
      <c r="I5" s="17"/>
      <c r="J5" s="38"/>
      <c r="K5" s="17"/>
      <c r="L5" s="17"/>
      <c r="M5" s="17"/>
      <c r="N5" s="48"/>
      <c r="O5" s="58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6"/>
      <c r="C6" s="46"/>
      <c r="D6" s="23" t="s">
        <v>296</v>
      </c>
      <c r="E6" s="17"/>
      <c r="F6" s="48"/>
      <c r="G6" s="17"/>
      <c r="H6" s="17"/>
      <c r="I6" s="17"/>
      <c r="J6" s="38"/>
      <c r="K6" s="17"/>
      <c r="L6" s="17"/>
      <c r="M6" s="17"/>
      <c r="N6" s="48"/>
      <c r="O6" s="56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7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7"/>
      <c r="W9" s="16"/>
      <c r="X9" s="16"/>
      <c r="Y9" s="16"/>
      <c r="Z9" s="39"/>
    </row>
    <row r="10" spans="1:26" x14ac:dyDescent="0.25">
      <c r="A10" s="10"/>
      <c r="B10" s="52"/>
      <c r="C10" s="10"/>
      <c r="D10" s="42" t="s">
        <v>10</v>
      </c>
      <c r="E10" s="36"/>
      <c r="F10" s="35" t="s">
        <v>14</v>
      </c>
      <c r="G10" s="36"/>
      <c r="H10" s="49" t="s">
        <v>306</v>
      </c>
      <c r="I10" s="36"/>
      <c r="J10" s="35" t="s">
        <v>14</v>
      </c>
      <c r="K10" s="10"/>
      <c r="L10" s="42" t="s">
        <v>11</v>
      </c>
      <c r="M10" s="10"/>
      <c r="N10" s="35" t="s">
        <v>15</v>
      </c>
      <c r="O10" s="10"/>
      <c r="P10" s="55" t="s">
        <v>10</v>
      </c>
      <c r="Q10" s="36"/>
      <c r="R10" s="35" t="s">
        <v>14</v>
      </c>
      <c r="S10" s="36"/>
      <c r="T10" s="49" t="s">
        <v>306</v>
      </c>
      <c r="U10" s="36"/>
      <c r="V10" s="35" t="s">
        <v>14</v>
      </c>
      <c r="W10" s="10"/>
      <c r="X10" s="42" t="s">
        <v>11</v>
      </c>
      <c r="Y10" s="10"/>
      <c r="Z10" s="35" t="s">
        <v>15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22315</v>
      </c>
      <c r="E12" s="4"/>
      <c r="F12" s="12"/>
      <c r="G12" s="4"/>
      <c r="H12" s="4">
        <f>SUM(OSRRefH13x_0)</f>
        <v>38574</v>
      </c>
      <c r="I12" s="4"/>
      <c r="J12" s="12"/>
      <c r="K12" s="4"/>
      <c r="L12" s="4">
        <f t="shared" ref="L12:L13" si="0">+D12-H12</f>
        <v>-16259</v>
      </c>
      <c r="M12" s="4"/>
      <c r="N12" s="12">
        <f t="shared" ref="N12:N13" si="1">IF(H12=0,0,L12/H12)</f>
        <v>-0.42150152952766112</v>
      </c>
      <c r="O12" s="10"/>
      <c r="P12" s="4">
        <f>SUM(OSRRefP13x_0)</f>
        <v>145451</v>
      </c>
      <c r="Q12" s="4"/>
      <c r="R12" s="12"/>
      <c r="S12" s="4"/>
      <c r="T12" s="4">
        <f>SUM(OSRRefT13x_0)</f>
        <v>160810</v>
      </c>
      <c r="U12" s="4"/>
      <c r="V12" s="12"/>
      <c r="W12" s="4"/>
      <c r="X12" s="4">
        <f t="shared" ref="X12:X13" si="2">+P12-T12</f>
        <v>-15359</v>
      </c>
      <c r="Y12" s="4"/>
      <c r="Z12" s="12">
        <f t="shared" ref="Z12:Z13" si="3">IF(T12=0,0,X12/T12)</f>
        <v>-9.5510229463341825E-2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--22315</f>
        <v>22315</v>
      </c>
      <c r="E13" s="2"/>
      <c r="F13" s="19"/>
      <c r="G13" s="2"/>
      <c r="H13" s="2">
        <f>--38574</f>
        <v>38574</v>
      </c>
      <c r="I13" s="2"/>
      <c r="J13" s="19"/>
      <c r="K13" s="2"/>
      <c r="L13" s="2">
        <f t="shared" si="0"/>
        <v>-16259</v>
      </c>
      <c r="M13" s="2"/>
      <c r="N13" s="19">
        <f t="shared" si="1"/>
        <v>-0.42150152952766112</v>
      </c>
      <c r="O13" s="11"/>
      <c r="P13" s="2">
        <f>--145451</f>
        <v>145451</v>
      </c>
      <c r="Q13" s="2"/>
      <c r="R13" s="19"/>
      <c r="S13" s="2"/>
      <c r="T13" s="2">
        <f>--160810</f>
        <v>160810</v>
      </c>
      <c r="U13" s="2"/>
      <c r="V13" s="19"/>
      <c r="W13" s="2"/>
      <c r="X13" s="2">
        <f t="shared" si="2"/>
        <v>-15359</v>
      </c>
      <c r="Y13" s="2"/>
      <c r="Z13" s="19">
        <f t="shared" si="3"/>
        <v>-9.5510229463341825E-2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1">
        <f>D12-D15</f>
        <v>22315</v>
      </c>
      <c r="E17" s="14"/>
      <c r="F17" s="20">
        <f>IF(D$12=0,0,D17/D$12)</f>
        <v>1</v>
      </c>
      <c r="G17" s="14"/>
      <c r="H17" s="21">
        <f>H12-H15</f>
        <v>38574</v>
      </c>
      <c r="I17" s="14"/>
      <c r="J17" s="20">
        <f>IF(H$12=0,0,H17/H$12)</f>
        <v>1</v>
      </c>
      <c r="K17" s="15"/>
      <c r="L17" s="21">
        <f>+D17-H17</f>
        <v>-16259</v>
      </c>
      <c r="M17" s="15"/>
      <c r="N17" s="20">
        <f>IF(H17=0,0,L17/H17)</f>
        <v>-0.42150152952766112</v>
      </c>
      <c r="O17" s="28"/>
      <c r="P17" s="21">
        <f>P12-P15</f>
        <v>145451</v>
      </c>
      <c r="Q17" s="14"/>
      <c r="R17" s="20">
        <f>IF(P$12=0,0,P17/P$12)</f>
        <v>1</v>
      </c>
      <c r="S17" s="14"/>
      <c r="T17" s="21">
        <f>T12-T15</f>
        <v>160810</v>
      </c>
      <c r="U17" s="14"/>
      <c r="V17" s="20">
        <f>IF(T$12=0,0,T17/T$12)</f>
        <v>1</v>
      </c>
      <c r="W17" s="15"/>
      <c r="X17" s="21">
        <f>+P17-T17</f>
        <v>-15359</v>
      </c>
      <c r="Y17" s="15"/>
      <c r="Z17" s="20">
        <f>IF(T17=0,0,X17/T17)</f>
        <v>-9.5510229463341825E-2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2">
        <f>SUM(OSRRefD22x_0)</f>
        <v>22180.92</v>
      </c>
      <c r="E19" s="22"/>
      <c r="F19" s="33">
        <f t="shared" ref="F19:F28" si="4">IF(D$12=0,0,D19/D$12)</f>
        <v>0.99399148554783767</v>
      </c>
      <c r="G19" s="22"/>
      <c r="H19" s="22">
        <f>SUM(OSRRefH22x_0)</f>
        <v>40341.759999999995</v>
      </c>
      <c r="I19" s="22"/>
      <c r="J19" s="33">
        <f t="shared" ref="J19:J28" si="5">IF(H$12=0,0,H19/H$12)</f>
        <v>1.0458277596308392</v>
      </c>
      <c r="K19" s="4"/>
      <c r="L19" s="22">
        <f t="shared" ref="L19:L28" si="6">+D19-H19</f>
        <v>-18160.839999999997</v>
      </c>
      <c r="M19" s="4"/>
      <c r="N19" s="33">
        <f t="shared" ref="N19:N28" si="7">IF(H19=0,0,L19/H19)</f>
        <v>-0.45017470730082176</v>
      </c>
      <c r="O19" s="10"/>
      <c r="P19" s="22">
        <f>SUM(OSRRefP22x_0)</f>
        <v>145240.64000000001</v>
      </c>
      <c r="Q19" s="22"/>
      <c r="R19" s="33">
        <f t="shared" ref="R19:R28" si="8">IF(P$12=0,0,P19/P$12)</f>
        <v>0.99855373974740647</v>
      </c>
      <c r="S19" s="22"/>
      <c r="T19" s="22">
        <f>SUM(OSRRefT22x_0)</f>
        <v>163012.08000000002</v>
      </c>
      <c r="U19" s="22"/>
      <c r="V19" s="33">
        <f t="shared" ref="V19:V28" si="9">IF(T$12=0,0,T19/T$12)</f>
        <v>1.0136936757664325</v>
      </c>
      <c r="W19" s="4"/>
      <c r="X19" s="22">
        <f t="shared" ref="X19:X28" si="10">+P19-T19</f>
        <v>-17771.440000000002</v>
      </c>
      <c r="Y19" s="4"/>
      <c r="Z19" s="33">
        <f t="shared" ref="Z19:Z28" si="11">IF(T19=0,0,X19/T19)</f>
        <v>-0.10901915980705235</v>
      </c>
    </row>
    <row r="20" spans="1:26" s="25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3933.82</v>
      </c>
      <c r="E20" s="1"/>
      <c r="F20" s="5">
        <f t="shared" si="4"/>
        <v>0.17628590634102623</v>
      </c>
      <c r="G20" s="1"/>
      <c r="H20" s="1">
        <f>SUM(OSRRefH22_0x_0)</f>
        <v>3640.79</v>
      </c>
      <c r="I20" s="1"/>
      <c r="J20" s="5">
        <f t="shared" si="5"/>
        <v>9.4384559547881997E-2</v>
      </c>
      <c r="K20" s="1"/>
      <c r="L20" s="1">
        <f t="shared" si="6"/>
        <v>293.0300000000002</v>
      </c>
      <c r="M20" s="1"/>
      <c r="N20" s="5">
        <f t="shared" si="7"/>
        <v>8.0485279293779702E-2</v>
      </c>
      <c r="O20" s="13"/>
      <c r="P20" s="1">
        <f>SUM(OSRRefP22_0x_0)</f>
        <v>23183.78</v>
      </c>
      <c r="Q20" s="1"/>
      <c r="R20" s="5">
        <f t="shared" si="8"/>
        <v>0.15939237268908429</v>
      </c>
      <c r="S20" s="1"/>
      <c r="T20" s="1">
        <f>SUM(OSRRefT22_0x_0)</f>
        <v>22369.06</v>
      </c>
      <c r="U20" s="1"/>
      <c r="V20" s="5">
        <f t="shared" si="9"/>
        <v>0.1391024190037933</v>
      </c>
      <c r="W20" s="1"/>
      <c r="X20" s="1">
        <f t="shared" si="10"/>
        <v>814.71999999999753</v>
      </c>
      <c r="Y20" s="1"/>
      <c r="Z20" s="5">
        <f t="shared" si="11"/>
        <v>3.6421736094408859E-2</v>
      </c>
    </row>
    <row r="21" spans="1:26" s="24" customFormat="1" hidden="1" outlineLevel="2" x14ac:dyDescent="0.25">
      <c r="A21" s="26"/>
      <c r="B21" s="11" t="str">
        <f>CONCATENATE("          ", "6111", " - ", "F.I.C.A.")</f>
        <v xml:space="preserve">          6111 - F.I.C.A.</v>
      </c>
      <c r="C21" s="11"/>
      <c r="D21" s="6">
        <v>933.75</v>
      </c>
      <c r="E21" s="2"/>
      <c r="F21" s="7">
        <f t="shared" si="4"/>
        <v>4.184405108671297E-2</v>
      </c>
      <c r="G21" s="2"/>
      <c r="H21" s="6">
        <v>734.6</v>
      </c>
      <c r="I21" s="2"/>
      <c r="J21" s="7">
        <f t="shared" si="5"/>
        <v>1.9043915590812466E-2</v>
      </c>
      <c r="K21" s="2"/>
      <c r="L21" s="6">
        <f t="shared" si="6"/>
        <v>199.14999999999998</v>
      </c>
      <c r="M21" s="2"/>
      <c r="N21" s="7">
        <f t="shared" si="7"/>
        <v>0.27109991832289676</v>
      </c>
      <c r="O21" s="11"/>
      <c r="P21" s="6">
        <v>5889.58</v>
      </c>
      <c r="Q21" s="2"/>
      <c r="R21" s="7">
        <f t="shared" si="8"/>
        <v>4.0491849488831291E-2</v>
      </c>
      <c r="S21" s="2"/>
      <c r="T21" s="6">
        <v>5326.91</v>
      </c>
      <c r="U21" s="2"/>
      <c r="V21" s="7">
        <f t="shared" si="9"/>
        <v>3.3125489708351469E-2</v>
      </c>
      <c r="W21" s="2"/>
      <c r="X21" s="6">
        <f t="shared" si="10"/>
        <v>562.67000000000007</v>
      </c>
      <c r="Y21" s="2"/>
      <c r="Z21" s="7">
        <f t="shared" si="11"/>
        <v>0.10562784053043886</v>
      </c>
    </row>
    <row r="22" spans="1:26" s="24" customFormat="1" hidden="1" outlineLevel="2" x14ac:dyDescent="0.25">
      <c r="A22" s="26"/>
      <c r="B22" s="11" t="str">
        <f>CONCATENATE("          ", "6112", " - ", "COMPENSATION INSURANCE")</f>
        <v xml:space="preserve">          6112 - COMPENSATION INSURANCE</v>
      </c>
      <c r="C22" s="11"/>
      <c r="D22" s="6">
        <v>53.23</v>
      </c>
      <c r="E22" s="2"/>
      <c r="F22" s="7">
        <f t="shared" si="4"/>
        <v>2.3853909926058701E-3</v>
      </c>
      <c r="G22" s="2"/>
      <c r="H22" s="6">
        <v>44.75</v>
      </c>
      <c r="I22" s="2"/>
      <c r="J22" s="7">
        <f t="shared" si="5"/>
        <v>1.1601078446622076E-3</v>
      </c>
      <c r="K22" s="2"/>
      <c r="L22" s="6">
        <f t="shared" si="6"/>
        <v>8.4799999999999969</v>
      </c>
      <c r="M22" s="2"/>
      <c r="N22" s="7">
        <f t="shared" si="7"/>
        <v>0.18949720670391054</v>
      </c>
      <c r="O22" s="11"/>
      <c r="P22" s="6">
        <v>216.64</v>
      </c>
      <c r="Q22" s="2"/>
      <c r="R22" s="7">
        <f t="shared" si="8"/>
        <v>1.4894363050099344E-3</v>
      </c>
      <c r="S22" s="2"/>
      <c r="T22" s="6">
        <v>297.76</v>
      </c>
      <c r="U22" s="2"/>
      <c r="V22" s="7">
        <f t="shared" si="9"/>
        <v>1.85162614265282E-3</v>
      </c>
      <c r="W22" s="2"/>
      <c r="X22" s="6">
        <f t="shared" si="10"/>
        <v>-81.12</v>
      </c>
      <c r="Y22" s="2"/>
      <c r="Z22" s="7">
        <f t="shared" si="11"/>
        <v>-0.27243417517463731</v>
      </c>
    </row>
    <row r="23" spans="1:26" s="24" customFormat="1" hidden="1" outlineLevel="2" x14ac:dyDescent="0.25">
      <c r="A23" s="26"/>
      <c r="B23" s="11" t="str">
        <f>CONCATENATE("          ", "6113", " - ", "GROUP INSURANCE")</f>
        <v xml:space="preserve">          6113 - GROUP INSURANCE</v>
      </c>
      <c r="C23" s="11"/>
      <c r="D23" s="6">
        <v>1243.31</v>
      </c>
      <c r="E23" s="2"/>
      <c r="F23" s="7">
        <f t="shared" si="4"/>
        <v>5.5716334304279629E-2</v>
      </c>
      <c r="G23" s="2"/>
      <c r="H23" s="6">
        <v>1243.31</v>
      </c>
      <c r="I23" s="2"/>
      <c r="J23" s="7">
        <f t="shared" si="5"/>
        <v>3.2231814175351273E-2</v>
      </c>
      <c r="K23" s="2"/>
      <c r="L23" s="6">
        <f t="shared" si="6"/>
        <v>0</v>
      </c>
      <c r="M23" s="2"/>
      <c r="N23" s="7">
        <f t="shared" si="7"/>
        <v>0</v>
      </c>
      <c r="O23" s="11"/>
      <c r="P23" s="6">
        <v>6216.55</v>
      </c>
      <c r="Q23" s="2"/>
      <c r="R23" s="7">
        <f t="shared" si="8"/>
        <v>4.2739823033186436E-2</v>
      </c>
      <c r="S23" s="2"/>
      <c r="T23" s="6">
        <v>6082.67</v>
      </c>
      <c r="U23" s="2"/>
      <c r="V23" s="7">
        <f t="shared" si="9"/>
        <v>3.7825197437970276E-2</v>
      </c>
      <c r="W23" s="2"/>
      <c r="X23" s="6">
        <f t="shared" si="10"/>
        <v>133.88000000000011</v>
      </c>
      <c r="Y23" s="2"/>
      <c r="Z23" s="7">
        <f t="shared" si="11"/>
        <v>2.2010071235164838E-2</v>
      </c>
    </row>
    <row r="24" spans="1:26" s="24" customFormat="1" hidden="1" outlineLevel="2" x14ac:dyDescent="0.25">
      <c r="A24" s="26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40.71</v>
      </c>
      <c r="E24" s="2"/>
      <c r="F24" s="7">
        <f t="shared" si="4"/>
        <v>1.8243334080215103E-3</v>
      </c>
      <c r="G24" s="2"/>
      <c r="H24" s="6">
        <v>37.49</v>
      </c>
      <c r="I24" s="2"/>
      <c r="J24" s="7">
        <f t="shared" si="5"/>
        <v>9.7189816975164624E-4</v>
      </c>
      <c r="K24" s="2"/>
      <c r="L24" s="6">
        <f t="shared" si="6"/>
        <v>3.2199999999999989</v>
      </c>
      <c r="M24" s="2"/>
      <c r="N24" s="7">
        <f t="shared" si="7"/>
        <v>8.5889570552147201E-2</v>
      </c>
      <c r="O24" s="11"/>
      <c r="P24" s="6">
        <v>234.92</v>
      </c>
      <c r="Q24" s="2"/>
      <c r="R24" s="7">
        <f t="shared" si="8"/>
        <v>1.61511436841273E-3</v>
      </c>
      <c r="S24" s="2"/>
      <c r="T24" s="6">
        <v>249.75</v>
      </c>
      <c r="U24" s="2"/>
      <c r="V24" s="7">
        <f t="shared" si="9"/>
        <v>1.5530750575212984E-3</v>
      </c>
      <c r="W24" s="2"/>
      <c r="X24" s="6">
        <f t="shared" si="10"/>
        <v>-14.830000000000013</v>
      </c>
      <c r="Y24" s="2"/>
      <c r="Z24" s="7">
        <f t="shared" si="11"/>
        <v>-5.9379379379379427E-2</v>
      </c>
    </row>
    <row r="25" spans="1:26" s="24" customFormat="1" hidden="1" outlineLevel="2" x14ac:dyDescent="0.25">
      <c r="A25" s="26"/>
      <c r="B25" s="11" t="str">
        <f>CONCATENATE("          ", "6115", " - ", "P.E.R.S.")</f>
        <v xml:space="preserve">          6115 - P.E.R.S.</v>
      </c>
      <c r="C25" s="11"/>
      <c r="D25" s="6">
        <v>639.47</v>
      </c>
      <c r="E25" s="2"/>
      <c r="F25" s="7">
        <f t="shared" si="4"/>
        <v>2.8656509074613489E-2</v>
      </c>
      <c r="G25" s="2"/>
      <c r="H25" s="6">
        <v>544.30999999999995</v>
      </c>
      <c r="I25" s="2"/>
      <c r="J25" s="7">
        <f t="shared" si="5"/>
        <v>1.4110800020739356E-2</v>
      </c>
      <c r="K25" s="2"/>
      <c r="L25" s="6">
        <f t="shared" si="6"/>
        <v>95.160000000000082</v>
      </c>
      <c r="M25" s="2"/>
      <c r="N25" s="7">
        <f t="shared" si="7"/>
        <v>0.17482684499641765</v>
      </c>
      <c r="O25" s="11"/>
      <c r="P25" s="6">
        <v>3967.77</v>
      </c>
      <c r="Q25" s="2"/>
      <c r="R25" s="7">
        <f t="shared" si="8"/>
        <v>2.7279083677664642E-2</v>
      </c>
      <c r="S25" s="2"/>
      <c r="T25" s="6">
        <v>3587.22</v>
      </c>
      <c r="U25" s="2"/>
      <c r="V25" s="7">
        <f t="shared" si="9"/>
        <v>2.2307194826192398E-2</v>
      </c>
      <c r="W25" s="2"/>
      <c r="X25" s="6">
        <f t="shared" si="10"/>
        <v>380.55000000000018</v>
      </c>
      <c r="Y25" s="2"/>
      <c r="Z25" s="7">
        <f t="shared" si="11"/>
        <v>0.10608493485205819</v>
      </c>
    </row>
    <row r="26" spans="1:26" s="24" customFormat="1" hidden="1" outlineLevel="2" x14ac:dyDescent="0.25">
      <c r="A26" s="26"/>
      <c r="B26" s="11" t="str">
        <f>CONCATENATE("          ", "6118", " - ", "VACATION")</f>
        <v xml:space="preserve">          6118 - VACATION</v>
      </c>
      <c r="C26" s="11"/>
      <c r="D26" s="6">
        <v>577.95000000000005</v>
      </c>
      <c r="E26" s="2"/>
      <c r="F26" s="7">
        <f t="shared" si="4"/>
        <v>2.5899619090298007E-2</v>
      </c>
      <c r="G26" s="2"/>
      <c r="H26" s="6">
        <v>534.38</v>
      </c>
      <c r="I26" s="2"/>
      <c r="J26" s="7">
        <f t="shared" si="5"/>
        <v>1.3853372738113755E-2</v>
      </c>
      <c r="K26" s="2"/>
      <c r="L26" s="6">
        <f t="shared" si="6"/>
        <v>43.57000000000005</v>
      </c>
      <c r="M26" s="2"/>
      <c r="N26" s="7">
        <f t="shared" si="7"/>
        <v>8.1533740035181046E-2</v>
      </c>
      <c r="O26" s="11"/>
      <c r="P26" s="6">
        <v>3914.94</v>
      </c>
      <c r="Q26" s="2"/>
      <c r="R26" s="7">
        <f t="shared" si="8"/>
        <v>2.6915868574296498E-2</v>
      </c>
      <c r="S26" s="2"/>
      <c r="T26" s="6">
        <v>3535.89</v>
      </c>
      <c r="U26" s="2"/>
      <c r="V26" s="7">
        <f t="shared" si="9"/>
        <v>2.1987998258814749E-2</v>
      </c>
      <c r="W26" s="2"/>
      <c r="X26" s="6">
        <f t="shared" si="10"/>
        <v>379.05000000000018</v>
      </c>
      <c r="Y26" s="2"/>
      <c r="Z26" s="7">
        <f t="shared" si="11"/>
        <v>0.10720073305447857</v>
      </c>
    </row>
    <row r="27" spans="1:26" s="24" customFormat="1" hidden="1" outlineLevel="2" x14ac:dyDescent="0.25">
      <c r="A27" s="26"/>
      <c r="B27" s="11" t="str">
        <f>CONCATENATE("          ", "6119", " - ", "SICK LEAVE")</f>
        <v xml:space="preserve">          6119 - SICK LEAVE</v>
      </c>
      <c r="C27" s="11"/>
      <c r="D27" s="6">
        <v>288.57</v>
      </c>
      <c r="E27" s="2"/>
      <c r="F27" s="7">
        <f t="shared" si="4"/>
        <v>1.2931660318171632E-2</v>
      </c>
      <c r="G27" s="2"/>
      <c r="H27" s="6">
        <v>353.46</v>
      </c>
      <c r="I27" s="2"/>
      <c r="J27" s="7">
        <f t="shared" si="5"/>
        <v>9.163166899984445E-3</v>
      </c>
      <c r="K27" s="2"/>
      <c r="L27" s="6">
        <f t="shared" si="6"/>
        <v>-64.889999999999986</v>
      </c>
      <c r="M27" s="2"/>
      <c r="N27" s="7">
        <f t="shared" si="7"/>
        <v>-0.18358512985910708</v>
      </c>
      <c r="O27" s="11"/>
      <c r="P27" s="6">
        <v>1977.13</v>
      </c>
      <c r="Q27" s="2"/>
      <c r="R27" s="7">
        <f t="shared" si="8"/>
        <v>1.3593100081814495E-2</v>
      </c>
      <c r="S27" s="2"/>
      <c r="T27" s="6">
        <v>1988.89</v>
      </c>
      <c r="U27" s="2"/>
      <c r="V27" s="7">
        <f t="shared" si="9"/>
        <v>1.236794975436851E-2</v>
      </c>
      <c r="W27" s="2"/>
      <c r="X27" s="6">
        <f t="shared" si="10"/>
        <v>-11.759999999999991</v>
      </c>
      <c r="Y27" s="2"/>
      <c r="Z27" s="7">
        <f t="shared" si="11"/>
        <v>-5.9128458587453256E-3</v>
      </c>
    </row>
    <row r="28" spans="1:26" s="24" customFormat="1" hidden="1" outlineLevel="2" x14ac:dyDescent="0.25">
      <c r="A28" s="26"/>
      <c r="B28" s="11" t="str">
        <f>CONCATENATE("          ", "6156", " - ", "EMPLOYEE MEALS")</f>
        <v xml:space="preserve">          6156 - EMPLOYEE MEALS</v>
      </c>
      <c r="C28" s="11"/>
      <c r="D28" s="6">
        <v>156.83000000000001</v>
      </c>
      <c r="E28" s="2"/>
      <c r="F28" s="7">
        <f t="shared" si="4"/>
        <v>7.028008066323102E-3</v>
      </c>
      <c r="G28" s="2"/>
      <c r="H28" s="6">
        <v>148.49</v>
      </c>
      <c r="I28" s="2"/>
      <c r="J28" s="7">
        <f t="shared" si="5"/>
        <v>3.8494841084668434E-3</v>
      </c>
      <c r="K28" s="2"/>
      <c r="L28" s="6">
        <f t="shared" si="6"/>
        <v>8.3400000000000034</v>
      </c>
      <c r="M28" s="2"/>
      <c r="N28" s="7">
        <f t="shared" si="7"/>
        <v>5.6165398343322799E-2</v>
      </c>
      <c r="O28" s="11"/>
      <c r="P28" s="6">
        <v>766.25</v>
      </c>
      <c r="Q28" s="2"/>
      <c r="R28" s="7">
        <f t="shared" si="8"/>
        <v>5.2680971598682716E-3</v>
      </c>
      <c r="S28" s="2"/>
      <c r="T28" s="6">
        <v>1299.97</v>
      </c>
      <c r="U28" s="2"/>
      <c r="V28" s="7">
        <f t="shared" si="9"/>
        <v>8.0838878179217716E-3</v>
      </c>
      <c r="W28" s="2"/>
      <c r="X28" s="6">
        <f t="shared" si="10"/>
        <v>-533.72</v>
      </c>
      <c r="Y28" s="2"/>
      <c r="Z28" s="7">
        <f t="shared" si="11"/>
        <v>-0.41056332069201601</v>
      </c>
    </row>
    <row r="29" spans="1:26" s="25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14847.91</v>
      </c>
      <c r="E29" s="1"/>
      <c r="F29" s="5">
        <f t="shared" ref="F29:F35" si="12">IF(D$12=0,0,D29/D$12)</f>
        <v>0.66537799686309651</v>
      </c>
      <c r="G29" s="1"/>
      <c r="H29" s="1">
        <f>SUM(OSRRefH22_1x_0)</f>
        <v>14271.539999999997</v>
      </c>
      <c r="I29" s="1"/>
      <c r="J29" s="5">
        <f t="shared" ref="J29:J35" si="13">IF(H$12=0,0,H29/H$12)</f>
        <v>0.3699782236739772</v>
      </c>
      <c r="K29" s="1"/>
      <c r="L29" s="1">
        <f t="shared" ref="L29:L35" si="14">+D29-H29</f>
        <v>576.37000000000262</v>
      </c>
      <c r="M29" s="1"/>
      <c r="N29" s="5">
        <f t="shared" ref="N29:N35" si="15">IF(H29=0,0,L29/H29)</f>
        <v>4.038597096038709E-2</v>
      </c>
      <c r="O29" s="13"/>
      <c r="P29" s="1">
        <f>SUM(OSRRefP22_1x_0)</f>
        <v>87099.37000000001</v>
      </c>
      <c r="Q29" s="1"/>
      <c r="R29" s="5">
        <f t="shared" ref="R29:R35" si="16">IF(P$12=0,0,P29/P$12)</f>
        <v>0.59882276505489829</v>
      </c>
      <c r="S29" s="1"/>
      <c r="T29" s="1">
        <f>SUM(OSRRefT22_1x_0)</f>
        <v>84379.18</v>
      </c>
      <c r="U29" s="1"/>
      <c r="V29" s="5">
        <f t="shared" ref="V29:V35" si="17">IF(T$12=0,0,T29/T$12)</f>
        <v>0.52471351284124113</v>
      </c>
      <c r="W29" s="1"/>
      <c r="X29" s="1">
        <f t="shared" ref="X29:X35" si="18">+P29-T29</f>
        <v>2720.1900000000169</v>
      </c>
      <c r="Y29" s="1"/>
      <c r="Z29" s="5">
        <f t="shared" ref="Z29:Z35" si="19">IF(T29=0,0,X29/T29)</f>
        <v>3.2237691809757066E-2</v>
      </c>
    </row>
    <row r="30" spans="1:26" s="24" customFormat="1" hidden="1" outlineLevel="2" x14ac:dyDescent="0.25">
      <c r="A30" s="26"/>
      <c r="B30" s="11" t="str">
        <f>CONCATENATE("          ", "6002", " - ", "STAFF SALARIES")</f>
        <v xml:space="preserve">          6002 - STAFF SALARIES</v>
      </c>
      <c r="C30" s="11"/>
      <c r="D30" s="6">
        <v>5943.64</v>
      </c>
      <c r="E30" s="2"/>
      <c r="F30" s="7">
        <f t="shared" si="12"/>
        <v>0.26635178131301818</v>
      </c>
      <c r="G30" s="2"/>
      <c r="H30" s="6">
        <v>5784.94</v>
      </c>
      <c r="I30" s="2"/>
      <c r="J30" s="7">
        <f t="shared" si="13"/>
        <v>0.14996992793073052</v>
      </c>
      <c r="K30" s="2"/>
      <c r="L30" s="6">
        <f t="shared" si="14"/>
        <v>158.70000000000073</v>
      </c>
      <c r="M30" s="2"/>
      <c r="N30" s="7">
        <f t="shared" si="15"/>
        <v>2.7433300950398923E-2</v>
      </c>
      <c r="O30" s="11"/>
      <c r="P30" s="6">
        <v>29181.88</v>
      </c>
      <c r="Q30" s="2"/>
      <c r="R30" s="7">
        <f t="shared" si="16"/>
        <v>0.200630315363937</v>
      </c>
      <c r="S30" s="2"/>
      <c r="T30" s="6">
        <v>29792.43</v>
      </c>
      <c r="U30" s="2"/>
      <c r="V30" s="7">
        <f t="shared" si="17"/>
        <v>0.18526478452832534</v>
      </c>
      <c r="W30" s="2"/>
      <c r="X30" s="6">
        <f t="shared" si="18"/>
        <v>-610.54999999999927</v>
      </c>
      <c r="Y30" s="2"/>
      <c r="Z30" s="7">
        <f t="shared" si="19"/>
        <v>-2.0493460922791435E-2</v>
      </c>
    </row>
    <row r="31" spans="1:26" s="24" customFormat="1" hidden="1" outlineLevel="2" x14ac:dyDescent="0.25">
      <c r="A31" s="26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12"/>
        <v>0</v>
      </c>
      <c r="G31" s="2"/>
      <c r="H31" s="6"/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11061</v>
      </c>
      <c r="U31" s="2"/>
      <c r="V31" s="7">
        <f t="shared" si="17"/>
        <v>6.8783035880853174E-2</v>
      </c>
      <c r="W31" s="2"/>
      <c r="X31" s="6">
        <f t="shared" si="18"/>
        <v>-11061</v>
      </c>
      <c r="Y31" s="2"/>
      <c r="Z31" s="7">
        <f t="shared" si="19"/>
        <v>-1</v>
      </c>
    </row>
    <row r="32" spans="1:26" s="24" customFormat="1" hidden="1" outlineLevel="2" x14ac:dyDescent="0.25">
      <c r="A32" s="26"/>
      <c r="B32" s="11" t="str">
        <f>CONCATENATE("          ", "6005", " - ", "TEMPORARY WAGES-HOURLY")</f>
        <v xml:space="preserve">          6005 - TEMPORARY WAGES-HOURLY</v>
      </c>
      <c r="C32" s="11"/>
      <c r="D32" s="6">
        <v>6413.45</v>
      </c>
      <c r="E32" s="2"/>
      <c r="F32" s="7">
        <f t="shared" si="12"/>
        <v>0.28740533273582791</v>
      </c>
      <c r="G32" s="2"/>
      <c r="H32" s="6">
        <v>3858.6</v>
      </c>
      <c r="I32" s="2"/>
      <c r="J32" s="7">
        <f t="shared" si="13"/>
        <v>0.1000311090371753</v>
      </c>
      <c r="K32" s="2"/>
      <c r="L32" s="6">
        <f t="shared" si="14"/>
        <v>2554.85</v>
      </c>
      <c r="M32" s="2"/>
      <c r="N32" s="7">
        <f t="shared" si="15"/>
        <v>0.6621183849064427</v>
      </c>
      <c r="O32" s="11"/>
      <c r="P32" s="6">
        <v>39096.04</v>
      </c>
      <c r="Q32" s="2"/>
      <c r="R32" s="7">
        <f t="shared" si="16"/>
        <v>0.26879182680077829</v>
      </c>
      <c r="S32" s="2"/>
      <c r="T32" s="6">
        <v>15827.68</v>
      </c>
      <c r="U32" s="2"/>
      <c r="V32" s="7">
        <f t="shared" si="17"/>
        <v>9.842472483054536E-2</v>
      </c>
      <c r="W32" s="2"/>
      <c r="X32" s="6">
        <f t="shared" si="18"/>
        <v>23268.36</v>
      </c>
      <c r="Y32" s="2"/>
      <c r="Z32" s="7">
        <f t="shared" si="19"/>
        <v>1.4701055366294997</v>
      </c>
    </row>
    <row r="33" spans="1:26" s="24" customFormat="1" hidden="1" outlineLevel="2" x14ac:dyDescent="0.25">
      <c r="A33" s="26"/>
      <c r="B33" s="11" t="str">
        <f>CONCATENATE("          ", "6006", " - ", "TEMPORARY PART TIME")</f>
        <v xml:space="preserve">          6006 - TEMPORARY PART TIME</v>
      </c>
      <c r="C33" s="11"/>
      <c r="D33" s="6"/>
      <c r="E33" s="2"/>
      <c r="F33" s="7">
        <f t="shared" si="12"/>
        <v>0</v>
      </c>
      <c r="G33" s="2"/>
      <c r="H33" s="6">
        <v>264.38</v>
      </c>
      <c r="I33" s="2"/>
      <c r="J33" s="7">
        <f t="shared" si="13"/>
        <v>6.8538393736713851E-3</v>
      </c>
      <c r="K33" s="2"/>
      <c r="L33" s="6">
        <f t="shared" si="14"/>
        <v>-264.38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4838.08</v>
      </c>
      <c r="U33" s="2"/>
      <c r="V33" s="7">
        <f t="shared" si="17"/>
        <v>3.0085691188358934E-2</v>
      </c>
      <c r="W33" s="2"/>
      <c r="X33" s="6">
        <f t="shared" si="18"/>
        <v>-4838.08</v>
      </c>
      <c r="Y33" s="2"/>
      <c r="Z33" s="7">
        <f t="shared" si="19"/>
        <v>-1</v>
      </c>
    </row>
    <row r="34" spans="1:26" s="24" customFormat="1" hidden="1" outlineLevel="2" x14ac:dyDescent="0.25">
      <c r="A34" s="26"/>
      <c r="B34" s="11" t="str">
        <f>CONCATENATE("          ", "6007", " - ", "STUDENT HOURLY")</f>
        <v xml:space="preserve">          6007 - STUDENT HOURLY</v>
      </c>
      <c r="C34" s="11"/>
      <c r="D34" s="6">
        <v>1780</v>
      </c>
      <c r="E34" s="2"/>
      <c r="F34" s="7">
        <f t="shared" si="12"/>
        <v>7.9766972888191803E-2</v>
      </c>
      <c r="G34" s="2"/>
      <c r="H34" s="6">
        <v>4193.12</v>
      </c>
      <c r="I34" s="2"/>
      <c r="J34" s="7">
        <f t="shared" si="13"/>
        <v>0.10870327163374294</v>
      </c>
      <c r="K34" s="2"/>
      <c r="L34" s="6">
        <f t="shared" si="14"/>
        <v>-2413.12</v>
      </c>
      <c r="M34" s="2"/>
      <c r="N34" s="7">
        <f t="shared" si="15"/>
        <v>-0.57549509672988131</v>
      </c>
      <c r="O34" s="11"/>
      <c r="P34" s="6">
        <v>15047.430000000002</v>
      </c>
      <c r="Q34" s="2"/>
      <c r="R34" s="7">
        <f t="shared" si="16"/>
        <v>0.10345360293157148</v>
      </c>
      <c r="S34" s="2"/>
      <c r="T34" s="6">
        <v>22689.489999999998</v>
      </c>
      <c r="U34" s="2"/>
      <c r="V34" s="7">
        <f t="shared" si="17"/>
        <v>0.14109501896648216</v>
      </c>
      <c r="W34" s="2"/>
      <c r="X34" s="6">
        <f t="shared" si="18"/>
        <v>-7642.0599999999959</v>
      </c>
      <c r="Y34" s="2"/>
      <c r="Z34" s="7">
        <f t="shared" si="19"/>
        <v>-0.33681056735960113</v>
      </c>
    </row>
    <row r="35" spans="1:26" s="24" customFormat="1" hidden="1" outlineLevel="2" x14ac:dyDescent="0.25">
      <c r="A35" s="26"/>
      <c r="B35" s="11" t="str">
        <f>CONCATENATE("          ", "6008", " - ", "STUDENT HOURLY-FICA EXEMPT")</f>
        <v xml:space="preserve">          6008 - STUDENT HOURLY-FICA EXEMPT</v>
      </c>
      <c r="C35" s="11"/>
      <c r="D35" s="6">
        <v>710.82</v>
      </c>
      <c r="E35" s="2"/>
      <c r="F35" s="7">
        <f t="shared" si="12"/>
        <v>3.1853909926058709E-2</v>
      </c>
      <c r="G35" s="2"/>
      <c r="H35" s="6">
        <v>170.5</v>
      </c>
      <c r="I35" s="2"/>
      <c r="J35" s="7">
        <f t="shared" si="13"/>
        <v>4.4200756986571268E-3</v>
      </c>
      <c r="K35" s="2"/>
      <c r="L35" s="6">
        <f t="shared" si="14"/>
        <v>540.32000000000005</v>
      </c>
      <c r="M35" s="2"/>
      <c r="N35" s="7">
        <f t="shared" si="15"/>
        <v>3.1690322580645165</v>
      </c>
      <c r="O35" s="11"/>
      <c r="P35" s="6">
        <v>3774.02</v>
      </c>
      <c r="Q35" s="2"/>
      <c r="R35" s="7">
        <f t="shared" si="16"/>
        <v>2.5947019958611491E-2</v>
      </c>
      <c r="S35" s="2"/>
      <c r="T35" s="6">
        <v>170.5</v>
      </c>
      <c r="U35" s="2"/>
      <c r="V35" s="7">
        <f t="shared" si="17"/>
        <v>1.0602574466762017E-3</v>
      </c>
      <c r="W35" s="2"/>
      <c r="X35" s="6">
        <f t="shared" si="18"/>
        <v>3603.52</v>
      </c>
      <c r="Y35" s="2"/>
      <c r="Z35" s="7">
        <f t="shared" si="19"/>
        <v>21.1350146627566</v>
      </c>
    </row>
    <row r="36" spans="1:26" s="25" customFormat="1" outlineLevel="1" collapsed="1" x14ac:dyDescent="0.25">
      <c r="A36" s="27"/>
      <c r="B36" s="13" t="str">
        <f>CONCATENATE("     ","Advertising/Promo                                 ")</f>
        <v xml:space="preserve">     Advertising/Promo                                 </v>
      </c>
      <c r="C36" s="13"/>
      <c r="D36" s="1">
        <f>SUM(OSRRefD22_2x_0)</f>
        <v>0</v>
      </c>
      <c r="E36" s="1"/>
      <c r="F36" s="5">
        <f t="shared" ref="F36:F54" si="20">IF(D$12=0,0,D36/D$12)</f>
        <v>0</v>
      </c>
      <c r="G36" s="1"/>
      <c r="H36" s="1">
        <f>SUM(OSRRefH22_2x_0)</f>
        <v>137.5</v>
      </c>
      <c r="I36" s="1"/>
      <c r="J36" s="5">
        <f t="shared" ref="J36:J54" si="21">IF(H$12=0,0,H36/H$12)</f>
        <v>3.5645771763363923E-3</v>
      </c>
      <c r="K36" s="1"/>
      <c r="L36" s="1">
        <f t="shared" ref="L36:L54" si="22">+D36-H36</f>
        <v>-137.5</v>
      </c>
      <c r="M36" s="1"/>
      <c r="N36" s="5">
        <f t="shared" ref="N36:N54" si="23">IF(H36=0,0,L36/H36)</f>
        <v>-1</v>
      </c>
      <c r="O36" s="13"/>
      <c r="P36" s="1">
        <f>SUM(OSRRefP22_2x_0)</f>
        <v>106.77</v>
      </c>
      <c r="Q36" s="1"/>
      <c r="R36" s="5">
        <f t="shared" ref="R36:R54" si="24">IF(P$12=0,0,P36/P$12)</f>
        <v>7.340616427525421E-4</v>
      </c>
      <c r="S36" s="1"/>
      <c r="T36" s="1">
        <f>SUM(OSRRefT22_2x_0)</f>
        <v>2487.94</v>
      </c>
      <c r="U36" s="1"/>
      <c r="V36" s="5">
        <f t="shared" ref="V36:V54" si="25">IF(T$12=0,0,T36/T$12)</f>
        <v>1.5471301535974131E-2</v>
      </c>
      <c r="W36" s="1"/>
      <c r="X36" s="1">
        <f t="shared" ref="X36:X54" si="26">+P36-T36</f>
        <v>-2381.17</v>
      </c>
      <c r="Y36" s="1"/>
      <c r="Z36" s="5">
        <f t="shared" ref="Z36:Z54" si="27">IF(T36=0,0,X36/T36)</f>
        <v>-0.95708497793355141</v>
      </c>
    </row>
    <row r="37" spans="1:26" s="24" customFormat="1" hidden="1" outlineLevel="2" x14ac:dyDescent="0.25">
      <c r="A37" s="26"/>
      <c r="B37" s="11" t="str">
        <f>CONCATENATE("          ", "6362", " - ", "ADVERTISING EXPENSE")</f>
        <v xml:space="preserve">          6362 - ADVERTISING EXPENSE</v>
      </c>
      <c r="C37" s="11"/>
      <c r="D37" s="6"/>
      <c r="E37" s="2"/>
      <c r="F37" s="7">
        <f t="shared" si="20"/>
        <v>0</v>
      </c>
      <c r="G37" s="2"/>
      <c r="H37" s="6">
        <v>137.5</v>
      </c>
      <c r="I37" s="2"/>
      <c r="J37" s="7">
        <f t="shared" si="21"/>
        <v>3.5645771763363923E-3</v>
      </c>
      <c r="K37" s="2"/>
      <c r="L37" s="6">
        <f t="shared" si="22"/>
        <v>-137.5</v>
      </c>
      <c r="M37" s="2"/>
      <c r="N37" s="7">
        <f t="shared" si="23"/>
        <v>-1</v>
      </c>
      <c r="O37" s="11"/>
      <c r="P37" s="6">
        <v>106.77</v>
      </c>
      <c r="Q37" s="2"/>
      <c r="R37" s="7">
        <f t="shared" si="24"/>
        <v>7.340616427525421E-4</v>
      </c>
      <c r="S37" s="2"/>
      <c r="T37" s="6">
        <v>2487.94</v>
      </c>
      <c r="U37" s="2"/>
      <c r="V37" s="7">
        <f t="shared" si="25"/>
        <v>1.5471301535974131E-2</v>
      </c>
      <c r="W37" s="2"/>
      <c r="X37" s="6">
        <f t="shared" si="26"/>
        <v>-2381.17</v>
      </c>
      <c r="Y37" s="2"/>
      <c r="Z37" s="7">
        <f t="shared" si="27"/>
        <v>-0.95708497793355141</v>
      </c>
    </row>
    <row r="38" spans="1:26" s="25" customFormat="1" outlineLevel="1" collapsed="1" x14ac:dyDescent="0.25">
      <c r="A38" s="27"/>
      <c r="B38" s="13" t="str">
        <f>CONCATENATE("     ","Bank/card Fees                                    ")</f>
        <v xml:space="preserve">     Bank/card Fees                                    </v>
      </c>
      <c r="C38" s="13"/>
      <c r="D38" s="1">
        <f>SUM(OSRRefD22_3x_0)</f>
        <v>2341.1</v>
      </c>
      <c r="E38" s="1"/>
      <c r="F38" s="5">
        <f t="shared" si="20"/>
        <v>0.10491149451041899</v>
      </c>
      <c r="G38" s="1"/>
      <c r="H38" s="1">
        <f>SUM(OSRRefH22_3x_0)</f>
        <v>2018.11</v>
      </c>
      <c r="I38" s="1"/>
      <c r="J38" s="5">
        <f t="shared" si="21"/>
        <v>5.2317882511536268E-2</v>
      </c>
      <c r="K38" s="1"/>
      <c r="L38" s="1">
        <f t="shared" si="22"/>
        <v>322.99</v>
      </c>
      <c r="M38" s="1"/>
      <c r="N38" s="5">
        <f t="shared" si="23"/>
        <v>0.16004578541308453</v>
      </c>
      <c r="O38" s="13"/>
      <c r="P38" s="1">
        <f>SUM(OSRRefP22_3x_0)</f>
        <v>10857.79</v>
      </c>
      <c r="Q38" s="1"/>
      <c r="R38" s="5">
        <f t="shared" si="24"/>
        <v>7.4649125822441931E-2</v>
      </c>
      <c r="S38" s="1"/>
      <c r="T38" s="1">
        <f>SUM(OSRRefT22_3x_0)</f>
        <v>10133.76</v>
      </c>
      <c r="U38" s="1"/>
      <c r="V38" s="5">
        <f t="shared" si="25"/>
        <v>6.3016976556184323E-2</v>
      </c>
      <c r="W38" s="1"/>
      <c r="X38" s="1">
        <f t="shared" si="26"/>
        <v>724.03000000000065</v>
      </c>
      <c r="Y38" s="1"/>
      <c r="Z38" s="5">
        <f t="shared" si="27"/>
        <v>7.1447320639131048E-2</v>
      </c>
    </row>
    <row r="39" spans="1:26" s="24" customFormat="1" hidden="1" outlineLevel="2" x14ac:dyDescent="0.25">
      <c r="A39" s="26"/>
      <c r="B39" s="11" t="str">
        <f>CONCATENATE("          ", "6381", " - ", "BANK/CREDIT CARD FEES")</f>
        <v xml:space="preserve">          6381 - BANK/CREDIT CARD FEES</v>
      </c>
      <c r="C39" s="11"/>
      <c r="D39" s="6">
        <v>2341.1</v>
      </c>
      <c r="E39" s="2"/>
      <c r="F39" s="7">
        <f t="shared" si="20"/>
        <v>0.10491149451041899</v>
      </c>
      <c r="G39" s="2"/>
      <c r="H39" s="6">
        <v>2018.11</v>
      </c>
      <c r="I39" s="2"/>
      <c r="J39" s="7">
        <f t="shared" si="21"/>
        <v>5.2317882511536268E-2</v>
      </c>
      <c r="K39" s="2"/>
      <c r="L39" s="6">
        <f t="shared" si="22"/>
        <v>322.99</v>
      </c>
      <c r="M39" s="2"/>
      <c r="N39" s="7">
        <f t="shared" si="23"/>
        <v>0.16004578541308453</v>
      </c>
      <c r="O39" s="11"/>
      <c r="P39" s="6">
        <v>10857.79</v>
      </c>
      <c r="Q39" s="2"/>
      <c r="R39" s="7">
        <f t="shared" si="24"/>
        <v>7.4649125822441931E-2</v>
      </c>
      <c r="S39" s="2"/>
      <c r="T39" s="6">
        <v>10133.76</v>
      </c>
      <c r="U39" s="2"/>
      <c r="V39" s="7">
        <f t="shared" si="25"/>
        <v>6.3016976556184323E-2</v>
      </c>
      <c r="W39" s="2"/>
      <c r="X39" s="6">
        <f t="shared" si="26"/>
        <v>724.03000000000065</v>
      </c>
      <c r="Y39" s="2"/>
      <c r="Z39" s="7">
        <f t="shared" si="27"/>
        <v>7.1447320639131048E-2</v>
      </c>
    </row>
    <row r="40" spans="1:26" s="25" customFormat="1" outlineLevel="1" collapsed="1" x14ac:dyDescent="0.25">
      <c r="A40" s="27"/>
      <c r="B40" s="13" t="str">
        <f>CONCATENATE("     ","Employees' Appreciation                           ")</f>
        <v xml:space="preserve">     Employees' Appreciation                           </v>
      </c>
      <c r="C40" s="13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</v>
      </c>
      <c r="M40" s="1"/>
      <c r="N40" s="5">
        <f t="shared" si="23"/>
        <v>0</v>
      </c>
      <c r="O40" s="13"/>
      <c r="P40" s="1">
        <f>SUM(OSRRefP22_4x_0)</f>
        <v>64.239999999999995</v>
      </c>
      <c r="Q40" s="1"/>
      <c r="R40" s="5">
        <f t="shared" si="24"/>
        <v>4.4166076548115857E-4</v>
      </c>
      <c r="S40" s="1"/>
      <c r="T40" s="1">
        <f>SUM(OSRRefT22_4x_0)</f>
        <v>0</v>
      </c>
      <c r="U40" s="1"/>
      <c r="V40" s="5">
        <f t="shared" si="25"/>
        <v>0</v>
      </c>
      <c r="W40" s="1"/>
      <c r="X40" s="1">
        <f t="shared" si="26"/>
        <v>64.239999999999995</v>
      </c>
      <c r="Y40" s="1"/>
      <c r="Z40" s="5">
        <f t="shared" si="27"/>
        <v>0</v>
      </c>
    </row>
    <row r="41" spans="1:26" s="24" customFormat="1" hidden="1" outlineLevel="2" x14ac:dyDescent="0.25">
      <c r="A41" s="26"/>
      <c r="B41" s="11" t="str">
        <f>CONCATENATE("          ", "6277", " - ", "EMPLOYEE APPRECIATION")</f>
        <v xml:space="preserve">          6277 - EMPLOYEE APPRECIATION</v>
      </c>
      <c r="C41" s="11"/>
      <c r="D41" s="6"/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64.239999999999995</v>
      </c>
      <c r="Q41" s="2"/>
      <c r="R41" s="7">
        <f t="shared" si="24"/>
        <v>4.4166076548115857E-4</v>
      </c>
      <c r="S41" s="2"/>
      <c r="T41" s="6"/>
      <c r="U41" s="2"/>
      <c r="V41" s="7">
        <f t="shared" si="25"/>
        <v>0</v>
      </c>
      <c r="W41" s="2"/>
      <c r="X41" s="6">
        <f t="shared" si="26"/>
        <v>64.239999999999995</v>
      </c>
      <c r="Y41" s="2"/>
      <c r="Z41" s="7">
        <f t="shared" si="27"/>
        <v>0</v>
      </c>
    </row>
    <row r="42" spans="1:26" s="25" customFormat="1" outlineLevel="1" collapsed="1" x14ac:dyDescent="0.25">
      <c r="A42" s="27"/>
      <c r="B42" s="13" t="str">
        <f>CONCATENATE("     ","Freight out/Postage                               ")</f>
        <v xml:space="preserve">     Freight out/Postage                               </v>
      </c>
      <c r="C42" s="13"/>
      <c r="D42" s="1">
        <f>SUM(OSRRefD22_5x_0)</f>
        <v>0</v>
      </c>
      <c r="E42" s="1"/>
      <c r="F42" s="5">
        <f t="shared" si="20"/>
        <v>0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3"/>
      <c r="P42" s="1">
        <f>SUM(OSRRefP22_5x_0)</f>
        <v>0</v>
      </c>
      <c r="Q42" s="1"/>
      <c r="R42" s="5">
        <f t="shared" si="24"/>
        <v>0</v>
      </c>
      <c r="S42" s="1"/>
      <c r="T42" s="1">
        <f>SUM(OSRRefT22_5x_0)</f>
        <v>21.12</v>
      </c>
      <c r="U42" s="1"/>
      <c r="V42" s="5">
        <f t="shared" si="25"/>
        <v>1.3133511597537468E-4</v>
      </c>
      <c r="W42" s="1"/>
      <c r="X42" s="1">
        <f t="shared" si="26"/>
        <v>-21.12</v>
      </c>
      <c r="Y42" s="1"/>
      <c r="Z42" s="5">
        <f t="shared" si="27"/>
        <v>-1</v>
      </c>
    </row>
    <row r="43" spans="1:26" s="24" customFormat="1" hidden="1" outlineLevel="2" x14ac:dyDescent="0.25">
      <c r="A43" s="26"/>
      <c r="B43" s="11" t="str">
        <f>CONCATENATE("          ", "6305", " - ", "FREIGHT OUT")</f>
        <v xml:space="preserve">          6305 - FREIGHT OUT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21.12</v>
      </c>
      <c r="U43" s="2"/>
      <c r="V43" s="7">
        <f t="shared" si="25"/>
        <v>1.3133511597537468E-4</v>
      </c>
      <c r="W43" s="2"/>
      <c r="X43" s="6">
        <f t="shared" si="26"/>
        <v>-21.12</v>
      </c>
      <c r="Y43" s="2"/>
      <c r="Z43" s="7">
        <f t="shared" si="27"/>
        <v>-1</v>
      </c>
    </row>
    <row r="44" spans="1:26" s="25" customFormat="1" outlineLevel="1" collapsed="1" x14ac:dyDescent="0.25">
      <c r="A44" s="27"/>
      <c r="B44" s="13" t="str">
        <f>CONCATENATE("     ","General                                           ")</f>
        <v xml:space="preserve">     General                                           </v>
      </c>
      <c r="C44" s="13"/>
      <c r="D44" s="1">
        <f>SUM(OSRRefD22_6x_0)</f>
        <v>0</v>
      </c>
      <c r="E44" s="1"/>
      <c r="F44" s="5">
        <f t="shared" si="20"/>
        <v>0</v>
      </c>
      <c r="G44" s="1"/>
      <c r="H44" s="1">
        <f>SUM(OSRRefH22_6x_0)</f>
        <v>-1600</v>
      </c>
      <c r="I44" s="1"/>
      <c r="J44" s="5">
        <f t="shared" si="21"/>
        <v>-4.1478716233732567E-2</v>
      </c>
      <c r="K44" s="1"/>
      <c r="L44" s="1">
        <f t="shared" si="22"/>
        <v>1600</v>
      </c>
      <c r="M44" s="1"/>
      <c r="N44" s="5">
        <f t="shared" si="23"/>
        <v>-1</v>
      </c>
      <c r="O44" s="13"/>
      <c r="P44" s="1">
        <f>SUM(OSRRefP22_6x_0)</f>
        <v>0</v>
      </c>
      <c r="Q44" s="1"/>
      <c r="R44" s="5">
        <f t="shared" si="24"/>
        <v>0</v>
      </c>
      <c r="S44" s="1"/>
      <c r="T44" s="1">
        <f>SUM(OSRRefT22_6x_0)</f>
        <v>301</v>
      </c>
      <c r="U44" s="1"/>
      <c r="V44" s="5">
        <f t="shared" si="25"/>
        <v>1.8717741433990423E-3</v>
      </c>
      <c r="W44" s="1"/>
      <c r="X44" s="1">
        <f t="shared" si="26"/>
        <v>-301</v>
      </c>
      <c r="Y44" s="1"/>
      <c r="Z44" s="5">
        <f t="shared" si="27"/>
        <v>-1</v>
      </c>
    </row>
    <row r="45" spans="1:26" s="24" customFormat="1" hidden="1" outlineLevel="2" x14ac:dyDescent="0.25">
      <c r="A45" s="26"/>
      <c r="B45" s="11" t="str">
        <f>CONCATENATE("          ", "6279", " - ", "GENERAL EXPENSE")</f>
        <v xml:space="preserve">          6279 - GENERAL EXPENSE</v>
      </c>
      <c r="C45" s="11"/>
      <c r="D45" s="6"/>
      <c r="E45" s="2"/>
      <c r="F45" s="7">
        <f t="shared" si="20"/>
        <v>0</v>
      </c>
      <c r="G45" s="2"/>
      <c r="H45" s="6">
        <v>-1600</v>
      </c>
      <c r="I45" s="2"/>
      <c r="J45" s="7">
        <f t="shared" si="21"/>
        <v>-4.1478716233732567E-2</v>
      </c>
      <c r="K45" s="2"/>
      <c r="L45" s="6">
        <f t="shared" si="22"/>
        <v>1600</v>
      </c>
      <c r="M45" s="2"/>
      <c r="N45" s="7">
        <f t="shared" si="23"/>
        <v>-1</v>
      </c>
      <c r="O45" s="11"/>
      <c r="P45" s="6"/>
      <c r="Q45" s="2"/>
      <c r="R45" s="7">
        <f t="shared" si="24"/>
        <v>0</v>
      </c>
      <c r="S45" s="2"/>
      <c r="T45" s="6">
        <v>301</v>
      </c>
      <c r="U45" s="2"/>
      <c r="V45" s="7">
        <f t="shared" si="25"/>
        <v>1.8717741433990423E-3</v>
      </c>
      <c r="W45" s="2"/>
      <c r="X45" s="6">
        <f t="shared" si="26"/>
        <v>-301</v>
      </c>
      <c r="Y45" s="2"/>
      <c r="Z45" s="7">
        <f t="shared" si="27"/>
        <v>-1</v>
      </c>
    </row>
    <row r="46" spans="1:26" s="25" customFormat="1" outlineLevel="1" collapsed="1" x14ac:dyDescent="0.25">
      <c r="A46" s="27"/>
      <c r="B46" s="13" t="str">
        <f>CONCATENATE("     ","Insurance                                         ")</f>
        <v xml:space="preserve">     Insurance                                         </v>
      </c>
      <c r="C46" s="13"/>
      <c r="D46" s="1">
        <f>SUM(OSRRefD22_7x_0)</f>
        <v>29.01</v>
      </c>
      <c r="E46" s="1"/>
      <c r="F46" s="5">
        <f t="shared" si="20"/>
        <v>1.3000224064530586E-3</v>
      </c>
      <c r="G46" s="1"/>
      <c r="H46" s="1">
        <f>SUM(OSRRefH22_7x_0)</f>
        <v>27.33</v>
      </c>
      <c r="I46" s="1"/>
      <c r="J46" s="5">
        <f t="shared" si="21"/>
        <v>7.0850832166744436E-4</v>
      </c>
      <c r="K46" s="1"/>
      <c r="L46" s="1">
        <f t="shared" si="22"/>
        <v>1.6800000000000033</v>
      </c>
      <c r="M46" s="1"/>
      <c r="N46" s="5">
        <f t="shared" si="23"/>
        <v>6.1470911086718018E-2</v>
      </c>
      <c r="O46" s="13"/>
      <c r="P46" s="1">
        <f>SUM(OSRRefP22_7x_0)</f>
        <v>145.05000000000001</v>
      </c>
      <c r="Q46" s="1"/>
      <c r="R46" s="5">
        <f t="shared" si="24"/>
        <v>9.9724305779953391E-4</v>
      </c>
      <c r="S46" s="1"/>
      <c r="T46" s="1">
        <f>SUM(OSRRefT22_7x_0)</f>
        <v>136.65</v>
      </c>
      <c r="U46" s="1"/>
      <c r="V46" s="5">
        <f t="shared" si="25"/>
        <v>8.4976058702816997E-4</v>
      </c>
      <c r="W46" s="1"/>
      <c r="X46" s="1">
        <f t="shared" si="26"/>
        <v>8.4000000000000057</v>
      </c>
      <c r="Y46" s="1"/>
      <c r="Z46" s="5">
        <f t="shared" si="27"/>
        <v>6.1470911086717935E-2</v>
      </c>
    </row>
    <row r="47" spans="1:26" s="24" customFormat="1" hidden="1" outlineLevel="2" x14ac:dyDescent="0.25">
      <c r="A47" s="26"/>
      <c r="B47" s="11" t="str">
        <f>CONCATENATE("          ", "6314", " - ", "LIABILITY INSURANCE")</f>
        <v xml:space="preserve">          6314 - LIABILITY INSURANCE</v>
      </c>
      <c r="C47" s="11"/>
      <c r="D47" s="6">
        <v>29.01</v>
      </c>
      <c r="E47" s="2"/>
      <c r="F47" s="7">
        <f t="shared" si="20"/>
        <v>1.3000224064530586E-3</v>
      </c>
      <c r="G47" s="2"/>
      <c r="H47" s="6">
        <v>27.33</v>
      </c>
      <c r="I47" s="2"/>
      <c r="J47" s="7">
        <f t="shared" si="21"/>
        <v>7.0850832166744436E-4</v>
      </c>
      <c r="K47" s="2"/>
      <c r="L47" s="6">
        <f t="shared" si="22"/>
        <v>1.6800000000000033</v>
      </c>
      <c r="M47" s="2"/>
      <c r="N47" s="7">
        <f t="shared" si="23"/>
        <v>6.1470911086718018E-2</v>
      </c>
      <c r="O47" s="11"/>
      <c r="P47" s="6">
        <v>145.05000000000001</v>
      </c>
      <c r="Q47" s="2"/>
      <c r="R47" s="7">
        <f t="shared" si="24"/>
        <v>9.9724305779953391E-4</v>
      </c>
      <c r="S47" s="2"/>
      <c r="T47" s="6">
        <v>136.65</v>
      </c>
      <c r="U47" s="2"/>
      <c r="V47" s="7">
        <f t="shared" si="25"/>
        <v>8.4976058702816997E-4</v>
      </c>
      <c r="W47" s="2"/>
      <c r="X47" s="6">
        <f t="shared" si="26"/>
        <v>8.4000000000000057</v>
      </c>
      <c r="Y47" s="2"/>
      <c r="Z47" s="7">
        <f t="shared" si="27"/>
        <v>6.1470911086717935E-2</v>
      </c>
    </row>
    <row r="48" spans="1:26" s="25" customFormat="1" outlineLevel="1" collapsed="1" x14ac:dyDescent="0.25">
      <c r="A48" s="27"/>
      <c r="B48" s="13" t="str">
        <f>CONCATENATE("     ","Professional Services                             ")</f>
        <v xml:space="preserve">     Professional Services                             </v>
      </c>
      <c r="C48" s="13"/>
      <c r="D48" s="1">
        <f>SUM(OSRRefD22_8x_0)</f>
        <v>0</v>
      </c>
      <c r="E48" s="1"/>
      <c r="F48" s="5">
        <f t="shared" si="20"/>
        <v>0</v>
      </c>
      <c r="G48" s="1"/>
      <c r="H48" s="1">
        <f>SUM(OSRRefH22_8x_0)</f>
        <v>0</v>
      </c>
      <c r="I48" s="1"/>
      <c r="J48" s="5">
        <f t="shared" si="21"/>
        <v>0</v>
      </c>
      <c r="K48" s="1"/>
      <c r="L48" s="1">
        <f t="shared" si="22"/>
        <v>0</v>
      </c>
      <c r="M48" s="1"/>
      <c r="N48" s="5">
        <f t="shared" si="23"/>
        <v>0</v>
      </c>
      <c r="O48" s="13"/>
      <c r="P48" s="1">
        <f>SUM(OSRRefP22_8x_0)</f>
        <v>0</v>
      </c>
      <c r="Q48" s="1"/>
      <c r="R48" s="5">
        <f t="shared" si="24"/>
        <v>0</v>
      </c>
      <c r="S48" s="1"/>
      <c r="T48" s="1">
        <f>SUM(OSRRefT22_8x_0)</f>
        <v>1680</v>
      </c>
      <c r="U48" s="1"/>
      <c r="V48" s="5">
        <f t="shared" si="25"/>
        <v>1.0447111498041166E-2</v>
      </c>
      <c r="W48" s="1"/>
      <c r="X48" s="1">
        <f t="shared" si="26"/>
        <v>-1680</v>
      </c>
      <c r="Y48" s="1"/>
      <c r="Z48" s="5">
        <f t="shared" si="27"/>
        <v>-1</v>
      </c>
    </row>
    <row r="49" spans="1:26" s="24" customFormat="1" hidden="1" outlineLevel="2" x14ac:dyDescent="0.25">
      <c r="A49" s="26"/>
      <c r="B49" s="11" t="str">
        <f>CONCATENATE("          ", "6336", " - ", "PROFESSIONAL SERVICES")</f>
        <v xml:space="preserve">          6336 - PROFESSIONAL SERVICES</v>
      </c>
      <c r="C49" s="11"/>
      <c r="D49" s="6"/>
      <c r="E49" s="2"/>
      <c r="F49" s="7">
        <f t="shared" si="20"/>
        <v>0</v>
      </c>
      <c r="G49" s="2"/>
      <c r="H49" s="6"/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1680</v>
      </c>
      <c r="U49" s="2"/>
      <c r="V49" s="7">
        <f t="shared" si="25"/>
        <v>1.0447111498041166E-2</v>
      </c>
      <c r="W49" s="2"/>
      <c r="X49" s="6">
        <f t="shared" si="26"/>
        <v>-1680</v>
      </c>
      <c r="Y49" s="2"/>
      <c r="Z49" s="7">
        <f t="shared" si="27"/>
        <v>-1</v>
      </c>
    </row>
    <row r="50" spans="1:26" s="25" customFormat="1" outlineLevel="1" collapsed="1" x14ac:dyDescent="0.25">
      <c r="A50" s="27"/>
      <c r="B50" s="13" t="str">
        <f>CONCATENATE("     ","Rent                                              ")</f>
        <v xml:space="preserve">     Rent                                              </v>
      </c>
      <c r="C50" s="13"/>
      <c r="D50" s="1">
        <f>SUM(OSRRefD22_9x_0)</f>
        <v>800</v>
      </c>
      <c r="E50" s="1"/>
      <c r="F50" s="5">
        <f t="shared" si="20"/>
        <v>3.5850324893569346E-2</v>
      </c>
      <c r="G50" s="1"/>
      <c r="H50" s="1">
        <f>SUM(OSRRefH22_9x_0)</f>
        <v>800</v>
      </c>
      <c r="I50" s="1"/>
      <c r="J50" s="5">
        <f t="shared" si="21"/>
        <v>2.0739358116866283E-2</v>
      </c>
      <c r="K50" s="1"/>
      <c r="L50" s="1">
        <f t="shared" si="22"/>
        <v>0</v>
      </c>
      <c r="M50" s="1"/>
      <c r="N50" s="5">
        <f t="shared" si="23"/>
        <v>0</v>
      </c>
      <c r="O50" s="13"/>
      <c r="P50" s="1">
        <f>SUM(OSRRefP22_9x_0)</f>
        <v>4000</v>
      </c>
      <c r="Q50" s="1"/>
      <c r="R50" s="5">
        <f t="shared" si="24"/>
        <v>2.7500670328839266E-2</v>
      </c>
      <c r="S50" s="1"/>
      <c r="T50" s="1">
        <f>SUM(OSRRefT22_9x_0)</f>
        <v>3200</v>
      </c>
      <c r="U50" s="1"/>
      <c r="V50" s="5">
        <f t="shared" si="25"/>
        <v>1.9899259996268889E-2</v>
      </c>
      <c r="W50" s="1"/>
      <c r="X50" s="1">
        <f t="shared" si="26"/>
        <v>800</v>
      </c>
      <c r="Y50" s="1"/>
      <c r="Z50" s="5">
        <f t="shared" si="27"/>
        <v>0.25</v>
      </c>
    </row>
    <row r="51" spans="1:26" s="24" customFormat="1" hidden="1" outlineLevel="2" x14ac:dyDescent="0.25">
      <c r="A51" s="26"/>
      <c r="B51" s="11" t="str">
        <f>CONCATENATE("          ", "6273", " - ", "RENT")</f>
        <v xml:space="preserve">          6273 - RENT</v>
      </c>
      <c r="C51" s="11"/>
      <c r="D51" s="6">
        <v>800</v>
      </c>
      <c r="E51" s="2"/>
      <c r="F51" s="7">
        <f t="shared" si="20"/>
        <v>3.5850324893569346E-2</v>
      </c>
      <c r="G51" s="2"/>
      <c r="H51" s="6">
        <v>800</v>
      </c>
      <c r="I51" s="2"/>
      <c r="J51" s="7">
        <f t="shared" si="21"/>
        <v>2.0739358116866283E-2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>
        <v>4000</v>
      </c>
      <c r="Q51" s="2"/>
      <c r="R51" s="7">
        <f t="shared" si="24"/>
        <v>2.7500670328839266E-2</v>
      </c>
      <c r="S51" s="2"/>
      <c r="T51" s="6">
        <v>3200</v>
      </c>
      <c r="U51" s="2"/>
      <c r="V51" s="7">
        <f t="shared" si="25"/>
        <v>1.9899259996268889E-2</v>
      </c>
      <c r="W51" s="2"/>
      <c r="X51" s="6">
        <f t="shared" si="26"/>
        <v>800</v>
      </c>
      <c r="Y51" s="2"/>
      <c r="Z51" s="7">
        <f t="shared" si="27"/>
        <v>0.25</v>
      </c>
    </row>
    <row r="52" spans="1:26" s="25" customFormat="1" outlineLevel="1" collapsed="1" x14ac:dyDescent="0.25">
      <c r="A52" s="27"/>
      <c r="B52" s="13" t="str">
        <f>CONCATENATE("     ","Repair and Maintenance                            ")</f>
        <v xml:space="preserve">     Repair and Maintenance                            </v>
      </c>
      <c r="C52" s="13"/>
      <c r="D52" s="1">
        <f>SUM(OSRRefD22_10x_0)</f>
        <v>0</v>
      </c>
      <c r="E52" s="1"/>
      <c r="F52" s="5">
        <f t="shared" si="20"/>
        <v>0</v>
      </c>
      <c r="G52" s="1"/>
      <c r="H52" s="1">
        <f>SUM(OSRRefH22_10x_0)</f>
        <v>0</v>
      </c>
      <c r="I52" s="1"/>
      <c r="J52" s="5">
        <f t="shared" si="21"/>
        <v>0</v>
      </c>
      <c r="K52" s="1"/>
      <c r="L52" s="1">
        <f t="shared" si="22"/>
        <v>0</v>
      </c>
      <c r="M52" s="1"/>
      <c r="N52" s="5">
        <f t="shared" si="23"/>
        <v>0</v>
      </c>
      <c r="O52" s="13"/>
      <c r="P52" s="1">
        <f>SUM(OSRRefP22_10x_0)</f>
        <v>437.31</v>
      </c>
      <c r="Q52" s="1"/>
      <c r="R52" s="5">
        <f t="shared" si="24"/>
        <v>3.0065795353761749E-3</v>
      </c>
      <c r="S52" s="1"/>
      <c r="T52" s="1">
        <f>SUM(OSRRefT22_10x_0)</f>
        <v>600</v>
      </c>
      <c r="U52" s="1"/>
      <c r="V52" s="5">
        <f t="shared" si="25"/>
        <v>3.7311112493004167E-3</v>
      </c>
      <c r="W52" s="1"/>
      <c r="X52" s="1">
        <f t="shared" si="26"/>
        <v>-162.69</v>
      </c>
      <c r="Y52" s="1"/>
      <c r="Z52" s="5">
        <f t="shared" si="27"/>
        <v>-0.27115</v>
      </c>
    </row>
    <row r="53" spans="1:26" s="24" customFormat="1" hidden="1" outlineLevel="2" x14ac:dyDescent="0.25">
      <c r="A53" s="26"/>
      <c r="B53" s="11" t="str">
        <f>CONCATENATE("          ", "6371", " - ", "COMPUTER SOFTWARE MAINTENANCE")</f>
        <v xml:space="preserve">          6371 - COMPUTER SOFTWARE MAINTENANCE</v>
      </c>
      <c r="C53" s="11"/>
      <c r="D53" s="6"/>
      <c r="E53" s="2"/>
      <c r="F53" s="7">
        <f t="shared" si="20"/>
        <v>0</v>
      </c>
      <c r="G53" s="2"/>
      <c r="H53" s="6"/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>
        <v>437.31</v>
      </c>
      <c r="Q53" s="2"/>
      <c r="R53" s="7">
        <f t="shared" si="24"/>
        <v>3.0065795353761749E-3</v>
      </c>
      <c r="S53" s="2"/>
      <c r="T53" s="6"/>
      <c r="U53" s="2"/>
      <c r="V53" s="7">
        <f t="shared" si="25"/>
        <v>0</v>
      </c>
      <c r="W53" s="2"/>
      <c r="X53" s="6">
        <f t="shared" si="26"/>
        <v>437.31</v>
      </c>
      <c r="Y53" s="2"/>
      <c r="Z53" s="7">
        <f t="shared" si="27"/>
        <v>0</v>
      </c>
    </row>
    <row r="54" spans="1:26" s="24" customFormat="1" hidden="1" outlineLevel="2" x14ac:dyDescent="0.25">
      <c r="A54" s="26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0"/>
        <v>0</v>
      </c>
      <c r="G54" s="2"/>
      <c r="H54" s="6"/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600</v>
      </c>
      <c r="U54" s="2"/>
      <c r="V54" s="7">
        <f t="shared" si="25"/>
        <v>3.7311112493004167E-3</v>
      </c>
      <c r="W54" s="2"/>
      <c r="X54" s="6">
        <f t="shared" si="26"/>
        <v>-600</v>
      </c>
      <c r="Y54" s="2"/>
      <c r="Z54" s="7">
        <f t="shared" si="27"/>
        <v>-1</v>
      </c>
    </row>
    <row r="55" spans="1:26" s="25" customFormat="1" outlineLevel="1" collapsed="1" x14ac:dyDescent="0.25">
      <c r="A55" s="27"/>
      <c r="B55" s="13" t="str">
        <f>CONCATENATE("     ","Supplies                                          ")</f>
        <v xml:space="preserve">     Supplies                                          </v>
      </c>
      <c r="C55" s="13"/>
      <c r="D55" s="1">
        <f>SUM(OSRRefD22_11x_0)</f>
        <v>45.18</v>
      </c>
      <c r="E55" s="1"/>
      <c r="F55" s="5">
        <f t="shared" ref="F55:F59" si="28">IF(D$12=0,0,D55/D$12)</f>
        <v>2.0246470983643289E-3</v>
      </c>
      <c r="G55" s="1"/>
      <c r="H55" s="1">
        <f>SUM(OSRRefH22_11x_0)</f>
        <v>19101.32</v>
      </c>
      <c r="I55" s="1"/>
      <c r="J55" s="5">
        <f t="shared" ref="J55:J59" si="29">IF(H$12=0,0,H55/H$12)</f>
        <v>0.49518639498107531</v>
      </c>
      <c r="K55" s="1"/>
      <c r="L55" s="1">
        <f t="shared" ref="L55:L59" si="30">+D55-H55</f>
        <v>-19056.14</v>
      </c>
      <c r="M55" s="1"/>
      <c r="N55" s="5">
        <f t="shared" ref="N55:N59" si="31">IF(H55=0,0,L55/H55)</f>
        <v>-0.99763471843830687</v>
      </c>
      <c r="O55" s="13"/>
      <c r="P55" s="1">
        <f>SUM(OSRRefP22_11x_0)</f>
        <v>18397.830000000002</v>
      </c>
      <c r="Q55" s="1"/>
      <c r="R55" s="5">
        <f t="shared" ref="R55:R59" si="32">IF(P$12=0,0,P55/P$12)</f>
        <v>0.12648816439900723</v>
      </c>
      <c r="S55" s="1"/>
      <c r="T55" s="1">
        <f>SUM(OSRRefT22_11x_0)</f>
        <v>34255.370000000003</v>
      </c>
      <c r="U55" s="1"/>
      <c r="V55" s="5">
        <f t="shared" ref="V55:V59" si="33">IF(T$12=0,0,T55/T$12)</f>
        <v>0.2130176605932467</v>
      </c>
      <c r="W55" s="1"/>
      <c r="X55" s="1">
        <f t="shared" ref="X55:X59" si="34">+P55-T55</f>
        <v>-15857.54</v>
      </c>
      <c r="Y55" s="1"/>
      <c r="Z55" s="5">
        <f t="shared" ref="Z55:Z59" si="35">IF(T55=0,0,X55/T55)</f>
        <v>-0.46292128796156629</v>
      </c>
    </row>
    <row r="56" spans="1:26" s="24" customFormat="1" hidden="1" outlineLevel="2" x14ac:dyDescent="0.25">
      <c r="A56" s="26"/>
      <c r="B56" s="11" t="str">
        <f>CONCATENATE("          ", "6234", " - ", "EXPENDABLE SUPPLIES &amp; EQUIPMEN")</f>
        <v xml:space="preserve">          6234 - EXPENDABLE SUPPLIES &amp; EQUIPMEN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413.27</v>
      </c>
      <c r="Q56" s="2"/>
      <c r="R56" s="7">
        <f t="shared" si="32"/>
        <v>2.8413005066998506E-3</v>
      </c>
      <c r="S56" s="2"/>
      <c r="T56" s="6"/>
      <c r="U56" s="2"/>
      <c r="V56" s="7">
        <f t="shared" si="33"/>
        <v>0</v>
      </c>
      <c r="W56" s="2"/>
      <c r="X56" s="6">
        <f t="shared" si="34"/>
        <v>413.27</v>
      </c>
      <c r="Y56" s="2"/>
      <c r="Z56" s="7">
        <f t="shared" si="35"/>
        <v>0</v>
      </c>
    </row>
    <row r="57" spans="1:26" s="24" customFormat="1" hidden="1" outlineLevel="2" x14ac:dyDescent="0.25">
      <c r="A57" s="26"/>
      <c r="B57" s="11" t="str">
        <f>CONCATENATE("          ", "6241", " - ", "OFFICE EXPENSE")</f>
        <v xml:space="preserve">          6241 - OFFICE EXPENSE</v>
      </c>
      <c r="C57" s="11"/>
      <c r="D57" s="6">
        <v>45.18</v>
      </c>
      <c r="E57" s="2"/>
      <c r="F57" s="7">
        <f t="shared" si="28"/>
        <v>2.0246470983643289E-3</v>
      </c>
      <c r="G57" s="2"/>
      <c r="H57" s="6">
        <v>19101.32</v>
      </c>
      <c r="I57" s="2"/>
      <c r="J57" s="7">
        <f t="shared" si="29"/>
        <v>0.49518639498107531</v>
      </c>
      <c r="K57" s="2"/>
      <c r="L57" s="6">
        <f t="shared" si="30"/>
        <v>-19056.14</v>
      </c>
      <c r="M57" s="2"/>
      <c r="N57" s="7">
        <f t="shared" si="31"/>
        <v>-0.99763471843830687</v>
      </c>
      <c r="O57" s="11"/>
      <c r="P57" s="6">
        <v>17863.73</v>
      </c>
      <c r="Q57" s="2"/>
      <c r="R57" s="7">
        <f t="shared" si="32"/>
        <v>0.12281613739334896</v>
      </c>
      <c r="S57" s="2"/>
      <c r="T57" s="6">
        <v>33895.950000000004</v>
      </c>
      <c r="U57" s="2"/>
      <c r="V57" s="7">
        <f t="shared" si="33"/>
        <v>0.21078260058454079</v>
      </c>
      <c r="W57" s="2"/>
      <c r="X57" s="6">
        <f t="shared" si="34"/>
        <v>-16032.220000000005</v>
      </c>
      <c r="Y57" s="2"/>
      <c r="Z57" s="7">
        <f t="shared" si="35"/>
        <v>-0.47298335051827733</v>
      </c>
    </row>
    <row r="58" spans="1:26" s="24" customFormat="1" hidden="1" outlineLevel="2" x14ac:dyDescent="0.25">
      <c r="A58" s="26"/>
      <c r="B58" s="11" t="str">
        <f>CONCATENATE("          ", "6245", " - ", "PRINTING")</f>
        <v xml:space="preserve">          6245 - PRINTING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>
        <v>120.83</v>
      </c>
      <c r="Q58" s="2"/>
      <c r="R58" s="7">
        <f t="shared" si="32"/>
        <v>8.3072649895841208E-4</v>
      </c>
      <c r="S58" s="2"/>
      <c r="T58" s="6">
        <v>359.42</v>
      </c>
      <c r="U58" s="2"/>
      <c r="V58" s="7">
        <f t="shared" si="33"/>
        <v>2.2350600087059263E-3</v>
      </c>
      <c r="W58" s="2"/>
      <c r="X58" s="6">
        <f t="shared" si="34"/>
        <v>-238.59000000000003</v>
      </c>
      <c r="Y58" s="2"/>
      <c r="Z58" s="7">
        <f t="shared" si="35"/>
        <v>-0.66381948695119919</v>
      </c>
    </row>
    <row r="59" spans="1:26" s="24" customFormat="1" hidden="1" outlineLevel="2" x14ac:dyDescent="0.25">
      <c r="A59" s="26"/>
      <c r="B59" s="11" t="str">
        <f>CONCATENATE("          ", "6247", " - ", "STORE SUPPLIES")</f>
        <v xml:space="preserve">          6247 - STORE SUPPLIES</v>
      </c>
      <c r="C59" s="11"/>
      <c r="D59" s="6"/>
      <c r="E59" s="2"/>
      <c r="F59" s="7">
        <f t="shared" si="28"/>
        <v>0</v>
      </c>
      <c r="G59" s="2"/>
      <c r="H59" s="6"/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/>
      <c r="Q59" s="2"/>
      <c r="R59" s="7">
        <f t="shared" si="32"/>
        <v>0</v>
      </c>
      <c r="S59" s="2"/>
      <c r="T59" s="6">
        <v>0</v>
      </c>
      <c r="U59" s="2"/>
      <c r="V59" s="7">
        <f t="shared" si="33"/>
        <v>0</v>
      </c>
      <c r="W59" s="2"/>
      <c r="X59" s="6">
        <f t="shared" si="34"/>
        <v>0</v>
      </c>
      <c r="Y59" s="2"/>
      <c r="Z59" s="7">
        <f t="shared" si="35"/>
        <v>0</v>
      </c>
    </row>
    <row r="60" spans="1:26" s="25" customFormat="1" outlineLevel="1" collapsed="1" x14ac:dyDescent="0.25">
      <c r="A60" s="27"/>
      <c r="B60" s="13" t="str">
        <f>CONCATENATE("     ","Telephone/Data Lines                              ")</f>
        <v xml:space="preserve">     Telephone/Data Lines                              </v>
      </c>
      <c r="C60" s="13"/>
      <c r="D60" s="1">
        <f>SUM(OSRRefD22_12x_0)</f>
        <v>183.9</v>
      </c>
      <c r="E60" s="1"/>
      <c r="F60" s="5">
        <f t="shared" ref="F60:F63" si="36">IF(D$12=0,0,D60/D$12)</f>
        <v>8.2410934349092541E-3</v>
      </c>
      <c r="G60" s="1"/>
      <c r="H60" s="1">
        <f>SUM(OSRRefH22_12x_0)</f>
        <v>345.17</v>
      </c>
      <c r="I60" s="1"/>
      <c r="J60" s="5">
        <f t="shared" ref="J60:J63" si="37">IF(H$12=0,0,H60/H$12)</f>
        <v>8.9482553014984187E-3</v>
      </c>
      <c r="K60" s="1"/>
      <c r="L60" s="1">
        <f t="shared" ref="L60:L63" si="38">+D60-H60</f>
        <v>-161.27000000000001</v>
      </c>
      <c r="M60" s="1"/>
      <c r="N60" s="5">
        <f t="shared" ref="N60:N63" si="39">IF(H60=0,0,L60/H60)</f>
        <v>-0.46721905148187848</v>
      </c>
      <c r="O60" s="13"/>
      <c r="P60" s="1">
        <f>SUM(OSRRefP22_12x_0)</f>
        <v>948.5</v>
      </c>
      <c r="Q60" s="1"/>
      <c r="R60" s="5">
        <f t="shared" ref="R60:R63" si="40">IF(P$12=0,0,P60/P$12)</f>
        <v>6.5210964517260104E-3</v>
      </c>
      <c r="S60" s="1"/>
      <c r="T60" s="1">
        <f>SUM(OSRRefT22_12x_0)</f>
        <v>1848</v>
      </c>
      <c r="U60" s="1"/>
      <c r="V60" s="5">
        <f t="shared" ref="V60:V63" si="41">IF(T$12=0,0,T60/T$12)</f>
        <v>1.1491822647845283E-2</v>
      </c>
      <c r="W60" s="1"/>
      <c r="X60" s="1">
        <f t="shared" ref="X60:X63" si="42">+P60-T60</f>
        <v>-899.5</v>
      </c>
      <c r="Y60" s="1"/>
      <c r="Z60" s="5">
        <f t="shared" ref="Z60:Z63" si="43">IF(T60=0,0,X60/T60)</f>
        <v>-0.48674242424242425</v>
      </c>
    </row>
    <row r="61" spans="1:26" s="24" customFormat="1" hidden="1" outlineLevel="2" x14ac:dyDescent="0.25">
      <c r="A61" s="26"/>
      <c r="B61" s="11" t="str">
        <f>CONCATENATE("          ", "6309", " - ", "TELEPHONE")</f>
        <v xml:space="preserve">          6309 - TELEPHONE</v>
      </c>
      <c r="C61" s="11"/>
      <c r="D61" s="6">
        <v>183.9</v>
      </c>
      <c r="E61" s="2"/>
      <c r="F61" s="7">
        <f t="shared" si="36"/>
        <v>8.2410934349092541E-3</v>
      </c>
      <c r="G61" s="2"/>
      <c r="H61" s="6">
        <v>345.17</v>
      </c>
      <c r="I61" s="2"/>
      <c r="J61" s="7">
        <f t="shared" si="37"/>
        <v>8.9482553014984187E-3</v>
      </c>
      <c r="K61" s="2"/>
      <c r="L61" s="6">
        <f t="shared" si="38"/>
        <v>-161.27000000000001</v>
      </c>
      <c r="M61" s="2"/>
      <c r="N61" s="7">
        <f t="shared" si="39"/>
        <v>-0.46721905148187848</v>
      </c>
      <c r="O61" s="11"/>
      <c r="P61" s="6">
        <v>948.5</v>
      </c>
      <c r="Q61" s="2"/>
      <c r="R61" s="7">
        <f t="shared" si="40"/>
        <v>6.5210964517260104E-3</v>
      </c>
      <c r="S61" s="2"/>
      <c r="T61" s="6">
        <v>1848</v>
      </c>
      <c r="U61" s="2"/>
      <c r="V61" s="7">
        <f t="shared" si="41"/>
        <v>1.1491822647845283E-2</v>
      </c>
      <c r="W61" s="2"/>
      <c r="X61" s="6">
        <f t="shared" si="42"/>
        <v>-899.5</v>
      </c>
      <c r="Y61" s="2"/>
      <c r="Z61" s="7">
        <f t="shared" si="43"/>
        <v>-0.48674242424242425</v>
      </c>
    </row>
    <row r="62" spans="1:26" s="25" customFormat="1" outlineLevel="1" collapsed="1" x14ac:dyDescent="0.25">
      <c r="A62" s="27"/>
      <c r="B62" s="13" t="str">
        <f>CONCATENATE("     ","Training                                          ")</f>
        <v xml:space="preserve">     Training                                          </v>
      </c>
      <c r="C62" s="13"/>
      <c r="D62" s="1">
        <f>SUM(OSRRefD22_13x_0)</f>
        <v>0</v>
      </c>
      <c r="E62" s="1"/>
      <c r="F62" s="5">
        <f t="shared" si="36"/>
        <v>0</v>
      </c>
      <c r="G62" s="1"/>
      <c r="H62" s="1">
        <f>SUM(OSRRefH22_13x_0)</f>
        <v>1600</v>
      </c>
      <c r="I62" s="1"/>
      <c r="J62" s="5">
        <f t="shared" si="37"/>
        <v>4.1478716233732567E-2</v>
      </c>
      <c r="K62" s="1"/>
      <c r="L62" s="1">
        <f t="shared" si="38"/>
        <v>-1600</v>
      </c>
      <c r="M62" s="1"/>
      <c r="N62" s="5">
        <f t="shared" si="39"/>
        <v>-1</v>
      </c>
      <c r="O62" s="13"/>
      <c r="P62" s="1">
        <f>SUM(OSRRefP22_13x_0)</f>
        <v>0</v>
      </c>
      <c r="Q62" s="1"/>
      <c r="R62" s="5">
        <f t="shared" si="40"/>
        <v>0</v>
      </c>
      <c r="S62" s="1"/>
      <c r="T62" s="1">
        <f>SUM(OSRRefT22_13x_0)</f>
        <v>1600</v>
      </c>
      <c r="U62" s="1"/>
      <c r="V62" s="5">
        <f t="shared" si="41"/>
        <v>9.9496299981344447E-3</v>
      </c>
      <c r="W62" s="1"/>
      <c r="X62" s="1">
        <f t="shared" si="42"/>
        <v>-1600</v>
      </c>
      <c r="Y62" s="1"/>
      <c r="Z62" s="5">
        <f t="shared" si="43"/>
        <v>-1</v>
      </c>
    </row>
    <row r="63" spans="1:26" s="24" customFormat="1" hidden="1" outlineLevel="2" x14ac:dyDescent="0.25">
      <c r="A63" s="26"/>
      <c r="B63" s="11" t="str">
        <f>CONCATENATE("          ", "6376", " - ", "TRAINING")</f>
        <v xml:space="preserve">          6376 - TRAINING</v>
      </c>
      <c r="C63" s="11"/>
      <c r="D63" s="6"/>
      <c r="E63" s="2"/>
      <c r="F63" s="7">
        <f t="shared" si="36"/>
        <v>0</v>
      </c>
      <c r="G63" s="2"/>
      <c r="H63" s="6">
        <v>1600</v>
      </c>
      <c r="I63" s="2"/>
      <c r="J63" s="7">
        <f t="shared" si="37"/>
        <v>4.1478716233732567E-2</v>
      </c>
      <c r="K63" s="2"/>
      <c r="L63" s="6">
        <f t="shared" si="38"/>
        <v>-1600</v>
      </c>
      <c r="M63" s="2"/>
      <c r="N63" s="7">
        <f t="shared" si="39"/>
        <v>-1</v>
      </c>
      <c r="O63" s="11"/>
      <c r="P63" s="6"/>
      <c r="Q63" s="2"/>
      <c r="R63" s="7">
        <f t="shared" si="40"/>
        <v>0</v>
      </c>
      <c r="S63" s="2"/>
      <c r="T63" s="6">
        <v>1600</v>
      </c>
      <c r="U63" s="2"/>
      <c r="V63" s="7">
        <f t="shared" si="41"/>
        <v>9.9496299981344447E-3</v>
      </c>
      <c r="W63" s="2"/>
      <c r="X63" s="6">
        <f t="shared" si="42"/>
        <v>-1600</v>
      </c>
      <c r="Y63" s="2"/>
      <c r="Z63" s="7">
        <f t="shared" si="43"/>
        <v>-1</v>
      </c>
    </row>
    <row r="64" spans="1:26" s="53" customFormat="1" x14ac:dyDescent="0.25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collapsed="1" x14ac:dyDescent="0.25">
      <c r="A65" s="10"/>
      <c r="B65" s="28" t="s">
        <v>0</v>
      </c>
      <c r="C65" s="10"/>
      <c r="D65" s="4">
        <f>SUM(OSRRefD25x_0)</f>
        <v>1939.25</v>
      </c>
      <c r="E65" s="4"/>
      <c r="F65" s="12">
        <f t="shared" ref="F65:F67" si="44">IF(D$12=0,0,D65/D$12)</f>
        <v>8.6903428187317944E-2</v>
      </c>
      <c r="G65" s="4"/>
      <c r="H65" s="4">
        <f>SUM(OSRRefH25x_0)</f>
        <v>1689.01</v>
      </c>
      <c r="I65" s="4"/>
      <c r="J65" s="12">
        <f t="shared" ref="J65:J67" si="45">IF(H$12=0,0,H65/H$12)</f>
        <v>4.3786229066210401E-2</v>
      </c>
      <c r="K65" s="4"/>
      <c r="L65" s="4">
        <f t="shared" ref="L65:L67" si="46">+D65-H65</f>
        <v>250.24</v>
      </c>
      <c r="M65" s="4"/>
      <c r="N65" s="12">
        <f t="shared" ref="N65:N67" si="47">IF(H65=0,0,L65/H65)</f>
        <v>0.14815779657906111</v>
      </c>
      <c r="O65" s="10"/>
      <c r="P65" s="4">
        <f>SUM(OSRRefP25x_0)</f>
        <v>12186.74</v>
      </c>
      <c r="Q65" s="4"/>
      <c r="R65" s="12">
        <f t="shared" ref="R65:R67" si="48">IF(P$12=0,0,P65/P$12)</f>
        <v>8.3785879780819653E-2</v>
      </c>
      <c r="S65" s="4"/>
      <c r="T65" s="4">
        <f>SUM(OSRRefT25x_0)</f>
        <v>13430.74</v>
      </c>
      <c r="U65" s="4"/>
      <c r="V65" s="12">
        <f t="shared" ref="V65:V67" si="49">IF(T$12=0,0,T65/T$12)</f>
        <v>8.3519308500715123E-2</v>
      </c>
      <c r="W65" s="4"/>
      <c r="X65" s="4">
        <f t="shared" ref="X65:X67" si="50">+P65-T65</f>
        <v>-1244</v>
      </c>
      <c r="Y65" s="4"/>
      <c r="Z65" s="12">
        <f t="shared" ref="Z65:Z67" si="51">IF(T65=0,0,X65/T65)</f>
        <v>-9.2623340188254702E-2</v>
      </c>
    </row>
    <row r="66" spans="1:26" s="24" customFormat="1" hidden="1" outlineLevel="1" x14ac:dyDescent="0.25">
      <c r="A66" s="44"/>
      <c r="B66" s="11" t="str">
        <f>CONCATENATE("          ", "9150", " - ", "MISC. INCOME")</f>
        <v xml:space="preserve">          9150 - MISC. INCOME</v>
      </c>
      <c r="C66" s="11"/>
      <c r="D66" s="2">
        <f>--1939.25</f>
        <v>1939.25</v>
      </c>
      <c r="E66" s="2"/>
      <c r="F66" s="19">
        <f t="shared" si="44"/>
        <v>8.6903428187317944E-2</v>
      </c>
      <c r="G66" s="2"/>
      <c r="H66" s="2">
        <f>--1689.01</f>
        <v>1689.01</v>
      </c>
      <c r="I66" s="2"/>
      <c r="J66" s="19">
        <f t="shared" si="45"/>
        <v>4.3786229066210401E-2</v>
      </c>
      <c r="K66" s="2"/>
      <c r="L66" s="2">
        <f t="shared" si="46"/>
        <v>250.24</v>
      </c>
      <c r="M66" s="2"/>
      <c r="N66" s="19">
        <f t="shared" si="47"/>
        <v>0.14815779657906111</v>
      </c>
      <c r="O66" s="11"/>
      <c r="P66" s="2">
        <f>--12186.74</f>
        <v>12186.74</v>
      </c>
      <c r="Q66" s="2"/>
      <c r="R66" s="19">
        <f t="shared" si="48"/>
        <v>8.3785879780819653E-2</v>
      </c>
      <c r="S66" s="2"/>
      <c r="T66" s="2">
        <f>--13260.39</f>
        <v>13260.39</v>
      </c>
      <c r="U66" s="2"/>
      <c r="V66" s="19">
        <f t="shared" si="49"/>
        <v>8.2459983831851255E-2</v>
      </c>
      <c r="W66" s="2"/>
      <c r="X66" s="2">
        <f t="shared" si="50"/>
        <v>-1073.6499999999996</v>
      </c>
      <c r="Y66" s="2"/>
      <c r="Z66" s="19">
        <f t="shared" si="51"/>
        <v>-8.0966698566180911E-2</v>
      </c>
    </row>
    <row r="67" spans="1:26" s="24" customFormat="1" hidden="1" outlineLevel="1" x14ac:dyDescent="0.25">
      <c r="A67" s="44"/>
      <c r="B67" s="11" t="str">
        <f>CONCATENATE("          ", "9160", " - ", "MISC. INCOME")</f>
        <v xml:space="preserve">          9160 - MISC. INCOME</v>
      </c>
      <c r="C67" s="11"/>
      <c r="D67" s="2">
        <f>0</f>
        <v>0</v>
      </c>
      <c r="E67" s="2"/>
      <c r="F67" s="19">
        <f t="shared" si="44"/>
        <v>0</v>
      </c>
      <c r="G67" s="2"/>
      <c r="H67" s="2">
        <f>0</f>
        <v>0</v>
      </c>
      <c r="I67" s="2"/>
      <c r="J67" s="19">
        <f t="shared" si="45"/>
        <v>0</v>
      </c>
      <c r="K67" s="2"/>
      <c r="L67" s="2">
        <f t="shared" si="46"/>
        <v>0</v>
      </c>
      <c r="M67" s="2"/>
      <c r="N67" s="19">
        <f t="shared" si="47"/>
        <v>0</v>
      </c>
      <c r="O67" s="11"/>
      <c r="P67" s="2">
        <f>0</f>
        <v>0</v>
      </c>
      <c r="Q67" s="2"/>
      <c r="R67" s="19">
        <f t="shared" si="48"/>
        <v>0</v>
      </c>
      <c r="S67" s="2"/>
      <c r="T67" s="2">
        <f>--170.35</f>
        <v>170.35</v>
      </c>
      <c r="U67" s="2"/>
      <c r="V67" s="19">
        <f t="shared" si="49"/>
        <v>1.0593246688638766E-3</v>
      </c>
      <c r="W67" s="2"/>
      <c r="X67" s="2">
        <f t="shared" si="50"/>
        <v>-170.35</v>
      </c>
      <c r="Y67" s="2"/>
      <c r="Z67" s="19">
        <f t="shared" si="51"/>
        <v>-1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9" t="s">
        <v>3</v>
      </c>
      <c r="C69" s="29"/>
      <c r="D69" s="21">
        <f>+D17-D19+D65</f>
        <v>2073.3300000000017</v>
      </c>
      <c r="E69" s="14"/>
      <c r="F69" s="20">
        <f>IF(D$12=0,0,D69/D$12)</f>
        <v>9.2911942639480244E-2</v>
      </c>
      <c r="G69" s="14"/>
      <c r="H69" s="21">
        <f>+H17-H19+H65</f>
        <v>-78.74999999999477</v>
      </c>
      <c r="I69" s="14"/>
      <c r="J69" s="20">
        <f>IF(H$12=0,0,H69/H$12)</f>
        <v>-2.041530564628889E-3</v>
      </c>
      <c r="K69" s="15"/>
      <c r="L69" s="21">
        <f>+D69-H69</f>
        <v>2152.0799999999963</v>
      </c>
      <c r="M69" s="15"/>
      <c r="N69" s="20">
        <f>IF(H69=0,0,L69/H69)</f>
        <v>-27.328000000001769</v>
      </c>
      <c r="O69" s="28"/>
      <c r="P69" s="21">
        <f>+P17-P19+P65</f>
        <v>12397.099999999986</v>
      </c>
      <c r="Q69" s="14"/>
      <c r="R69" s="20">
        <f>IF(P$12=0,0,P69/P$12)</f>
        <v>8.5232140033413215E-2</v>
      </c>
      <c r="S69" s="14"/>
      <c r="T69" s="21">
        <f>+T17-T19+T65</f>
        <v>11228.659999999983</v>
      </c>
      <c r="U69" s="14"/>
      <c r="V69" s="20">
        <f>IF(T$12=0,0,T69/T$12)</f>
        <v>6.9825632734282592E-2</v>
      </c>
      <c r="W69" s="15"/>
      <c r="X69" s="21">
        <f>+P69-T69</f>
        <v>1168.4400000000023</v>
      </c>
      <c r="Y69" s="15"/>
      <c r="Z69" s="20">
        <f>IF(T69=0,0,X69/T69)</f>
        <v>0.10405872116530415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>
        <v>3007.1</v>
      </c>
      <c r="E71" s="4"/>
      <c r="F71" s="12">
        <f>IF(D$12=0,0,D71/D$12)</f>
        <v>0.13475688998431548</v>
      </c>
      <c r="G71" s="4"/>
      <c r="H71" s="4">
        <v>5694.68</v>
      </c>
      <c r="I71" s="4"/>
      <c r="J71" s="12">
        <f>IF(H$12=0,0,H71/H$12)</f>
        <v>0.14763000985119512</v>
      </c>
      <c r="K71" s="4"/>
      <c r="L71" s="4">
        <f>+D71-H71</f>
        <v>-2687.5800000000004</v>
      </c>
      <c r="M71" s="4"/>
      <c r="N71" s="12">
        <f>IF(H71=0,0,L71/H71)</f>
        <v>-0.47194574585402521</v>
      </c>
      <c r="O71" s="10"/>
      <c r="P71" s="4">
        <v>15402.28</v>
      </c>
      <c r="Q71" s="4"/>
      <c r="R71" s="12">
        <f>IF(P$12=0,0,P71/P$12)</f>
        <v>0.10589325614811862</v>
      </c>
      <c r="S71" s="4"/>
      <c r="T71" s="4">
        <v>16920.809999999998</v>
      </c>
      <c r="U71" s="4"/>
      <c r="V71" s="12">
        <f>IF(T$12=0,0,T71/T$12)</f>
        <v>0.10522237423045828</v>
      </c>
      <c r="W71" s="4"/>
      <c r="X71" s="4">
        <f>+P71-T71</f>
        <v>-1518.529999999997</v>
      </c>
      <c r="Y71" s="4"/>
      <c r="Z71" s="12">
        <f>IF(T71=0,0,X71/T71)</f>
        <v>-8.9743339710096459E-2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9" t="s">
        <v>4</v>
      </c>
      <c r="C73" s="29"/>
      <c r="D73" s="31">
        <f>+D69-D71</f>
        <v>-933.76999999999816</v>
      </c>
      <c r="E73" s="14"/>
      <c r="F73" s="32">
        <f>IF(D$12=0,0,D73/D$12)</f>
        <v>-4.184494734483523E-2</v>
      </c>
      <c r="G73" s="14"/>
      <c r="H73" s="31">
        <f>+H69-H71</f>
        <v>-5773.4299999999948</v>
      </c>
      <c r="I73" s="14"/>
      <c r="J73" s="32">
        <f>IF(H$12=0,0,H73/H$12)</f>
        <v>-0.14967154041582401</v>
      </c>
      <c r="K73" s="15"/>
      <c r="L73" s="31">
        <f>D73-H73</f>
        <v>4839.6599999999962</v>
      </c>
      <c r="M73" s="15"/>
      <c r="N73" s="32">
        <f>IF(H73=0,0,L73/H73)</f>
        <v>-0.83826425539064309</v>
      </c>
      <c r="O73" s="28"/>
      <c r="P73" s="31">
        <f>+P69-P71</f>
        <v>-3005.1800000000148</v>
      </c>
      <c r="Q73" s="14"/>
      <c r="R73" s="32">
        <f>IF(P$12=0,0,P73/P$12)</f>
        <v>-2.0661116114705398E-2</v>
      </c>
      <c r="S73" s="14"/>
      <c r="T73" s="31">
        <f>+T69-T71</f>
        <v>-5692.1500000000142</v>
      </c>
      <c r="U73" s="14"/>
      <c r="V73" s="32">
        <f>IF(T$12=0,0,T73/T$12)</f>
        <v>-3.53967414961757E-2</v>
      </c>
      <c r="W73" s="15"/>
      <c r="X73" s="31">
        <f>P73-T73</f>
        <v>2686.9699999999993</v>
      </c>
      <c r="Y73" s="15"/>
      <c r="Z73" s="32">
        <f>IF(T73=0,0,X73/T73)</f>
        <v>-0.4720483472852951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9" t="s">
        <v>5</v>
      </c>
      <c r="C76" s="29"/>
      <c r="D76" s="34">
        <f>SUM(D73:D75)</f>
        <v>-933.76999999999816</v>
      </c>
      <c r="E76" s="14"/>
      <c r="F76" s="30">
        <f>IF(D$12=0,0,D76/D$12)</f>
        <v>-4.184494734483523E-2</v>
      </c>
      <c r="G76" s="14"/>
      <c r="H76" s="34">
        <f>SUM(H73:H75)</f>
        <v>-5773.4299999999948</v>
      </c>
      <c r="I76" s="14"/>
      <c r="J76" s="30">
        <f>IF(H$12=0,0,H76/H$12)</f>
        <v>-0.14967154041582401</v>
      </c>
      <c r="K76" s="15"/>
      <c r="L76" s="34">
        <f>+D76-H76</f>
        <v>4839.6599999999962</v>
      </c>
      <c r="M76" s="15"/>
      <c r="N76" s="30">
        <f>IF(H76=0,0,L76/H76)</f>
        <v>-0.83826425539064309</v>
      </c>
      <c r="O76" s="28"/>
      <c r="P76" s="34">
        <f>SUM(P73:P75)</f>
        <v>-3005.1800000000148</v>
      </c>
      <c r="Q76" s="14"/>
      <c r="R76" s="30">
        <f>IF(P$12=0,0,P76/P$12)</f>
        <v>-2.0661116114705398E-2</v>
      </c>
      <c r="S76" s="14"/>
      <c r="T76" s="34">
        <f>SUM(T73:T75)</f>
        <v>-5692.1500000000142</v>
      </c>
      <c r="U76" s="14"/>
      <c r="V76" s="30">
        <f>IF(T$12=0,0,T76/T$12)</f>
        <v>-3.53967414961757E-2</v>
      </c>
      <c r="W76" s="15"/>
      <c r="X76" s="34">
        <f>+P76-T76</f>
        <v>2686.9699999999993</v>
      </c>
      <c r="Y76" s="15"/>
      <c r="Z76" s="30">
        <f>IF(T76=0,0,X76/T76)</f>
        <v>-0.4720483472852951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9">
        <v>43815.491459178244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2" t="s">
        <v>313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1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103</vt:i4>
      </vt:variant>
      <vt:variant>
        <vt:lpstr>Named Ranges</vt:lpstr>
      </vt:variant>
      <vt:variant>
        <vt:i4>4422</vt:i4>
      </vt:variant>
    </vt:vector>
  </HeadingPairs>
  <TitlesOfParts>
    <vt:vector size="4525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323</vt:lpstr>
      <vt:lpstr>325</vt:lpstr>
      <vt:lpstr>327</vt:lpstr>
      <vt:lpstr>335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'335'!OSRRefD22_0x_0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'445'!OSRRefD22_0x_0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'322'!OSRRefD22_14x_0</vt:lpstr>
      <vt:lpstr>'325'!OSRRefD22_14x_0</vt:lpstr>
      <vt:lpstr>'326'!OSRRefD22_14x_0</vt:lpstr>
      <vt:lpstr>'330'!OSRRefD22_14x_0</vt:lpstr>
      <vt:lpstr>'331'!OSRRefD22_14x_0</vt:lpstr>
      <vt:lpstr>'405'!OSRRefD22_14x_0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'330'!OSRRefD22_15x_0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'330'!OSRRefD22_16x_0</vt:lpstr>
      <vt:lpstr>'331'!OSRRefD22_16x_0</vt:lpstr>
      <vt:lpstr>'405'!OSRRefD22_16x_0</vt:lpstr>
      <vt:lpstr>'411'!OSRRefD22_16x_0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'405'!OSRRefD22_17x_0</vt:lpstr>
      <vt:lpstr>'411'!OSRRefD22_17x_0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'Div 3'!OSRRefD22_24x_0</vt:lpstr>
      <vt:lpstr>'Div 4'!OSRRefD22_24x_0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'455'!OSRRefD22_2x_0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'335'!OSRRefD22x_0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'445'!OSRRefD22x_0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'413'!OSRRefD25x_0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'335'!OSRRefH22_0x_0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'445'!OSRRefH22_0x_0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'322'!OSRRefH22_14x_0</vt:lpstr>
      <vt:lpstr>'325'!OSRRefH22_14x_0</vt:lpstr>
      <vt:lpstr>'326'!OSRRefH22_14x_0</vt:lpstr>
      <vt:lpstr>'330'!OSRRefH22_14x_0</vt:lpstr>
      <vt:lpstr>'331'!OSRRefH22_14x_0</vt:lpstr>
      <vt:lpstr>'405'!OSRRefH22_14x_0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'330'!OSRRefH22_15x_0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'330'!OSRRefH22_16x_0</vt:lpstr>
      <vt:lpstr>'331'!OSRRefH22_16x_0</vt:lpstr>
      <vt:lpstr>'405'!OSRRefH22_16x_0</vt:lpstr>
      <vt:lpstr>'411'!OSRRefH22_16x_0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'405'!OSRRefH22_17x_0</vt:lpstr>
      <vt:lpstr>'411'!OSRRefH22_17x_0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'Div 3'!OSRRefH22_24x_0</vt:lpstr>
      <vt:lpstr>'Div 4'!OSRRefH22_24x_0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'455'!OSRRefH22_2x_0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'335'!OSRRefH22x_0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'445'!OSRRefH22x_0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'413'!OSRRefH25x_0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'335'!OSRRefP22_0x_0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'445'!OSRRefP22_0x_0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'322'!OSRRefP22_14x_0</vt:lpstr>
      <vt:lpstr>'325'!OSRRefP22_14x_0</vt:lpstr>
      <vt:lpstr>'326'!OSRRefP22_14x_0</vt:lpstr>
      <vt:lpstr>'330'!OSRRefP22_14x_0</vt:lpstr>
      <vt:lpstr>'331'!OSRRefP22_14x_0</vt:lpstr>
      <vt:lpstr>'405'!OSRRefP22_14x_0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'330'!OSRRefP22_15x_0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'330'!OSRRefP22_16x_0</vt:lpstr>
      <vt:lpstr>'331'!OSRRefP22_16x_0</vt:lpstr>
      <vt:lpstr>'405'!OSRRefP22_16x_0</vt:lpstr>
      <vt:lpstr>'411'!OSRRefP22_16x_0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'405'!OSRRefP22_17x_0</vt:lpstr>
      <vt:lpstr>'411'!OSRRefP22_17x_0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'Div 3'!OSRRefP22_24x_0</vt:lpstr>
      <vt:lpstr>'Div 4'!OSRRefP22_24x_0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'455'!OSRRefP22_2x_0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'335'!OSRRefP22x_0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'445'!OSRRefP22x_0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'413'!OSRRefP25x_0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'335'!OSRRefT22_0x_0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'445'!OSRRefT22_0x_0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'322'!OSRRefT22_14x_0</vt:lpstr>
      <vt:lpstr>'325'!OSRRefT22_14x_0</vt:lpstr>
      <vt:lpstr>'326'!OSRRefT22_14x_0</vt:lpstr>
      <vt:lpstr>'330'!OSRRefT22_14x_0</vt:lpstr>
      <vt:lpstr>'331'!OSRRefT22_14x_0</vt:lpstr>
      <vt:lpstr>'405'!OSRRefT22_14x_0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'330'!OSRRefT22_15x_0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'330'!OSRRefT22_16x_0</vt:lpstr>
      <vt:lpstr>'331'!OSRRefT22_16x_0</vt:lpstr>
      <vt:lpstr>'405'!OSRRefT22_16x_0</vt:lpstr>
      <vt:lpstr>'411'!OSRRefT22_16x_0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'405'!OSRRefT22_17x_0</vt:lpstr>
      <vt:lpstr>'411'!OSRRefT22_17x_0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'Div 3'!OSRRefT22_24x_0</vt:lpstr>
      <vt:lpstr>'Div 4'!OSRRefT22_24x_0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'455'!OSRRefT22_2x_0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'335'!OSRRefT22x_0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'445'!OSRRefT22x_0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'413'!OSRRefT25x_0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'323'!Print_Area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'335'!Print_Area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'323'!Print_Titles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'335'!Print_Titles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2019-12-16T20:00:51Z</dcterms:modified>
</cp:coreProperties>
</file>